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830671F4-BBF0-493E-906C-638B5DC52121}" xr6:coauthVersionLast="45" xr6:coauthVersionMax="45" xr10:uidLastSave="{00000000-0000-0000-0000-000000000000}"/>
  <bookViews>
    <workbookView xWindow="-120" yWindow="-120" windowWidth="29040" windowHeight="15840" firstSheet="9" activeTab="10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J146" i="56" l="1"/>
  <c r="AJ141" i="56"/>
  <c r="AJ136" i="56"/>
  <c r="AJ131" i="56"/>
  <c r="AJ126" i="56"/>
  <c r="AJ121" i="56"/>
  <c r="AJ116" i="56"/>
  <c r="AJ111" i="56"/>
  <c r="AJ106" i="56"/>
  <c r="AJ96" i="56"/>
  <c r="AJ91" i="56"/>
  <c r="AJ86" i="56"/>
  <c r="AJ81" i="56"/>
  <c r="AJ76" i="56"/>
  <c r="AJ71" i="56"/>
  <c r="AJ66" i="56"/>
  <c r="AJ61" i="56"/>
  <c r="AJ56" i="56"/>
  <c r="AJ6" i="56"/>
  <c r="BH28" i="56"/>
  <c r="AJ46" i="56"/>
  <c r="AJ41" i="56"/>
  <c r="AJ36" i="56"/>
  <c r="AJ31" i="56"/>
  <c r="AJ26" i="56"/>
  <c r="AJ21" i="56"/>
  <c r="AJ16" i="56"/>
  <c r="AJ11" i="56"/>
  <c r="BQ26" i="56"/>
  <c r="BR27" i="56"/>
  <c r="BR28" i="56"/>
  <c r="BR29" i="56"/>
  <c r="BR30" i="56"/>
  <c r="BR31" i="56"/>
  <c r="BR32" i="56"/>
  <c r="BR33" i="56"/>
  <c r="BR34" i="56"/>
  <c r="BR26" i="56"/>
  <c r="BQ27" i="56"/>
  <c r="BQ28" i="56"/>
  <c r="BQ30" i="56"/>
  <c r="BQ31" i="56"/>
  <c r="BQ32" i="56"/>
  <c r="BQ33" i="56"/>
  <c r="BQ34" i="56"/>
  <c r="AD22" i="22" l="1"/>
  <c r="AD26" i="22"/>
  <c r="AD19" i="22"/>
  <c r="AD18" i="22"/>
  <c r="AD17" i="22"/>
  <c r="AD13" i="22"/>
  <c r="AD11" i="22"/>
  <c r="AD10" i="22"/>
  <c r="AD9" i="22"/>
  <c r="F124" i="60" l="1"/>
  <c r="F121" i="60"/>
  <c r="F125" i="59"/>
  <c r="F122" i="59"/>
  <c r="C3" i="53" l="1" a="1"/>
  <c r="C3" i="53" s="1"/>
  <c r="Y60" i="51" l="1"/>
  <c r="AS114" i="60" l="1"/>
  <c r="AE59" i="52"/>
  <c r="Y59" i="52" s="1"/>
  <c r="C26" i="9" l="1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Y11" i="28" l="1"/>
  <c r="AJ7" i="27" l="1"/>
  <c r="AJ8" i="27"/>
  <c r="AJ6" i="27"/>
  <c r="BM103" i="60" l="1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AB71" i="24" l="1"/>
  <c r="L71" i="24"/>
  <c r="H71" i="24"/>
  <c r="C71" i="24"/>
  <c r="AQ71" i="24" s="1"/>
  <c r="AB70" i="24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C65" i="24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J57" i="24" s="1"/>
  <c r="AI58" i="24"/>
  <c r="AI57" i="24" s="1"/>
  <c r="AH58" i="24"/>
  <c r="AG58" i="24"/>
  <c r="AG57" i="24" s="1"/>
  <c r="AE58" i="24"/>
  <c r="AD58" i="24"/>
  <c r="AD57" i="24" s="1"/>
  <c r="AC58" i="24"/>
  <c r="Z58" i="24"/>
  <c r="Z57" i="24" s="1"/>
  <c r="Y58" i="24"/>
  <c r="Y57" i="24" s="1"/>
  <c r="X58" i="24"/>
  <c r="X57" i="24" s="1"/>
  <c r="W58" i="24"/>
  <c r="W57" i="24" s="1"/>
  <c r="V58" i="24"/>
  <c r="R58" i="24"/>
  <c r="R57" i="24" s="1"/>
  <c r="P58" i="24"/>
  <c r="O58" i="24"/>
  <c r="N58" i="24"/>
  <c r="N57" i="24" s="1"/>
  <c r="M58" i="24"/>
  <c r="M57" i="24" s="1"/>
  <c r="K58" i="24"/>
  <c r="K57" i="24" s="1"/>
  <c r="J58" i="24"/>
  <c r="I58" i="24"/>
  <c r="F58" i="24"/>
  <c r="C58" i="24" s="1"/>
  <c r="AO57" i="24"/>
  <c r="AM57" i="24"/>
  <c r="AL57" i="24"/>
  <c r="AK57" i="24"/>
  <c r="AH57" i="24"/>
  <c r="AF57" i="24"/>
  <c r="AE57" i="24"/>
  <c r="AC57" i="24"/>
  <c r="AA57" i="24"/>
  <c r="V57" i="24"/>
  <c r="U57" i="24"/>
  <c r="T57" i="24"/>
  <c r="S57" i="24"/>
  <c r="Q57" i="24"/>
  <c r="I57" i="24"/>
  <c r="G57" i="24"/>
  <c r="E57" i="24"/>
  <c r="AB56" i="24"/>
  <c r="L56" i="24"/>
  <c r="H56" i="24"/>
  <c r="C56" i="24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B43" i="24"/>
  <c r="AQ43" i="24" s="1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E30" i="24"/>
  <c r="AE29" i="24" s="1"/>
  <c r="AD30" i="24"/>
  <c r="AC30" i="24"/>
  <c r="Z30" i="24"/>
  <c r="Y30" i="24"/>
  <c r="X30" i="24"/>
  <c r="W30" i="24"/>
  <c r="W29" i="24" s="1"/>
  <c r="R30" i="24"/>
  <c r="P30" i="24"/>
  <c r="O30" i="24"/>
  <c r="N30" i="24"/>
  <c r="N29" i="24" s="1"/>
  <c r="M30" i="24"/>
  <c r="K30" i="24"/>
  <c r="J30" i="24"/>
  <c r="I30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H7" i="24"/>
  <c r="AG7" i="24"/>
  <c r="AF7" i="24"/>
  <c r="AE7" i="24"/>
  <c r="AE8" i="24" s="1"/>
  <c r="AD7" i="24"/>
  <c r="AD8" i="24" s="1"/>
  <c r="AC7" i="24"/>
  <c r="AC8" i="24" s="1"/>
  <c r="AA7" i="24"/>
  <c r="AA8" i="24" s="1"/>
  <c r="Z7" i="24"/>
  <c r="Y7" i="24"/>
  <c r="X7" i="24"/>
  <c r="W7" i="24"/>
  <c r="V7" i="24"/>
  <c r="U7" i="24"/>
  <c r="T7" i="24"/>
  <c r="S7" i="24"/>
  <c r="R7" i="24"/>
  <c r="Q7" i="24"/>
  <c r="P7" i="24"/>
  <c r="O7" i="24"/>
  <c r="O8" i="24" s="1"/>
  <c r="N7" i="24"/>
  <c r="M7" i="24"/>
  <c r="K7" i="24"/>
  <c r="J7" i="24"/>
  <c r="I7" i="24"/>
  <c r="G7" i="24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B4" i="24"/>
  <c r="L4" i="24"/>
  <c r="H4" i="24"/>
  <c r="C4" i="24"/>
  <c r="AQ4" i="24" s="1"/>
  <c r="AB3" i="24"/>
  <c r="L3" i="24"/>
  <c r="H3" i="24"/>
  <c r="C3" i="24"/>
  <c r="AB2" i="24"/>
  <c r="L2" i="24"/>
  <c r="H2" i="24"/>
  <c r="C2" i="24"/>
  <c r="C45" i="24" l="1"/>
  <c r="AQ50" i="24"/>
  <c r="AQ54" i="24"/>
  <c r="AB58" i="24"/>
  <c r="AB57" i="24" s="1"/>
  <c r="AH26" i="24"/>
  <c r="AH72" i="24" s="1"/>
  <c r="AB15" i="24"/>
  <c r="AI26" i="24"/>
  <c r="AI72" i="24" s="1"/>
  <c r="L9" i="24"/>
  <c r="AI8" i="24"/>
  <c r="I29" i="24"/>
  <c r="AG29" i="24"/>
  <c r="AP29" i="24"/>
  <c r="AQ32" i="24"/>
  <c r="AC29" i="24"/>
  <c r="AK29" i="24"/>
  <c r="D29" i="24"/>
  <c r="Q26" i="24"/>
  <c r="AQ16" i="24"/>
  <c r="H45" i="24"/>
  <c r="L7" i="24"/>
  <c r="J26" i="24"/>
  <c r="J72" i="24" s="1"/>
  <c r="S8" i="24"/>
  <c r="J29" i="24"/>
  <c r="AH29" i="24"/>
  <c r="AQ31" i="24"/>
  <c r="AQ35" i="24"/>
  <c r="G26" i="24"/>
  <c r="K26" i="24"/>
  <c r="K72" i="24" s="1"/>
  <c r="Y29" i="24"/>
  <c r="AI29" i="24"/>
  <c r="AQ47" i="24"/>
  <c r="D57" i="24"/>
  <c r="H58" i="24"/>
  <c r="H57" i="24" s="1"/>
  <c r="Y26" i="24"/>
  <c r="AQ70" i="24"/>
  <c r="AQ3" i="24"/>
  <c r="M8" i="24"/>
  <c r="U8" i="24"/>
  <c r="M29" i="24"/>
  <c r="Z29" i="24"/>
  <c r="AQ55" i="24"/>
  <c r="AQ64" i="24"/>
  <c r="V8" i="24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AQ45" i="24" s="1"/>
  <c r="G72" i="24"/>
  <c r="Q72" i="24"/>
  <c r="AP26" i="24"/>
  <c r="AP72" i="24" s="1"/>
  <c r="C15" i="24"/>
  <c r="AQ15" i="24" s="1"/>
  <c r="D26" i="24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AQ44" i="24"/>
  <c r="AQ46" i="24"/>
  <c r="AB45" i="24"/>
  <c r="AQ63" i="24"/>
  <c r="C57" i="24"/>
  <c r="AQ58" i="24"/>
  <c r="H26" i="24"/>
  <c r="H8" i="24"/>
  <c r="H29" i="24"/>
  <c r="C21" i="24"/>
  <c r="AQ24" i="24"/>
  <c r="AQ65" i="24"/>
  <c r="Y28" i="24"/>
  <c r="Y27" i="24" s="1"/>
  <c r="Y8" i="24" s="1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C30" i="24"/>
  <c r="O57" i="24"/>
  <c r="L21" i="24"/>
  <c r="AB30" i="24"/>
  <c r="J8" i="24"/>
  <c r="R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AN26" i="24"/>
  <c r="AN72" i="24" s="1"/>
  <c r="AQ48" i="24"/>
  <c r="C26" i="24" l="1"/>
  <c r="AB29" i="24"/>
  <c r="D72" i="24"/>
  <c r="Z28" i="24"/>
  <c r="Z27" i="24" s="1"/>
  <c r="Z8" i="24" s="1"/>
  <c r="L29" i="24"/>
  <c r="AK72" i="24"/>
  <c r="L26" i="24"/>
  <c r="H72" i="24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Z72" i="24" l="1"/>
  <c r="X8" i="24"/>
  <c r="X72" i="24"/>
  <c r="AQ28" i="24"/>
  <c r="AQ27" i="24" s="1"/>
  <c r="L27" i="24"/>
  <c r="AQ26" i="24"/>
  <c r="L8" i="24" l="1"/>
  <c r="AQ8" i="24" s="1"/>
  <c r="L72" i="24"/>
  <c r="AQ72" i="24" s="1"/>
  <c r="Y12" i="51" l="1"/>
  <c r="B28" i="43" l="1"/>
  <c r="E26" i="9" s="1"/>
  <c r="B29" i="43"/>
  <c r="E27" i="9" s="1"/>
  <c r="O24" i="52" s="1"/>
  <c r="B27" i="43"/>
  <c r="E25" i="9" s="1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C25" i="9" s="1"/>
  <c r="P22" i="9"/>
  <c r="O22" i="9"/>
  <c r="P19" i="9"/>
  <c r="O19" i="9"/>
  <c r="C17" i="9"/>
  <c r="P16" i="9"/>
  <c r="O16" i="9"/>
  <c r="P13" i="9"/>
  <c r="O13" i="9"/>
  <c r="P10" i="9"/>
  <c r="O10" i="9"/>
  <c r="Q8" i="51" s="1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W5" i="53"/>
  <c r="L5" i="53"/>
  <c r="B16" i="43"/>
  <c r="Y38" i="22"/>
  <c r="Y37" i="22"/>
  <c r="Y36" i="22"/>
  <c r="Y35" i="22"/>
  <c r="P37" i="9"/>
  <c r="O37" i="9"/>
  <c r="P34" i="9"/>
  <c r="O34" i="9"/>
  <c r="M37" i="45" l="1"/>
  <c r="C157" i="58"/>
  <c r="C156" i="58"/>
  <c r="C113" i="58"/>
  <c r="C107" i="58"/>
  <c r="C108" i="58"/>
  <c r="C109" i="58"/>
  <c r="C111" i="58"/>
  <c r="C112" i="58"/>
  <c r="C110" i="58"/>
  <c r="C106" i="5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BJ17" i="56" l="1"/>
  <c r="BG32" i="56" l="1"/>
  <c r="BH32" i="56" s="1"/>
  <c r="BG28" i="56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7" i="28" l="1"/>
  <c r="Q20" i="28"/>
  <c r="Q16" i="28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9" i="22" l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1"/>
  <c r="Y59" i="51" s="1"/>
  <c r="AE59" i="28"/>
  <c r="Y59" i="28" s="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C112" i="60" l="1"/>
  <c r="C113" i="60"/>
  <c r="C107" i="60"/>
  <c r="C108" i="60"/>
  <c r="C109" i="60"/>
  <c r="C110" i="60"/>
  <c r="C111" i="60"/>
  <c r="C106" i="60"/>
  <c r="C113" i="59"/>
  <c r="C107" i="59"/>
  <c r="C108" i="59"/>
  <c r="C106" i="59"/>
  <c r="C109" i="59"/>
  <c r="C110" i="59"/>
  <c r="C111" i="59"/>
  <c r="C112" i="59"/>
  <c r="Q46" i="28"/>
  <c r="M50" i="52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N5" i="53"/>
  <c r="M5" i="53"/>
  <c r="L7" i="53"/>
  <c r="L3" i="53" s="1" a="1"/>
  <c r="L3" i="53" s="1"/>
  <c r="K5" i="53"/>
  <c r="J5" i="53"/>
  <c r="I5" i="53"/>
  <c r="H5" i="53"/>
  <c r="G5" i="53"/>
  <c r="F5" i="53"/>
  <c r="E5" i="53"/>
  <c r="P4" i="56" l="1"/>
  <c r="O3" i="48"/>
  <c r="J6" i="53"/>
  <c r="E7" i="53"/>
  <c r="E3" i="53" a="1"/>
  <c r="E3" i="53" s="1"/>
  <c r="F7" i="53"/>
  <c r="F3" i="53" a="1"/>
  <c r="F3" i="53" s="1"/>
  <c r="S7" i="53"/>
  <c r="S3" i="53" s="1" a="1"/>
  <c r="S3" i="53" s="1"/>
  <c r="X6" i="53"/>
  <c r="X3" i="53" a="1"/>
  <c r="X3" i="53" s="1"/>
  <c r="R6" i="53"/>
  <c r="AB7" i="53"/>
  <c r="AB3" i="53" s="1" a="1"/>
  <c r="AB3" i="53" s="1"/>
  <c r="P6" i="53"/>
  <c r="P3" i="53" a="1"/>
  <c r="P3" i="53" s="1"/>
  <c r="Y6" i="53"/>
  <c r="AA7" i="53"/>
  <c r="AA3" i="53" s="1" a="1"/>
  <c r="AA3" i="53" s="1"/>
  <c r="K7" i="53"/>
  <c r="K3" i="53" s="1" a="1"/>
  <c r="K3" i="53" s="1"/>
  <c r="T7" i="53"/>
  <c r="T3" i="53" a="1"/>
  <c r="T3" i="53" s="1"/>
  <c r="AC7" i="53"/>
  <c r="AC3" i="53" a="1"/>
  <c r="AC3" i="53" s="1"/>
  <c r="M7" i="53"/>
  <c r="M3" i="53" s="1" a="1"/>
  <c r="M3" i="53" s="1"/>
  <c r="U7" i="53"/>
  <c r="U3" i="53" s="1" a="1"/>
  <c r="U3" i="53" s="1"/>
  <c r="AD7" i="53"/>
  <c r="AD3" i="53" a="1"/>
  <c r="AD3" i="53" s="1"/>
  <c r="N7" i="53"/>
  <c r="N3" i="53" a="1"/>
  <c r="N3" i="53" s="1"/>
  <c r="V7" i="53"/>
  <c r="V3" i="53" s="1" a="1"/>
  <c r="V3" i="53" s="1"/>
  <c r="H7" i="53"/>
  <c r="H3" i="53" s="1" a="1"/>
  <c r="H3" i="53" s="1"/>
  <c r="I6" i="53"/>
  <c r="I3" i="53" a="1"/>
  <c r="I3" i="53" s="1"/>
  <c r="Q6" i="53"/>
  <c r="Z6" i="53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O3" i="53" s="1" a="1"/>
  <c r="O3" i="53" s="1"/>
  <c r="P7" i="53"/>
  <c r="Q7" i="53"/>
  <c r="Q3" i="53" s="1" a="1"/>
  <c r="Q3" i="53" s="1"/>
  <c r="J7" i="53"/>
  <c r="J3" i="53" s="1" a="1"/>
  <c r="J3" i="53" s="1"/>
  <c r="R7" i="53"/>
  <c r="R3" i="53" s="1" a="1"/>
  <c r="R3" i="53" s="1"/>
  <c r="Z7" i="53"/>
  <c r="Z3" i="53" s="1" a="1"/>
  <c r="Z3" i="53" s="1"/>
  <c r="W7" i="53"/>
  <c r="W3" i="53" s="1" a="1"/>
  <c r="W3" i="53" s="1"/>
  <c r="X7" i="53"/>
  <c r="I7" i="53"/>
  <c r="Y7" i="53"/>
  <c r="Y3" i="53" s="1" a="1"/>
  <c r="Y3" i="53" s="1"/>
  <c r="G6" i="53"/>
  <c r="O6" i="53"/>
  <c r="W6" i="53"/>
  <c r="H6" i="53"/>
  <c r="G7" i="53"/>
  <c r="G3" i="53" s="1" a="1"/>
  <c r="G3" i="53" s="1"/>
  <c r="K4" i="56" l="1"/>
  <c r="J3" i="48"/>
  <c r="S4" i="56"/>
  <c r="R3" i="48"/>
  <c r="B27" i="48"/>
  <c r="B26" i="48"/>
  <c r="B25" i="48"/>
  <c r="B24" i="48"/>
  <c r="B23" i="48"/>
  <c r="B22" i="48"/>
  <c r="B21" i="48"/>
  <c r="AQ5" i="48"/>
  <c r="L11" i="28"/>
  <c r="O11" i="48"/>
  <c r="O6" i="48"/>
  <c r="O13" i="48"/>
  <c r="O8" i="48"/>
  <c r="O9" i="48"/>
  <c r="O12" i="48"/>
  <c r="O10" i="48"/>
  <c r="O7" i="48"/>
  <c r="O5" i="48"/>
  <c r="Z3" i="48"/>
  <c r="AA4" i="56"/>
  <c r="L21" i="28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Z13" i="48" l="1"/>
  <c r="Z11" i="48"/>
  <c r="Z9" i="48"/>
  <c r="Z7" i="48"/>
  <c r="Z8" i="48"/>
  <c r="Z6" i="48"/>
  <c r="Z5" i="48"/>
  <c r="Z12" i="48"/>
  <c r="Z10" i="48"/>
  <c r="AU40" i="45"/>
  <c r="M13" i="48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BE25" i="45" s="1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AI20" i="52" s="1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BD40" i="45" s="1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BG56" i="45" s="1"/>
  <c r="Z39" i="45"/>
  <c r="BG40" i="45" s="1"/>
  <c r="Z35" i="45"/>
  <c r="AW30" i="45"/>
  <c r="AW22" i="45"/>
  <c r="AU24" i="45"/>
  <c r="AS26" i="45"/>
  <c r="AQ28" i="45"/>
  <c r="Z31" i="45"/>
  <c r="BG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AT24" i="45"/>
  <c r="AR26" i="45"/>
  <c r="AP28" i="45"/>
  <c r="I55" i="45"/>
  <c r="M46" i="51"/>
  <c r="AI45" i="51" s="1"/>
  <c r="AI20" i="51"/>
  <c r="M46" i="28"/>
  <c r="AI45" i="28" s="1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AZ54" i="45"/>
  <c r="AZ24" i="45"/>
  <c r="O9" i="52"/>
  <c r="M9" i="52" s="1"/>
  <c r="E14" i="54"/>
  <c r="C14" i="54"/>
  <c r="L14" i="54" s="1"/>
  <c r="AI58" i="52"/>
  <c r="AZ44" i="45"/>
  <c r="BH26" i="45"/>
  <c r="AZ22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B36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F40" i="45" l="1"/>
  <c r="BE31" i="45"/>
  <c r="BA56" i="45"/>
  <c r="BA31" i="45"/>
  <c r="BN29" i="45"/>
  <c r="BB42" i="45"/>
  <c r="BF31" i="45"/>
  <c r="BD56" i="45"/>
  <c r="BC50" i="45"/>
  <c r="BD52" i="45"/>
  <c r="BB31" i="45"/>
  <c r="BD50" i="45"/>
  <c r="BT25" i="45"/>
  <c r="BC56" i="45"/>
  <c r="BD24" i="45"/>
  <c r="BG36" i="45"/>
  <c r="BG57" i="45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F58" i="45" l="1"/>
  <c r="AZ58" i="45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I6" i="56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81" i="59"/>
  <c r="AD213" i="59"/>
  <c r="AD197" i="59"/>
  <c r="AD157" i="59"/>
  <c r="AD149" i="59"/>
  <c r="AD189" i="59"/>
  <c r="AD205" i="59"/>
  <c r="AD221" i="59"/>
  <c r="AB108" i="59" s="1"/>
  <c r="AD165" i="59"/>
  <c r="AD133" i="59"/>
  <c r="AD173" i="59"/>
  <c r="AD141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4" i="59"/>
  <c r="AF222" i="59"/>
  <c r="AD109" i="59" s="1"/>
  <c r="AF182" i="59"/>
  <c r="AF198" i="59"/>
  <c r="AF174" i="59"/>
  <c r="AF158" i="59"/>
  <c r="AF190" i="59"/>
  <c r="AF134" i="59"/>
  <c r="AF206" i="59"/>
  <c r="AF142" i="59"/>
  <c r="AF166" i="59"/>
  <c r="AF150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7" i="59"/>
  <c r="AE213" i="59"/>
  <c r="AE221" i="59"/>
  <c r="AC108" i="59" s="1"/>
  <c r="AE157" i="59"/>
  <c r="AE189" i="59"/>
  <c r="AE149" i="59"/>
  <c r="AE205" i="59"/>
  <c r="AE173" i="59"/>
  <c r="AE181" i="59"/>
  <c r="AE165" i="59"/>
  <c r="AE133" i="59"/>
  <c r="AE141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7" i="59"/>
  <c r="AB115" i="59" s="1"/>
  <c r="AD169" i="59"/>
  <c r="AB50" i="59" s="1"/>
  <c r="AD225" i="59"/>
  <c r="AB113" i="59" s="1"/>
  <c r="AD201" i="59"/>
  <c r="AB86" i="59" s="1"/>
  <c r="AD217" i="59"/>
  <c r="AB104" i="59" s="1"/>
  <c r="AD177" i="59"/>
  <c r="AB59" i="59" s="1"/>
  <c r="AD209" i="59"/>
  <c r="AB95" i="59" s="1"/>
  <c r="AD137" i="59"/>
  <c r="AB14" i="59" s="1"/>
  <c r="AD161" i="59"/>
  <c r="AB41" i="59" s="1"/>
  <c r="AD153" i="59"/>
  <c r="AB32" i="59" s="1"/>
  <c r="AD145" i="59"/>
  <c r="AB23" i="59" s="1"/>
  <c r="AD203" i="59"/>
  <c r="AD211" i="59"/>
  <c r="AD163" i="59"/>
  <c r="AD219" i="59"/>
  <c r="AB106" i="59" s="1"/>
  <c r="AD171" i="59"/>
  <c r="AD187" i="59"/>
  <c r="AD155" i="59"/>
  <c r="AD179" i="59"/>
  <c r="AD139" i="59"/>
  <c r="AD195" i="59"/>
  <c r="AD131" i="59"/>
  <c r="AD147" i="59"/>
  <c r="AD193" i="59"/>
  <c r="AB77" i="59" s="1"/>
  <c r="AD185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2" i="59"/>
  <c r="AE158" i="59"/>
  <c r="AE174" i="59"/>
  <c r="AE150" i="59"/>
  <c r="AE206" i="59"/>
  <c r="AE222" i="59"/>
  <c r="AC109" i="59" s="1"/>
  <c r="AE214" i="59"/>
  <c r="AE134" i="59"/>
  <c r="AE198" i="59"/>
  <c r="AE142" i="59"/>
  <c r="AE190" i="59"/>
  <c r="AE166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3" i="59"/>
  <c r="AB110" i="59" s="1"/>
  <c r="AD199" i="59"/>
  <c r="AD151" i="59"/>
  <c r="AD167" i="59"/>
  <c r="AD183" i="59"/>
  <c r="AD191" i="59"/>
  <c r="AD207" i="59"/>
  <c r="AD215" i="59"/>
  <c r="AD159" i="59"/>
  <c r="AD135" i="59"/>
  <c r="AD143" i="59"/>
  <c r="AD175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2" i="59"/>
  <c r="AF220" i="59"/>
  <c r="AD107" i="59" s="1"/>
  <c r="AF180" i="59"/>
  <c r="AF204" i="59"/>
  <c r="AF172" i="59"/>
  <c r="AF196" i="59"/>
  <c r="AF164" i="59"/>
  <c r="AF156" i="59"/>
  <c r="AF132" i="59"/>
  <c r="AF140" i="59"/>
  <c r="AF188" i="59"/>
  <c r="AF148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W197" i="60"/>
  <c r="W165" i="60"/>
  <c r="W189" i="60"/>
  <c r="W205" i="60"/>
  <c r="W221" i="60"/>
  <c r="U109" i="60" s="1"/>
  <c r="W141" i="60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6" i="59"/>
  <c r="AD224" i="59"/>
  <c r="AB111" i="59" s="1"/>
  <c r="AD200" i="59"/>
  <c r="AD176" i="59"/>
  <c r="AD192" i="59"/>
  <c r="AD160" i="59"/>
  <c r="AD136" i="59"/>
  <c r="AD208" i="59"/>
  <c r="AD168" i="59"/>
  <c r="AD152" i="59"/>
  <c r="AD184" i="59"/>
  <c r="AD144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4" i="59"/>
  <c r="AD212" i="59"/>
  <c r="AD164" i="59"/>
  <c r="AD220" i="59"/>
  <c r="AB107" i="59" s="1"/>
  <c r="AD180" i="59"/>
  <c r="AD172" i="59"/>
  <c r="AD148" i="59"/>
  <c r="AD196" i="59"/>
  <c r="AD156" i="59"/>
  <c r="AD140" i="59"/>
  <c r="AD188" i="59"/>
  <c r="AD132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7" i="59"/>
  <c r="AD115" i="59" s="1"/>
  <c r="AF169" i="59"/>
  <c r="AD50" i="59" s="1"/>
  <c r="AF225" i="59"/>
  <c r="AD113" i="59" s="1"/>
  <c r="AF201" i="59"/>
  <c r="AD86" i="59" s="1"/>
  <c r="AF217" i="59"/>
  <c r="AD104" i="59" s="1"/>
  <c r="AF177" i="59"/>
  <c r="AD59" i="59" s="1"/>
  <c r="AF209" i="59"/>
  <c r="AD95" i="59" s="1"/>
  <c r="AF137" i="59"/>
  <c r="AD14" i="59" s="1"/>
  <c r="AF153" i="59"/>
  <c r="AD32" i="59" s="1"/>
  <c r="AF145" i="59"/>
  <c r="AD23" i="59" s="1"/>
  <c r="AF161" i="59"/>
  <c r="AD41" i="59" s="1"/>
  <c r="AF211" i="59"/>
  <c r="AF195" i="59"/>
  <c r="AF203" i="59"/>
  <c r="AF171" i="59"/>
  <c r="AF147" i="59"/>
  <c r="AF155" i="59"/>
  <c r="AF131" i="59"/>
  <c r="AF219" i="59"/>
  <c r="AD106" i="59" s="1"/>
  <c r="AF179" i="59"/>
  <c r="AF187" i="59"/>
  <c r="AF139" i="59"/>
  <c r="AF163" i="59"/>
  <c r="AF185" i="59"/>
  <c r="AD68" i="59" s="1"/>
  <c r="AF193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Z155" i="60"/>
  <c r="Z219" i="60"/>
  <c r="X107" i="60" s="1"/>
  <c r="Z171" i="60"/>
  <c r="Z187" i="60"/>
  <c r="Z203" i="60"/>
  <c r="Z163" i="60"/>
  <c r="Z147" i="60"/>
  <c r="Z211" i="60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91" i="59"/>
  <c r="AF215" i="59"/>
  <c r="AF223" i="59"/>
  <c r="AD110" i="59" s="1"/>
  <c r="AF207" i="59"/>
  <c r="AF151" i="59"/>
  <c r="AF143" i="59"/>
  <c r="AF183" i="59"/>
  <c r="AF199" i="59"/>
  <c r="AF159" i="59"/>
  <c r="AF135" i="59"/>
  <c r="AF175" i="59"/>
  <c r="AF167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I171" i="60"/>
  <c r="I203" i="60"/>
  <c r="I179" i="60"/>
  <c r="I219" i="60"/>
  <c r="G107" i="60" s="1"/>
  <c r="I131" i="60"/>
  <c r="I155" i="60"/>
  <c r="I139" i="60"/>
  <c r="I195" i="60"/>
  <c r="I147" i="60"/>
  <c r="I211" i="60"/>
  <c r="I163" i="60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Q221" i="60"/>
  <c r="O109" i="60" s="1"/>
  <c r="Q149" i="60"/>
  <c r="O28" i="60" s="1"/>
  <c r="Q181" i="60"/>
  <c r="Q165" i="60"/>
  <c r="Q133" i="60"/>
  <c r="Q197" i="60"/>
  <c r="Q157" i="60"/>
  <c r="Q173" i="60"/>
  <c r="Q141" i="60"/>
  <c r="AE180" i="59"/>
  <c r="AE212" i="59"/>
  <c r="AE196" i="59"/>
  <c r="AE220" i="59"/>
  <c r="AC107" i="59" s="1"/>
  <c r="AE188" i="59"/>
  <c r="AE204" i="59"/>
  <c r="AE164" i="59"/>
  <c r="AE172" i="59"/>
  <c r="AE156" i="59"/>
  <c r="AE148" i="59"/>
  <c r="AE132" i="59"/>
  <c r="AE140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K203" i="60"/>
  <c r="K155" i="60"/>
  <c r="K139" i="60"/>
  <c r="K219" i="60"/>
  <c r="I107" i="60" s="1"/>
  <c r="K195" i="60"/>
  <c r="I80" i="60" s="1"/>
  <c r="K131" i="60"/>
  <c r="K179" i="60"/>
  <c r="K147" i="60"/>
  <c r="K163" i="60"/>
  <c r="K211" i="60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C219" i="60"/>
  <c r="AA107" i="60" s="1"/>
  <c r="AC147" i="60"/>
  <c r="AC179" i="60"/>
  <c r="AC163" i="60"/>
  <c r="AC195" i="60"/>
  <c r="AC155" i="60"/>
  <c r="AC203" i="60"/>
  <c r="AC171" i="60"/>
  <c r="AC139" i="60"/>
  <c r="AC131" i="60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E186" i="60"/>
  <c r="AE202" i="60"/>
  <c r="AE218" i="60"/>
  <c r="AC106" i="60" s="1"/>
  <c r="AE178" i="60"/>
  <c r="AE162" i="60"/>
  <c r="AE154" i="60"/>
  <c r="AE194" i="60"/>
  <c r="AE170" i="60"/>
  <c r="AE130" i="60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X178" i="60"/>
  <c r="X194" i="60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7" i="59"/>
  <c r="AC115" i="59" s="1"/>
  <c r="AE169" i="59"/>
  <c r="AC50" i="59" s="1"/>
  <c r="AE225" i="59"/>
  <c r="AC113" i="59" s="1"/>
  <c r="AE201" i="59"/>
  <c r="AC86" i="59" s="1"/>
  <c r="AE217" i="59"/>
  <c r="AC104" i="59" s="1"/>
  <c r="AE177" i="59"/>
  <c r="AC59" i="59" s="1"/>
  <c r="AE209" i="59"/>
  <c r="AC95" i="59" s="1"/>
  <c r="AE137" i="59"/>
  <c r="AC14" i="59" s="1"/>
  <c r="AE161" i="59"/>
  <c r="AC41" i="59" s="1"/>
  <c r="AE153" i="59"/>
  <c r="AC32" i="59" s="1"/>
  <c r="AE145" i="59"/>
  <c r="AC23" i="59" s="1"/>
  <c r="AE187" i="59"/>
  <c r="AE211" i="59"/>
  <c r="AE219" i="59"/>
  <c r="AC106" i="59" s="1"/>
  <c r="AE179" i="59"/>
  <c r="AE195" i="59"/>
  <c r="AE155" i="59"/>
  <c r="AE203" i="59"/>
  <c r="AE147" i="59"/>
  <c r="AE163" i="59"/>
  <c r="AE139" i="59"/>
  <c r="AE171" i="59"/>
  <c r="AE131" i="59"/>
  <c r="AE193" i="59"/>
  <c r="AC77" i="59" s="1"/>
  <c r="AE185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AB167" i="60"/>
  <c r="AB207" i="60"/>
  <c r="AB215" i="60"/>
  <c r="AB223" i="60"/>
  <c r="Z111" i="60" s="1"/>
  <c r="AB175" i="60"/>
  <c r="AB143" i="60"/>
  <c r="AB135" i="60"/>
  <c r="AB199" i="60"/>
  <c r="O201" i="56"/>
  <c r="P156" i="60"/>
  <c r="P220" i="60"/>
  <c r="N108" i="60" s="1"/>
  <c r="P188" i="60"/>
  <c r="P204" i="60"/>
  <c r="P212" i="60"/>
  <c r="P180" i="60"/>
  <c r="P148" i="60"/>
  <c r="P132" i="60"/>
  <c r="P164" i="60"/>
  <c r="P140" i="60"/>
  <c r="P172" i="60"/>
  <c r="P196" i="60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J182" i="59"/>
  <c r="J150" i="59"/>
  <c r="J206" i="59"/>
  <c r="J158" i="59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8" i="59"/>
  <c r="AF224" i="59"/>
  <c r="AD111" i="59" s="1"/>
  <c r="AF200" i="59"/>
  <c r="AF192" i="59"/>
  <c r="AF176" i="59"/>
  <c r="AF216" i="59"/>
  <c r="AF168" i="59"/>
  <c r="AF152" i="59"/>
  <c r="AF184" i="59"/>
  <c r="AF160" i="59"/>
  <c r="AF136" i="59"/>
  <c r="AF144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J172" i="60"/>
  <c r="J212" i="60"/>
  <c r="J220" i="60"/>
  <c r="H108" i="60" s="1"/>
  <c r="J180" i="60"/>
  <c r="J196" i="60"/>
  <c r="J148" i="60"/>
  <c r="J140" i="60"/>
  <c r="J132" i="60"/>
  <c r="J188" i="60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H199" i="60"/>
  <c r="H167" i="60"/>
  <c r="H215" i="60"/>
  <c r="H223" i="60"/>
  <c r="F111" i="60" s="1"/>
  <c r="H135" i="60"/>
  <c r="H191" i="60"/>
  <c r="H183" i="60"/>
  <c r="H151" i="60"/>
  <c r="H159" i="60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K148" i="59"/>
  <c r="K220" i="59"/>
  <c r="I107" i="59" s="1"/>
  <c r="K164" i="59"/>
  <c r="K156" i="59"/>
  <c r="K132" i="59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G130" i="60"/>
  <c r="G146" i="60"/>
  <c r="G154" i="60"/>
  <c r="G178" i="60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T214" i="60"/>
  <c r="T134" i="60"/>
  <c r="T158" i="60"/>
  <c r="T142" i="60"/>
  <c r="T166" i="60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S182" i="60"/>
  <c r="S174" i="60"/>
  <c r="S158" i="60"/>
  <c r="S142" i="60"/>
  <c r="S150" i="60"/>
  <c r="S166" i="60"/>
  <c r="S190" i="60"/>
  <c r="S134" i="60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L173" i="60"/>
  <c r="L213" i="60"/>
  <c r="L221" i="60"/>
  <c r="J109" i="60" s="1"/>
  <c r="L189" i="60"/>
  <c r="L205" i="60"/>
  <c r="L133" i="60"/>
  <c r="L141" i="60"/>
  <c r="L181" i="60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3" i="59"/>
  <c r="AE215" i="59"/>
  <c r="AE223" i="59"/>
  <c r="AC110" i="59" s="1"/>
  <c r="AE191" i="59"/>
  <c r="AE207" i="59"/>
  <c r="AE167" i="59"/>
  <c r="AE151" i="59"/>
  <c r="AE159" i="59"/>
  <c r="AE199" i="59"/>
  <c r="AE175" i="59"/>
  <c r="AE135" i="59"/>
  <c r="AE143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Y164" i="60"/>
  <c r="Y188" i="60"/>
  <c r="Y204" i="60"/>
  <c r="Y180" i="60"/>
  <c r="Y140" i="60"/>
  <c r="Y132" i="60"/>
  <c r="Y148" i="60"/>
  <c r="Y196" i="60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M180" i="60"/>
  <c r="M196" i="60"/>
  <c r="M188" i="60"/>
  <c r="M212" i="60"/>
  <c r="M204" i="60"/>
  <c r="M132" i="60"/>
  <c r="M140" i="60"/>
  <c r="M148" i="60"/>
  <c r="M172" i="60"/>
  <c r="M156" i="60"/>
  <c r="W192" i="56"/>
  <c r="X221" i="59"/>
  <c r="V108" i="59" s="1"/>
  <c r="X181" i="59"/>
  <c r="X197" i="59"/>
  <c r="X173" i="59"/>
  <c r="X205" i="59"/>
  <c r="X133" i="59"/>
  <c r="X165" i="59"/>
  <c r="X213" i="59"/>
  <c r="X157" i="59"/>
  <c r="X189" i="59"/>
  <c r="X141" i="59"/>
  <c r="X149" i="59"/>
  <c r="AC212" i="59"/>
  <c r="AC220" i="59"/>
  <c r="AA107" i="59" s="1"/>
  <c r="AC180" i="59"/>
  <c r="AC164" i="59"/>
  <c r="AC188" i="59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D220" i="60"/>
  <c r="AB108" i="60" s="1"/>
  <c r="AD188" i="60"/>
  <c r="AD132" i="60"/>
  <c r="AD204" i="60"/>
  <c r="AD140" i="60"/>
  <c r="AD196" i="60"/>
  <c r="AD164" i="60"/>
  <c r="AD172" i="60"/>
  <c r="N203" i="56"/>
  <c r="O214" i="60"/>
  <c r="O190" i="60"/>
  <c r="O150" i="60"/>
  <c r="O182" i="60"/>
  <c r="O166" i="60"/>
  <c r="O198" i="60"/>
  <c r="O222" i="60"/>
  <c r="M110" i="60" s="1"/>
  <c r="O174" i="60"/>
  <c r="O158" i="60"/>
  <c r="O142" i="60"/>
  <c r="O134" i="60"/>
  <c r="O206" i="60"/>
  <c r="K192" i="56"/>
  <c r="L205" i="59"/>
  <c r="L221" i="59"/>
  <c r="J108" i="59" s="1"/>
  <c r="L197" i="59"/>
  <c r="L165" i="59"/>
  <c r="L189" i="59"/>
  <c r="L141" i="59"/>
  <c r="L213" i="59"/>
  <c r="L173" i="59"/>
  <c r="L181" i="59"/>
  <c r="L149" i="59"/>
  <c r="L157" i="59"/>
  <c r="L133" i="59"/>
  <c r="H192" i="56"/>
  <c r="I197" i="59"/>
  <c r="I213" i="59"/>
  <c r="I221" i="59"/>
  <c r="G108" i="59" s="1"/>
  <c r="I189" i="59"/>
  <c r="I133" i="59"/>
  <c r="I205" i="59"/>
  <c r="I165" i="59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AA174" i="60"/>
  <c r="AA158" i="60"/>
  <c r="AA190" i="60"/>
  <c r="AA214" i="60"/>
  <c r="AA142" i="60"/>
  <c r="AA150" i="60"/>
  <c r="AA166" i="60"/>
  <c r="AA206" i="60"/>
  <c r="AA134" i="60"/>
  <c r="AE192" i="56"/>
  <c r="AF213" i="59"/>
  <c r="AF221" i="59"/>
  <c r="AD108" i="59" s="1"/>
  <c r="AF181" i="59"/>
  <c r="AF197" i="59"/>
  <c r="AF157" i="59"/>
  <c r="AF173" i="59"/>
  <c r="AF205" i="59"/>
  <c r="AF149" i="59"/>
  <c r="AF133" i="59"/>
  <c r="AF165" i="59"/>
  <c r="AF141" i="59"/>
  <c r="AF189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T149" i="59"/>
  <c r="P195" i="56"/>
  <c r="Q208" i="59"/>
  <c r="Q216" i="59"/>
  <c r="Q224" i="59"/>
  <c r="O111" i="59" s="1"/>
  <c r="Q176" i="59"/>
  <c r="Q160" i="59"/>
  <c r="Q200" i="59"/>
  <c r="Q192" i="59"/>
  <c r="Q184" i="59"/>
  <c r="Q168" i="59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R172" i="59"/>
  <c r="R196" i="59"/>
  <c r="R188" i="59"/>
  <c r="R132" i="59"/>
  <c r="R148" i="59"/>
  <c r="R164" i="59"/>
  <c r="P44" i="59" s="1"/>
  <c r="R204" i="59"/>
  <c r="U204" i="56"/>
  <c r="V191" i="60"/>
  <c r="V215" i="60"/>
  <c r="V167" i="60"/>
  <c r="V183" i="60"/>
  <c r="V199" i="60"/>
  <c r="V207" i="60"/>
  <c r="V175" i="60"/>
  <c r="V143" i="60"/>
  <c r="V135" i="60"/>
  <c r="V159" i="60"/>
  <c r="V223" i="60"/>
  <c r="T111" i="60" s="1"/>
  <c r="V151" i="60"/>
  <c r="AC193" i="56"/>
  <c r="AD182" i="59"/>
  <c r="AD198" i="59"/>
  <c r="AD214" i="59"/>
  <c r="AD166" i="59"/>
  <c r="AD222" i="59"/>
  <c r="AB109" i="59" s="1"/>
  <c r="AD158" i="59"/>
  <c r="AD134" i="59"/>
  <c r="AD190" i="59"/>
  <c r="AD150" i="59"/>
  <c r="AD206" i="59"/>
  <c r="AD174" i="59"/>
  <c r="AD142" i="59"/>
  <c r="X195" i="56"/>
  <c r="Y192" i="59"/>
  <c r="Y216" i="59"/>
  <c r="Y224" i="59"/>
  <c r="W111" i="59" s="1"/>
  <c r="Y144" i="59"/>
  <c r="Y176" i="59"/>
  <c r="Y208" i="59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U171" i="59"/>
  <c r="U179" i="59"/>
  <c r="U163" i="59"/>
  <c r="U203" i="59"/>
  <c r="U147" i="59"/>
  <c r="U155" i="59"/>
  <c r="U139" i="59"/>
  <c r="U195" i="59"/>
  <c r="U131" i="59"/>
  <c r="U193" i="59"/>
  <c r="S77" i="59" s="1"/>
  <c r="U185" i="59"/>
  <c r="S68" i="59" s="1"/>
  <c r="AD195" i="56"/>
  <c r="AE192" i="59"/>
  <c r="AE208" i="59"/>
  <c r="AE216" i="59"/>
  <c r="AE224" i="59"/>
  <c r="AC111" i="59" s="1"/>
  <c r="AE168" i="59"/>
  <c r="AE200" i="59"/>
  <c r="AE176" i="59"/>
  <c r="AE160" i="59"/>
  <c r="AE184" i="59"/>
  <c r="AE152" i="59"/>
  <c r="AE136" i="59"/>
  <c r="AE144" i="59"/>
  <c r="Q201" i="56"/>
  <c r="R212" i="60"/>
  <c r="R220" i="60"/>
  <c r="P108" i="60" s="1"/>
  <c r="R180" i="60"/>
  <c r="R196" i="60"/>
  <c r="R148" i="60"/>
  <c r="R188" i="60"/>
  <c r="R156" i="60"/>
  <c r="R164" i="60"/>
  <c r="R204" i="60"/>
  <c r="R172" i="60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W155" i="59"/>
  <c r="W139" i="59"/>
  <c r="W187" i="59"/>
  <c r="W163" i="59"/>
  <c r="W211" i="59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U210" i="60"/>
  <c r="U170" i="60"/>
  <c r="U162" i="60"/>
  <c r="U186" i="60"/>
  <c r="U202" i="60"/>
  <c r="U178" i="60"/>
  <c r="U154" i="60"/>
  <c r="U194" i="60"/>
  <c r="U138" i="60"/>
  <c r="U130" i="60"/>
  <c r="U146" i="60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F178" i="60"/>
  <c r="AF194" i="60"/>
  <c r="AF218" i="60"/>
  <c r="AD106" i="60" s="1"/>
  <c r="AF162" i="60"/>
  <c r="AF146" i="60"/>
  <c r="AF138" i="60"/>
  <c r="AF130" i="60"/>
  <c r="AF170" i="60"/>
  <c r="AD52" i="60" s="1"/>
  <c r="AF186" i="60"/>
  <c r="AF154" i="60"/>
  <c r="AF192" i="60"/>
  <c r="AD77" i="60" s="1"/>
  <c r="AF184" i="60"/>
  <c r="AD68" i="60" s="1"/>
  <c r="K185" i="56"/>
  <c r="L228" i="58"/>
  <c r="L260" i="58"/>
  <c r="J110" i="58" s="1"/>
  <c r="L252" i="58"/>
  <c r="L244" i="58"/>
  <c r="L204" i="58"/>
  <c r="L212" i="58"/>
  <c r="L220" i="58"/>
  <c r="L236" i="58"/>
  <c r="L196" i="58"/>
  <c r="L188" i="58"/>
  <c r="L172" i="58"/>
  <c r="L180" i="58"/>
  <c r="V185" i="56"/>
  <c r="W260" i="58"/>
  <c r="U110" i="58" s="1"/>
  <c r="W228" i="58"/>
  <c r="W252" i="58"/>
  <c r="W204" i="58"/>
  <c r="W236" i="58"/>
  <c r="W244" i="58"/>
  <c r="W212" i="58"/>
  <c r="W220" i="58"/>
  <c r="W196" i="58"/>
  <c r="W180" i="58"/>
  <c r="W188" i="58"/>
  <c r="W172" i="58"/>
  <c r="M186" i="56"/>
  <c r="N229" i="58"/>
  <c r="N261" i="58"/>
  <c r="L111" i="58" s="1"/>
  <c r="N253" i="58"/>
  <c r="N213" i="58"/>
  <c r="N205" i="58"/>
  <c r="N237" i="58"/>
  <c r="N221" i="58"/>
  <c r="N197" i="58"/>
  <c r="N245" i="58"/>
  <c r="N181" i="58"/>
  <c r="N173" i="58"/>
  <c r="N189" i="58"/>
  <c r="W264" i="58"/>
  <c r="U115" i="58" s="1"/>
  <c r="W246" i="58"/>
  <c r="U95" i="58" s="1"/>
  <c r="W208" i="58"/>
  <c r="W198" i="58"/>
  <c r="U41" i="58" s="1"/>
  <c r="W224" i="58"/>
  <c r="W256" i="58"/>
  <c r="U106" i="58" s="1"/>
  <c r="W248" i="58"/>
  <c r="W190" i="58"/>
  <c r="U32" i="58" s="1"/>
  <c r="W222" i="58"/>
  <c r="U68" i="58" s="1"/>
  <c r="W200" i="58"/>
  <c r="W240" i="58"/>
  <c r="W232" i="58"/>
  <c r="W206" i="58"/>
  <c r="U50" i="58" s="1"/>
  <c r="W238" i="58"/>
  <c r="U86" i="58" s="1"/>
  <c r="W216" i="58"/>
  <c r="W214" i="58"/>
  <c r="U59" i="58" s="1"/>
  <c r="W230" i="58"/>
  <c r="U77" i="58" s="1"/>
  <c r="W262" i="58"/>
  <c r="U113" i="58" s="1"/>
  <c r="W254" i="58"/>
  <c r="U104" i="58" s="1"/>
  <c r="W174" i="58"/>
  <c r="U14" i="58" s="1"/>
  <c r="W168" i="58"/>
  <c r="W184" i="58"/>
  <c r="W182" i="58"/>
  <c r="U23" i="58" s="1"/>
  <c r="W192" i="58"/>
  <c r="W176" i="58"/>
  <c r="U182" i="56"/>
  <c r="V209" i="58"/>
  <c r="V225" i="58"/>
  <c r="V257" i="58"/>
  <c r="T107" i="58" s="1"/>
  <c r="V249" i="58"/>
  <c r="V201" i="58"/>
  <c r="V233" i="58"/>
  <c r="V241" i="58"/>
  <c r="V217" i="58"/>
  <c r="V193" i="58"/>
  <c r="V185" i="58"/>
  <c r="V169" i="58"/>
  <c r="V177" i="58"/>
  <c r="AA186" i="56"/>
  <c r="AB261" i="58"/>
  <c r="Z111" i="58" s="1"/>
  <c r="AB229" i="58"/>
  <c r="AB213" i="58"/>
  <c r="AB253" i="58"/>
  <c r="AB237" i="58"/>
  <c r="AB245" i="58"/>
  <c r="AB205" i="58"/>
  <c r="AB221" i="58"/>
  <c r="AB197" i="58"/>
  <c r="AB181" i="58"/>
  <c r="AB189" i="58"/>
  <c r="AB173" i="58"/>
  <c r="O182" i="56"/>
  <c r="P209" i="58"/>
  <c r="P249" i="58"/>
  <c r="P257" i="58"/>
  <c r="N107" i="58" s="1"/>
  <c r="P225" i="58"/>
  <c r="P201" i="58"/>
  <c r="P233" i="58"/>
  <c r="P193" i="58"/>
  <c r="P241" i="58"/>
  <c r="P169" i="58"/>
  <c r="P177" i="58"/>
  <c r="P217" i="58"/>
  <c r="P185" i="58"/>
  <c r="L182" i="56"/>
  <c r="M225" i="58"/>
  <c r="M209" i="58"/>
  <c r="M257" i="58"/>
  <c r="K107" i="58" s="1"/>
  <c r="M249" i="58"/>
  <c r="M241" i="58"/>
  <c r="M201" i="58"/>
  <c r="M233" i="58"/>
  <c r="M185" i="58"/>
  <c r="M217" i="58"/>
  <c r="M193" i="58"/>
  <c r="M177" i="58"/>
  <c r="M169" i="58"/>
  <c r="AA183" i="56"/>
  <c r="AB226" i="58"/>
  <c r="AB258" i="58"/>
  <c r="Z108" i="58" s="1"/>
  <c r="AB210" i="58"/>
  <c r="AB250" i="58"/>
  <c r="AB234" i="58"/>
  <c r="AB202" i="58"/>
  <c r="AB242" i="58"/>
  <c r="AB218" i="58"/>
  <c r="AB194" i="58"/>
  <c r="AB178" i="58"/>
  <c r="AB186" i="58"/>
  <c r="AB170" i="58"/>
  <c r="AE184" i="56"/>
  <c r="AF259" i="58"/>
  <c r="AD109" i="58" s="1"/>
  <c r="AF211" i="58"/>
  <c r="AF251" i="58"/>
  <c r="AF235" i="58"/>
  <c r="AF227" i="58"/>
  <c r="AF203" i="58"/>
  <c r="AF195" i="58"/>
  <c r="AF187" i="58"/>
  <c r="AF171" i="58"/>
  <c r="AF219" i="58"/>
  <c r="AF243" i="58"/>
  <c r="AF179" i="58"/>
  <c r="W183" i="56"/>
  <c r="X258" i="58"/>
  <c r="V108" i="58" s="1"/>
  <c r="X250" i="58"/>
  <c r="X226" i="58"/>
  <c r="X210" i="58"/>
  <c r="X202" i="58"/>
  <c r="X242" i="58"/>
  <c r="X234" i="58"/>
  <c r="X218" i="58"/>
  <c r="X186" i="58"/>
  <c r="X178" i="58"/>
  <c r="X170" i="58"/>
  <c r="X194" i="58"/>
  <c r="F184" i="56"/>
  <c r="G259" i="58"/>
  <c r="E109" i="58" s="1"/>
  <c r="G227" i="58"/>
  <c r="G251" i="58"/>
  <c r="G243" i="58"/>
  <c r="G219" i="58"/>
  <c r="G211" i="58"/>
  <c r="G235" i="58"/>
  <c r="G195" i="58"/>
  <c r="G171" i="58"/>
  <c r="G203" i="58"/>
  <c r="G187" i="58"/>
  <c r="G179" i="58"/>
  <c r="AE182" i="56"/>
  <c r="AF257" i="58"/>
  <c r="AD107" i="58" s="1"/>
  <c r="AF249" i="58"/>
  <c r="AF233" i="58"/>
  <c r="AF209" i="58"/>
  <c r="AF225" i="58"/>
  <c r="AF201" i="58"/>
  <c r="AF217" i="58"/>
  <c r="AF193" i="58"/>
  <c r="AF241" i="58"/>
  <c r="AF177" i="58"/>
  <c r="AF185" i="58"/>
  <c r="AF169" i="58"/>
  <c r="AE183" i="56"/>
  <c r="AF250" i="58"/>
  <c r="AF226" i="58"/>
  <c r="AF210" i="58"/>
  <c r="AF258" i="58"/>
  <c r="AD108" i="58" s="1"/>
  <c r="AF218" i="58"/>
  <c r="AF202" i="58"/>
  <c r="AF234" i="58"/>
  <c r="AF242" i="58"/>
  <c r="AF178" i="58"/>
  <c r="AF194" i="58"/>
  <c r="AF170" i="58"/>
  <c r="AF186" i="58"/>
  <c r="X186" i="56"/>
  <c r="Y213" i="58"/>
  <c r="Y253" i="58"/>
  <c r="Y229" i="58"/>
  <c r="Y261" i="58"/>
  <c r="W111" i="58" s="1"/>
  <c r="Y205" i="58"/>
  <c r="Y245" i="58"/>
  <c r="Y221" i="58"/>
  <c r="Y197" i="58"/>
  <c r="Y237" i="58"/>
  <c r="Y181" i="58"/>
  <c r="Y173" i="58"/>
  <c r="Y189" i="58"/>
  <c r="T184" i="56"/>
  <c r="U251" i="58"/>
  <c r="U211" i="58"/>
  <c r="U235" i="58"/>
  <c r="U227" i="58"/>
  <c r="U243" i="58"/>
  <c r="U259" i="58"/>
  <c r="S109" i="58" s="1"/>
  <c r="U195" i="58"/>
  <c r="U203" i="58"/>
  <c r="U219" i="58"/>
  <c r="U179" i="58"/>
  <c r="U171" i="58"/>
  <c r="U187" i="58"/>
  <c r="S183" i="56"/>
  <c r="T258" i="58"/>
  <c r="R108" i="58" s="1"/>
  <c r="T226" i="58"/>
  <c r="T250" i="58"/>
  <c r="T242" i="58"/>
  <c r="T234" i="58"/>
  <c r="T210" i="58"/>
  <c r="T202" i="58"/>
  <c r="T186" i="58"/>
  <c r="T218" i="58"/>
  <c r="T194" i="58"/>
  <c r="T178" i="58"/>
  <c r="T170" i="58"/>
  <c r="H185" i="56"/>
  <c r="I228" i="58"/>
  <c r="I252" i="58"/>
  <c r="I212" i="58"/>
  <c r="I260" i="58"/>
  <c r="G110" i="58" s="1"/>
  <c r="I204" i="58"/>
  <c r="I244" i="58"/>
  <c r="I236" i="58"/>
  <c r="I196" i="58"/>
  <c r="I220" i="58"/>
  <c r="I180" i="58"/>
  <c r="I188" i="58"/>
  <c r="I172" i="58"/>
  <c r="AB186" i="56"/>
  <c r="AC229" i="58"/>
  <c r="AC261" i="58"/>
  <c r="AA111" i="58" s="1"/>
  <c r="AC253" i="58"/>
  <c r="AC245" i="58"/>
  <c r="AC237" i="58"/>
  <c r="AC205" i="58"/>
  <c r="AC213" i="58"/>
  <c r="AC221" i="58"/>
  <c r="AC197" i="58"/>
  <c r="AC189" i="58"/>
  <c r="AC173" i="58"/>
  <c r="AC181" i="58"/>
  <c r="G185" i="56"/>
  <c r="H212" i="58"/>
  <c r="H228" i="58"/>
  <c r="H260" i="58"/>
  <c r="F110" i="58" s="1"/>
  <c r="H252" i="58"/>
  <c r="H244" i="58"/>
  <c r="H204" i="58"/>
  <c r="H196" i="58"/>
  <c r="H220" i="58"/>
  <c r="H188" i="58"/>
  <c r="H236" i="58"/>
  <c r="H172" i="58"/>
  <c r="H180" i="58"/>
  <c r="AD184" i="56"/>
  <c r="AE211" i="58"/>
  <c r="AE259" i="58"/>
  <c r="AC109" i="58" s="1"/>
  <c r="AE227" i="58"/>
  <c r="AE251" i="58"/>
  <c r="AE235" i="58"/>
  <c r="AE203" i="58"/>
  <c r="AE243" i="58"/>
  <c r="AE219" i="58"/>
  <c r="AE195" i="58"/>
  <c r="AE187" i="58"/>
  <c r="AE179" i="58"/>
  <c r="AE171" i="58"/>
  <c r="P264" i="58"/>
  <c r="N115" i="58" s="1"/>
  <c r="P224" i="58"/>
  <c r="P246" i="58"/>
  <c r="N95" i="58" s="1"/>
  <c r="P198" i="58"/>
  <c r="N41" i="58" s="1"/>
  <c r="P256" i="58"/>
  <c r="N106" i="58" s="1"/>
  <c r="P232" i="58"/>
  <c r="P206" i="58"/>
  <c r="N50" i="58" s="1"/>
  <c r="P208" i="58"/>
  <c r="P262" i="58"/>
  <c r="N113" i="58" s="1"/>
  <c r="P222" i="58"/>
  <c r="N68" i="58" s="1"/>
  <c r="P216" i="58"/>
  <c r="P200" i="58"/>
  <c r="P238" i="58"/>
  <c r="N86" i="58" s="1"/>
  <c r="P214" i="58"/>
  <c r="N59" i="58" s="1"/>
  <c r="P190" i="58"/>
  <c r="N32" i="58" s="1"/>
  <c r="P240" i="58"/>
  <c r="P248" i="58"/>
  <c r="P230" i="58"/>
  <c r="N77" i="58" s="1"/>
  <c r="P192" i="58"/>
  <c r="P184" i="58"/>
  <c r="P168" i="58"/>
  <c r="P174" i="58"/>
  <c r="N14" i="58" s="1"/>
  <c r="P176" i="58"/>
  <c r="P254" i="58"/>
  <c r="N104" i="58" s="1"/>
  <c r="P182" i="58"/>
  <c r="N23" i="58" s="1"/>
  <c r="L264" i="58"/>
  <c r="J115" i="58" s="1"/>
  <c r="L256" i="58"/>
  <c r="J106" i="58" s="1"/>
  <c r="L198" i="58"/>
  <c r="J41" i="58" s="1"/>
  <c r="L248" i="58"/>
  <c r="L224" i="58"/>
  <c r="L208" i="58"/>
  <c r="L246" i="58"/>
  <c r="J95" i="58" s="1"/>
  <c r="L200" i="58"/>
  <c r="L222" i="58"/>
  <c r="J68" i="58" s="1"/>
  <c r="L238" i="58"/>
  <c r="J86" i="58" s="1"/>
  <c r="L206" i="58"/>
  <c r="J50" i="58" s="1"/>
  <c r="L240" i="58"/>
  <c r="L232" i="58"/>
  <c r="L190" i="58"/>
  <c r="J32" i="58" s="1"/>
  <c r="L262" i="58"/>
  <c r="J113" i="58" s="1"/>
  <c r="L230" i="58"/>
  <c r="J77" i="58" s="1"/>
  <c r="L216" i="58"/>
  <c r="L254" i="58"/>
  <c r="J104" i="58" s="1"/>
  <c r="L176" i="58"/>
  <c r="L182" i="58"/>
  <c r="J23" i="58" s="1"/>
  <c r="L174" i="58"/>
  <c r="J14" i="58" s="1"/>
  <c r="L184" i="58"/>
  <c r="L168" i="58"/>
  <c r="L214" i="58"/>
  <c r="J59" i="58" s="1"/>
  <c r="L192" i="58"/>
  <c r="R264" i="58"/>
  <c r="P115" i="58" s="1"/>
  <c r="R224" i="58"/>
  <c r="R256" i="58"/>
  <c r="P106" i="58" s="1"/>
  <c r="R208" i="58"/>
  <c r="R246" i="58"/>
  <c r="P95" i="58" s="1"/>
  <c r="R198" i="58"/>
  <c r="P41" i="58" s="1"/>
  <c r="R206" i="58"/>
  <c r="P50" i="58" s="1"/>
  <c r="R200" i="58"/>
  <c r="R232" i="58"/>
  <c r="R248" i="58"/>
  <c r="R238" i="58"/>
  <c r="P86" i="58" s="1"/>
  <c r="R214" i="58"/>
  <c r="P59" i="58" s="1"/>
  <c r="R262" i="58"/>
  <c r="P113" i="58" s="1"/>
  <c r="R190" i="58"/>
  <c r="P32" i="58" s="1"/>
  <c r="R240" i="58"/>
  <c r="R222" i="58"/>
  <c r="P68" i="58" s="1"/>
  <c r="R216" i="58"/>
  <c r="R230" i="58"/>
  <c r="P77" i="58" s="1"/>
  <c r="R184" i="58"/>
  <c r="R168" i="58"/>
  <c r="R192" i="58"/>
  <c r="R174" i="58"/>
  <c r="P14" i="58" s="1"/>
  <c r="R254" i="58"/>
  <c r="P104" i="58" s="1"/>
  <c r="R182" i="58"/>
  <c r="P23" i="58" s="1"/>
  <c r="R176" i="58"/>
  <c r="M264" i="58"/>
  <c r="K115" i="58" s="1"/>
  <c r="M246" i="58"/>
  <c r="K95" i="58" s="1"/>
  <c r="M224" i="58"/>
  <c r="M256" i="58"/>
  <c r="K106" i="58" s="1"/>
  <c r="M198" i="58"/>
  <c r="K41" i="58" s="1"/>
  <c r="M206" i="58"/>
  <c r="K50" i="58" s="1"/>
  <c r="M232" i="58"/>
  <c r="M190" i="58"/>
  <c r="K32" i="58" s="1"/>
  <c r="M200" i="58"/>
  <c r="M222" i="58"/>
  <c r="K68" i="58" s="1"/>
  <c r="M240" i="58"/>
  <c r="M208" i="58"/>
  <c r="M238" i="58"/>
  <c r="K86" i="58" s="1"/>
  <c r="M248" i="58"/>
  <c r="M214" i="58"/>
  <c r="K59" i="58" s="1"/>
  <c r="M262" i="58"/>
  <c r="K113" i="58" s="1"/>
  <c r="M230" i="58"/>
  <c r="K77" i="58" s="1"/>
  <c r="M254" i="58"/>
  <c r="K104" i="58" s="1"/>
  <c r="M184" i="58"/>
  <c r="M168" i="58"/>
  <c r="M192" i="58"/>
  <c r="M182" i="58"/>
  <c r="K23" i="58" s="1"/>
  <c r="M174" i="58"/>
  <c r="K14" i="58" s="1"/>
  <c r="M176" i="58"/>
  <c r="M216" i="58"/>
  <c r="G184" i="56"/>
  <c r="H259" i="58"/>
  <c r="F109" i="58" s="1"/>
  <c r="H211" i="58"/>
  <c r="H251" i="58"/>
  <c r="H227" i="58"/>
  <c r="H235" i="58"/>
  <c r="H203" i="58"/>
  <c r="H243" i="58"/>
  <c r="H219" i="58"/>
  <c r="H195" i="58"/>
  <c r="H179" i="58"/>
  <c r="H171" i="58"/>
  <c r="H187" i="58"/>
  <c r="Y185" i="56"/>
  <c r="Z228" i="58"/>
  <c r="Z236" i="58"/>
  <c r="Z212" i="58"/>
  <c r="Z260" i="58"/>
  <c r="X110" i="58" s="1"/>
  <c r="Z252" i="58"/>
  <c r="Z204" i="58"/>
  <c r="Z196" i="58"/>
  <c r="Z220" i="58"/>
  <c r="Z244" i="58"/>
  <c r="Z180" i="58"/>
  <c r="Z172" i="58"/>
  <c r="Z188" i="58"/>
  <c r="AD185" i="56"/>
  <c r="AE212" i="58"/>
  <c r="AE260" i="58"/>
  <c r="AC110" i="58" s="1"/>
  <c r="AE228" i="58"/>
  <c r="AE236" i="58"/>
  <c r="AE252" i="58"/>
  <c r="AE204" i="58"/>
  <c r="AE180" i="58"/>
  <c r="AE244" i="58"/>
  <c r="AE220" i="58"/>
  <c r="AE196" i="58"/>
  <c r="AE188" i="58"/>
  <c r="AE172" i="58"/>
  <c r="O184" i="56"/>
  <c r="P211" i="58"/>
  <c r="P227" i="58"/>
  <c r="P235" i="58"/>
  <c r="P251" i="58"/>
  <c r="P203" i="58"/>
  <c r="P243" i="58"/>
  <c r="P259" i="58"/>
  <c r="N109" i="58" s="1"/>
  <c r="P219" i="58"/>
  <c r="P179" i="58"/>
  <c r="P171" i="58"/>
  <c r="P195" i="58"/>
  <c r="P187" i="58"/>
  <c r="AC186" i="56"/>
  <c r="AD213" i="58"/>
  <c r="AD253" i="58"/>
  <c r="AD261" i="58"/>
  <c r="AB111" i="58" s="1"/>
  <c r="AD229" i="58"/>
  <c r="AD245" i="58"/>
  <c r="AD237" i="58"/>
  <c r="AD197" i="58"/>
  <c r="AD205" i="58"/>
  <c r="AD221" i="58"/>
  <c r="AD181" i="58"/>
  <c r="AD173" i="58"/>
  <c r="AD189" i="58"/>
  <c r="W185" i="56"/>
  <c r="X252" i="58"/>
  <c r="X228" i="58"/>
  <c r="X212" i="58"/>
  <c r="X260" i="58"/>
  <c r="V110" i="58" s="1"/>
  <c r="X204" i="58"/>
  <c r="X244" i="58"/>
  <c r="X236" i="58"/>
  <c r="X196" i="58"/>
  <c r="X220" i="58"/>
  <c r="X188" i="58"/>
  <c r="X172" i="58"/>
  <c r="X180" i="58"/>
  <c r="S182" i="56"/>
  <c r="T257" i="58"/>
  <c r="R107" i="58" s="1"/>
  <c r="T233" i="58"/>
  <c r="T225" i="58"/>
  <c r="T209" i="58"/>
  <c r="T201" i="58"/>
  <c r="T249" i="58"/>
  <c r="T241" i="58"/>
  <c r="T217" i="58"/>
  <c r="T193" i="58"/>
  <c r="T185" i="58"/>
  <c r="T169" i="58"/>
  <c r="T177" i="58"/>
  <c r="V182" i="56"/>
  <c r="W225" i="58"/>
  <c r="W209" i="58"/>
  <c r="W257" i="58"/>
  <c r="U107" i="58" s="1"/>
  <c r="W249" i="58"/>
  <c r="W241" i="58"/>
  <c r="W217" i="58"/>
  <c r="W201" i="58"/>
  <c r="W193" i="58"/>
  <c r="W169" i="58"/>
  <c r="W233" i="58"/>
  <c r="W177" i="58"/>
  <c r="W185" i="58"/>
  <c r="AD183" i="56"/>
  <c r="AE210" i="58"/>
  <c r="AE226" i="58"/>
  <c r="AE258" i="58"/>
  <c r="AC108" i="58" s="1"/>
  <c r="AE250" i="58"/>
  <c r="AE202" i="58"/>
  <c r="AE242" i="58"/>
  <c r="AE218" i="58"/>
  <c r="AE194" i="58"/>
  <c r="AE234" i="58"/>
  <c r="AE170" i="58"/>
  <c r="AE186" i="58"/>
  <c r="AE178" i="58"/>
  <c r="U183" i="56"/>
  <c r="V210" i="58"/>
  <c r="V258" i="58"/>
  <c r="T108" i="58" s="1"/>
  <c r="V250" i="58"/>
  <c r="V226" i="58"/>
  <c r="V234" i="58"/>
  <c r="V202" i="58"/>
  <c r="V242" i="58"/>
  <c r="V218" i="58"/>
  <c r="V178" i="58"/>
  <c r="V194" i="58"/>
  <c r="V170" i="58"/>
  <c r="V186" i="58"/>
  <c r="Y183" i="56"/>
  <c r="Z250" i="58"/>
  <c r="Z226" i="58"/>
  <c r="Z258" i="58"/>
  <c r="X108" i="58" s="1"/>
  <c r="Z210" i="58"/>
  <c r="Z218" i="58"/>
  <c r="Z242" i="58"/>
  <c r="Z186" i="58"/>
  <c r="Z202" i="58"/>
  <c r="Z170" i="58"/>
  <c r="Z178" i="58"/>
  <c r="Z234" i="58"/>
  <c r="Z194" i="58"/>
  <c r="AB185" i="56"/>
  <c r="AC252" i="58"/>
  <c r="AC228" i="58"/>
  <c r="AC212" i="58"/>
  <c r="AC260" i="58"/>
  <c r="AA110" i="58" s="1"/>
  <c r="AC204" i="58"/>
  <c r="AC220" i="58"/>
  <c r="AC196" i="58"/>
  <c r="AC244" i="58"/>
  <c r="AC172" i="58"/>
  <c r="AC188" i="58"/>
  <c r="AC236" i="58"/>
  <c r="AC180" i="58"/>
  <c r="W184" i="56"/>
  <c r="X227" i="58"/>
  <c r="X211" i="58"/>
  <c r="X251" i="58"/>
  <c r="X259" i="58"/>
  <c r="V109" i="58" s="1"/>
  <c r="X235" i="58"/>
  <c r="X243" i="58"/>
  <c r="X203" i="58"/>
  <c r="X179" i="58"/>
  <c r="X171" i="58"/>
  <c r="X195" i="58"/>
  <c r="X187" i="58"/>
  <c r="X219" i="58"/>
  <c r="N182" i="56"/>
  <c r="O257" i="58"/>
  <c r="M107" i="58" s="1"/>
  <c r="O209" i="58"/>
  <c r="O225" i="58"/>
  <c r="O249" i="58"/>
  <c r="O201" i="58"/>
  <c r="O233" i="58"/>
  <c r="O217" i="58"/>
  <c r="O185" i="58"/>
  <c r="O177" i="58"/>
  <c r="O193" i="58"/>
  <c r="O241" i="58"/>
  <c r="O169" i="58"/>
  <c r="I182" i="56"/>
  <c r="J249" i="58"/>
  <c r="J257" i="58"/>
  <c r="H107" i="58" s="1"/>
  <c r="J209" i="58"/>
  <c r="J233" i="58"/>
  <c r="J241" i="58"/>
  <c r="J225" i="58"/>
  <c r="J201" i="58"/>
  <c r="J185" i="58"/>
  <c r="J217" i="58"/>
  <c r="J193" i="58"/>
  <c r="J177" i="58"/>
  <c r="J169" i="58"/>
  <c r="U185" i="56"/>
  <c r="V212" i="58"/>
  <c r="V228" i="58"/>
  <c r="V252" i="58"/>
  <c r="V236" i="58"/>
  <c r="V244" i="58"/>
  <c r="V260" i="58"/>
  <c r="T110" i="58" s="1"/>
  <c r="V220" i="58"/>
  <c r="V196" i="58"/>
  <c r="V188" i="58"/>
  <c r="V204" i="58"/>
  <c r="V172" i="58"/>
  <c r="V180" i="58"/>
  <c r="N184" i="56"/>
  <c r="O211" i="58"/>
  <c r="O227" i="58"/>
  <c r="O259" i="58"/>
  <c r="M109" i="58" s="1"/>
  <c r="O243" i="58"/>
  <c r="O251" i="58"/>
  <c r="O235" i="58"/>
  <c r="O195" i="58"/>
  <c r="O187" i="58"/>
  <c r="O219" i="58"/>
  <c r="O179" i="58"/>
  <c r="O171" i="58"/>
  <c r="O203" i="58"/>
  <c r="F183" i="56"/>
  <c r="G250" i="58"/>
  <c r="G210" i="58"/>
  <c r="G226" i="58"/>
  <c r="G258" i="58"/>
  <c r="E108" i="58" s="1"/>
  <c r="G202" i="58"/>
  <c r="G242" i="58"/>
  <c r="G234" i="58"/>
  <c r="G218" i="58"/>
  <c r="G186" i="58"/>
  <c r="G194" i="58"/>
  <c r="G178" i="58"/>
  <c r="G170" i="58"/>
  <c r="AD186" i="56"/>
  <c r="AE213" i="58"/>
  <c r="AE253" i="58"/>
  <c r="AE229" i="58"/>
  <c r="AE261" i="58"/>
  <c r="AC111" i="58" s="1"/>
  <c r="AE237" i="58"/>
  <c r="AE245" i="58"/>
  <c r="AE205" i="58"/>
  <c r="AE221" i="58"/>
  <c r="AE189" i="58"/>
  <c r="AE197" i="58"/>
  <c r="AE181" i="58"/>
  <c r="AE173" i="58"/>
  <c r="AA264" i="58"/>
  <c r="Y115" i="58" s="1"/>
  <c r="AA198" i="58"/>
  <c r="Y41" i="58" s="1"/>
  <c r="AA248" i="58"/>
  <c r="AA246" i="58"/>
  <c r="Y95" i="58" s="1"/>
  <c r="AA222" i="58"/>
  <c r="Y68" i="58" s="1"/>
  <c r="AA200" i="58"/>
  <c r="AA232" i="58"/>
  <c r="AA238" i="58"/>
  <c r="Y86" i="58" s="1"/>
  <c r="AA208" i="58"/>
  <c r="AA262" i="58"/>
  <c r="Y113" i="58" s="1"/>
  <c r="AA224" i="58"/>
  <c r="AA214" i="58"/>
  <c r="Y59" i="58" s="1"/>
  <c r="AA256" i="58"/>
  <c r="Y106" i="58" s="1"/>
  <c r="AA190" i="58"/>
  <c r="Y32" i="58" s="1"/>
  <c r="AA230" i="58"/>
  <c r="Y77" i="58" s="1"/>
  <c r="AA240" i="58"/>
  <c r="AA192" i="58"/>
  <c r="AA206" i="58"/>
  <c r="Y50" i="58" s="1"/>
  <c r="AA254" i="58"/>
  <c r="Y104" i="58" s="1"/>
  <c r="AA216" i="58"/>
  <c r="AA174" i="58"/>
  <c r="Y14" i="58" s="1"/>
  <c r="AA176" i="58"/>
  <c r="AA182" i="58"/>
  <c r="Y23" i="58" s="1"/>
  <c r="AA184" i="58"/>
  <c r="AA168" i="58"/>
  <c r="M182" i="56"/>
  <c r="N249" i="58"/>
  <c r="N209" i="58"/>
  <c r="N225" i="58"/>
  <c r="N201" i="58"/>
  <c r="N233" i="58"/>
  <c r="N257" i="58"/>
  <c r="L107" i="58" s="1"/>
  <c r="N217" i="58"/>
  <c r="N241" i="58"/>
  <c r="N177" i="58"/>
  <c r="N169" i="58"/>
  <c r="N193" i="58"/>
  <c r="N185" i="58"/>
  <c r="Q183" i="56"/>
  <c r="R250" i="58"/>
  <c r="R258" i="58"/>
  <c r="P108" i="58" s="1"/>
  <c r="R226" i="58"/>
  <c r="R210" i="58"/>
  <c r="R242" i="58"/>
  <c r="R234" i="58"/>
  <c r="R202" i="58"/>
  <c r="R218" i="58"/>
  <c r="R194" i="58"/>
  <c r="R170" i="58"/>
  <c r="R186" i="58"/>
  <c r="R178" i="58"/>
  <c r="H183" i="56"/>
  <c r="I258" i="58"/>
  <c r="G108" i="58" s="1"/>
  <c r="I210" i="58"/>
  <c r="I226" i="58"/>
  <c r="I250" i="58"/>
  <c r="I234" i="58"/>
  <c r="I202" i="58"/>
  <c r="I218" i="58"/>
  <c r="I242" i="58"/>
  <c r="I178" i="58"/>
  <c r="I194" i="58"/>
  <c r="I170" i="58"/>
  <c r="I186" i="58"/>
  <c r="J264" i="58"/>
  <c r="H115" i="58" s="1"/>
  <c r="J224" i="58"/>
  <c r="J246" i="58"/>
  <c r="H95" i="58" s="1"/>
  <c r="J256" i="58"/>
  <c r="H106" i="58" s="1"/>
  <c r="J248" i="58"/>
  <c r="J208" i="58"/>
  <c r="J198" i="58"/>
  <c r="H41" i="58" s="1"/>
  <c r="J200" i="58"/>
  <c r="J190" i="58"/>
  <c r="H32" i="58" s="1"/>
  <c r="J214" i="58"/>
  <c r="H59" i="58" s="1"/>
  <c r="J262" i="58"/>
  <c r="H113" i="58" s="1"/>
  <c r="J232" i="58"/>
  <c r="J254" i="58"/>
  <c r="H104" i="58" s="1"/>
  <c r="J192" i="58"/>
  <c r="J206" i="58"/>
  <c r="H50" i="58" s="1"/>
  <c r="J222" i="58"/>
  <c r="H68" i="58" s="1"/>
  <c r="J216" i="58"/>
  <c r="J238" i="58"/>
  <c r="H86" i="58" s="1"/>
  <c r="J230" i="58"/>
  <c r="H77" i="58" s="1"/>
  <c r="J176" i="58"/>
  <c r="J184" i="58"/>
  <c r="J240" i="58"/>
  <c r="J174" i="58"/>
  <c r="H14" i="58" s="1"/>
  <c r="J182" i="58"/>
  <c r="H23" i="58" s="1"/>
  <c r="J168" i="58"/>
  <c r="I264" i="58"/>
  <c r="G115" i="58" s="1"/>
  <c r="I198" i="58"/>
  <c r="G41" i="58" s="1"/>
  <c r="I208" i="58"/>
  <c r="I248" i="58"/>
  <c r="I246" i="58"/>
  <c r="G95" i="58" s="1"/>
  <c r="I238" i="58"/>
  <c r="G86" i="58" s="1"/>
  <c r="I232" i="58"/>
  <c r="I262" i="58"/>
  <c r="G113" i="58" s="1"/>
  <c r="I214" i="58"/>
  <c r="G59" i="58" s="1"/>
  <c r="I224" i="58"/>
  <c r="I256" i="58"/>
  <c r="G106" i="58" s="1"/>
  <c r="I190" i="58"/>
  <c r="G32" i="58" s="1"/>
  <c r="I206" i="58"/>
  <c r="G50" i="58" s="1"/>
  <c r="I192" i="58"/>
  <c r="I254" i="58"/>
  <c r="G104" i="58" s="1"/>
  <c r="I240" i="58"/>
  <c r="I222" i="58"/>
  <c r="G68" i="58" s="1"/>
  <c r="I176" i="58"/>
  <c r="I174" i="58"/>
  <c r="G14" i="58" s="1"/>
  <c r="I182" i="58"/>
  <c r="G23" i="58" s="1"/>
  <c r="I230" i="58"/>
  <c r="G77" i="58" s="1"/>
  <c r="I184" i="58"/>
  <c r="I216" i="58"/>
  <c r="I200" i="58"/>
  <c r="I168" i="58"/>
  <c r="X184" i="56"/>
  <c r="Y251" i="58"/>
  <c r="Y227" i="58"/>
  <c r="Y259" i="58"/>
  <c r="W109" i="58" s="1"/>
  <c r="Y211" i="58"/>
  <c r="Y243" i="58"/>
  <c r="Y203" i="58"/>
  <c r="Y235" i="58"/>
  <c r="Y219" i="58"/>
  <c r="Y187" i="58"/>
  <c r="Y179" i="58"/>
  <c r="Y195" i="58"/>
  <c r="Y171" i="58"/>
  <c r="F185" i="56"/>
  <c r="G228" i="58"/>
  <c r="G260" i="58"/>
  <c r="E110" i="58" s="1"/>
  <c r="G212" i="58"/>
  <c r="G252" i="58"/>
  <c r="G236" i="58"/>
  <c r="G244" i="58"/>
  <c r="G220" i="58"/>
  <c r="G204" i="58"/>
  <c r="G196" i="58"/>
  <c r="G188" i="58"/>
  <c r="G180" i="58"/>
  <c r="G172" i="58"/>
  <c r="R186" i="56"/>
  <c r="S261" i="58"/>
  <c r="Q111" i="58" s="1"/>
  <c r="S229" i="58"/>
  <c r="S213" i="58"/>
  <c r="S245" i="58"/>
  <c r="S253" i="58"/>
  <c r="S237" i="58"/>
  <c r="S221" i="58"/>
  <c r="S205" i="58"/>
  <c r="S189" i="58"/>
  <c r="S173" i="58"/>
  <c r="S181" i="58"/>
  <c r="S197" i="58"/>
  <c r="O185" i="56"/>
  <c r="P212" i="58"/>
  <c r="P252" i="58"/>
  <c r="P228" i="58"/>
  <c r="P260" i="58"/>
  <c r="N110" i="58" s="1"/>
  <c r="P236" i="58"/>
  <c r="P244" i="58"/>
  <c r="P204" i="58"/>
  <c r="P220" i="58"/>
  <c r="P196" i="58"/>
  <c r="P188" i="58"/>
  <c r="P180" i="58"/>
  <c r="P172" i="58"/>
  <c r="L183" i="56"/>
  <c r="M226" i="58"/>
  <c r="M210" i="58"/>
  <c r="M258" i="58"/>
  <c r="K108" i="58" s="1"/>
  <c r="M250" i="58"/>
  <c r="M234" i="58"/>
  <c r="M194" i="58"/>
  <c r="M218" i="58"/>
  <c r="M242" i="58"/>
  <c r="M170" i="58"/>
  <c r="M178" i="58"/>
  <c r="M186" i="58"/>
  <c r="M202" i="58"/>
  <c r="K182" i="56"/>
  <c r="L225" i="58"/>
  <c r="L209" i="58"/>
  <c r="L257" i="58"/>
  <c r="J107" i="58" s="1"/>
  <c r="L249" i="58"/>
  <c r="L201" i="58"/>
  <c r="L233" i="58"/>
  <c r="L217" i="58"/>
  <c r="L241" i="58"/>
  <c r="L177" i="58"/>
  <c r="L193" i="58"/>
  <c r="L185" i="58"/>
  <c r="L169" i="58"/>
  <c r="T182" i="56"/>
  <c r="U257" i="58"/>
  <c r="S107" i="58" s="1"/>
  <c r="U209" i="58"/>
  <c r="U249" i="58"/>
  <c r="U225" i="58"/>
  <c r="U201" i="58"/>
  <c r="U233" i="58"/>
  <c r="U241" i="58"/>
  <c r="U193" i="58"/>
  <c r="U185" i="58"/>
  <c r="U169" i="58"/>
  <c r="U177" i="58"/>
  <c r="U217" i="58"/>
  <c r="I186" i="56"/>
  <c r="J261" i="58"/>
  <c r="H111" i="58" s="1"/>
  <c r="J253" i="58"/>
  <c r="J213" i="58"/>
  <c r="J229" i="58"/>
  <c r="J205" i="58"/>
  <c r="J245" i="58"/>
  <c r="J237" i="58"/>
  <c r="J221" i="58"/>
  <c r="J189" i="58"/>
  <c r="J181" i="58"/>
  <c r="J197" i="58"/>
  <c r="J173" i="58"/>
  <c r="AB183" i="56"/>
  <c r="AC210" i="58"/>
  <c r="AC258" i="58"/>
  <c r="AA108" i="58" s="1"/>
  <c r="AC226" i="58"/>
  <c r="AC234" i="58"/>
  <c r="AC202" i="58"/>
  <c r="AC194" i="58"/>
  <c r="AC242" i="58"/>
  <c r="AC170" i="58"/>
  <c r="AC186" i="58"/>
  <c r="AC218" i="58"/>
  <c r="AC250" i="58"/>
  <c r="AC178" i="58"/>
  <c r="Z182" i="56"/>
  <c r="AA225" i="58"/>
  <c r="AA257" i="58"/>
  <c r="Y107" i="58" s="1"/>
  <c r="AA209" i="58"/>
  <c r="AA201" i="58"/>
  <c r="AA241" i="58"/>
  <c r="AA249" i="58"/>
  <c r="AA233" i="58"/>
  <c r="AA217" i="58"/>
  <c r="AA193" i="58"/>
  <c r="AA177" i="58"/>
  <c r="AA185" i="58"/>
  <c r="AA169" i="58"/>
  <c r="T186" i="56"/>
  <c r="U229" i="58"/>
  <c r="U213" i="58"/>
  <c r="U245" i="58"/>
  <c r="U253" i="58"/>
  <c r="U237" i="58"/>
  <c r="U205" i="58"/>
  <c r="U261" i="58"/>
  <c r="S111" i="58" s="1"/>
  <c r="U173" i="58"/>
  <c r="U221" i="58"/>
  <c r="U197" i="58"/>
  <c r="U189" i="58"/>
  <c r="U181" i="58"/>
  <c r="K184" i="56"/>
  <c r="L251" i="58"/>
  <c r="L203" i="58"/>
  <c r="L243" i="58"/>
  <c r="L211" i="58"/>
  <c r="L227" i="58"/>
  <c r="L259" i="58"/>
  <c r="J109" i="58" s="1"/>
  <c r="L219" i="58"/>
  <c r="L195" i="58"/>
  <c r="L235" i="58"/>
  <c r="L187" i="58"/>
  <c r="L171" i="58"/>
  <c r="L179" i="58"/>
  <c r="M185" i="56"/>
  <c r="N260" i="58"/>
  <c r="L110" i="58" s="1"/>
  <c r="N252" i="58"/>
  <c r="N212" i="58"/>
  <c r="N204" i="58"/>
  <c r="N236" i="58"/>
  <c r="N244" i="58"/>
  <c r="N228" i="58"/>
  <c r="N220" i="58"/>
  <c r="N196" i="58"/>
  <c r="N188" i="58"/>
  <c r="N172" i="58"/>
  <c r="N180" i="58"/>
  <c r="G182" i="56"/>
  <c r="H193" i="58"/>
  <c r="H249" i="58"/>
  <c r="H225" i="58"/>
  <c r="H209" i="58"/>
  <c r="H257" i="58"/>
  <c r="F107" i="58" s="1"/>
  <c r="H241" i="58"/>
  <c r="H217" i="58"/>
  <c r="H201" i="58"/>
  <c r="H233" i="58"/>
  <c r="H169" i="58"/>
  <c r="H177" i="58"/>
  <c r="H185" i="58"/>
  <c r="P185" i="56"/>
  <c r="Q252" i="58"/>
  <c r="Q212" i="58"/>
  <c r="Q260" i="58"/>
  <c r="O110" i="58" s="1"/>
  <c r="Q236" i="58"/>
  <c r="Q204" i="58"/>
  <c r="Q228" i="58"/>
  <c r="Q196" i="58"/>
  <c r="Q220" i="58"/>
  <c r="Q180" i="58"/>
  <c r="Q244" i="58"/>
  <c r="Q172" i="58"/>
  <c r="Q188" i="58"/>
  <c r="Q182" i="56"/>
  <c r="R225" i="58"/>
  <c r="R241" i="58"/>
  <c r="R233" i="58"/>
  <c r="R257" i="58"/>
  <c r="P107" i="58" s="1"/>
  <c r="R249" i="58"/>
  <c r="R217" i="58"/>
  <c r="R201" i="58"/>
  <c r="R209" i="58"/>
  <c r="R177" i="58"/>
  <c r="R193" i="58"/>
  <c r="R185" i="58"/>
  <c r="R169" i="58"/>
  <c r="AA184" i="56"/>
  <c r="AB251" i="58"/>
  <c r="AB227" i="58"/>
  <c r="AB211" i="58"/>
  <c r="AB259" i="58"/>
  <c r="Z109" i="58" s="1"/>
  <c r="AB243" i="58"/>
  <c r="AB235" i="58"/>
  <c r="AB219" i="58"/>
  <c r="AB195" i="58"/>
  <c r="AB187" i="58"/>
  <c r="AB179" i="58"/>
  <c r="AB203" i="58"/>
  <c r="AB171" i="58"/>
  <c r="V264" i="58"/>
  <c r="T115" i="58" s="1"/>
  <c r="V198" i="58"/>
  <c r="T41" i="58" s="1"/>
  <c r="V224" i="58"/>
  <c r="V208" i="58"/>
  <c r="V248" i="58"/>
  <c r="V246" i="58"/>
  <c r="T95" i="58" s="1"/>
  <c r="V232" i="58"/>
  <c r="V238" i="58"/>
  <c r="T86" i="58" s="1"/>
  <c r="V214" i="58"/>
  <c r="T59" i="58" s="1"/>
  <c r="V262" i="58"/>
  <c r="T113" i="58" s="1"/>
  <c r="V190" i="58"/>
  <c r="T32" i="58" s="1"/>
  <c r="V256" i="58"/>
  <c r="T106" i="58" s="1"/>
  <c r="V222" i="58"/>
  <c r="T68" i="58" s="1"/>
  <c r="V230" i="58"/>
  <c r="T77" i="58" s="1"/>
  <c r="V216" i="58"/>
  <c r="V200" i="58"/>
  <c r="V254" i="58"/>
  <c r="T104" i="58" s="1"/>
  <c r="V192" i="58"/>
  <c r="V240" i="58"/>
  <c r="V182" i="58"/>
  <c r="T23" i="58" s="1"/>
  <c r="V176" i="58"/>
  <c r="V168" i="58"/>
  <c r="V206" i="58"/>
  <c r="T50" i="58" s="1"/>
  <c r="V184" i="58"/>
  <c r="V174" i="58"/>
  <c r="T14" i="58" s="1"/>
  <c r="H264" i="58"/>
  <c r="F115" i="58" s="1"/>
  <c r="H246" i="58"/>
  <c r="F95" i="58" s="1"/>
  <c r="H224" i="58"/>
  <c r="H198" i="58"/>
  <c r="F41" i="58" s="1"/>
  <c r="H208" i="58"/>
  <c r="H256" i="58"/>
  <c r="F106" i="58" s="1"/>
  <c r="H240" i="58"/>
  <c r="H200" i="58"/>
  <c r="H206" i="58"/>
  <c r="F50" i="58" s="1"/>
  <c r="H190" i="58"/>
  <c r="F32" i="58" s="1"/>
  <c r="H262" i="58"/>
  <c r="F113" i="58" s="1"/>
  <c r="H214" i="58"/>
  <c r="F59" i="58" s="1"/>
  <c r="H238" i="58"/>
  <c r="F86" i="58" s="1"/>
  <c r="H254" i="58"/>
  <c r="F104" i="58" s="1"/>
  <c r="H216" i="58"/>
  <c r="H248" i="58"/>
  <c r="H230" i="58"/>
  <c r="F77" i="58" s="1"/>
  <c r="H192" i="58"/>
  <c r="H174" i="58"/>
  <c r="F14" i="58" s="1"/>
  <c r="H184" i="58"/>
  <c r="H232" i="58"/>
  <c r="H176" i="58"/>
  <c r="H182" i="58"/>
  <c r="F23" i="58" s="1"/>
  <c r="H168" i="58"/>
  <c r="H222" i="58"/>
  <c r="F68" i="58" s="1"/>
  <c r="P186" i="56"/>
  <c r="Q253" i="58"/>
  <c r="Q229" i="58"/>
  <c r="Q261" i="58"/>
  <c r="O111" i="58" s="1"/>
  <c r="Q213" i="58"/>
  <c r="Q205" i="58"/>
  <c r="Q237" i="58"/>
  <c r="Q245" i="58"/>
  <c r="Q197" i="58"/>
  <c r="Q221" i="58"/>
  <c r="Q189" i="58"/>
  <c r="Q181" i="58"/>
  <c r="Q173" i="58"/>
  <c r="J182" i="56"/>
  <c r="K225" i="58"/>
  <c r="K249" i="58"/>
  <c r="K257" i="58"/>
  <c r="I107" i="58" s="1"/>
  <c r="K201" i="58"/>
  <c r="K233" i="58"/>
  <c r="K209" i="58"/>
  <c r="K241" i="58"/>
  <c r="K217" i="58"/>
  <c r="K193" i="58"/>
  <c r="K169" i="58"/>
  <c r="K177" i="58"/>
  <c r="K185" i="58"/>
  <c r="AC185" i="56"/>
  <c r="AD212" i="58"/>
  <c r="AD228" i="58"/>
  <c r="AD244" i="58"/>
  <c r="AD252" i="58"/>
  <c r="AD260" i="58"/>
  <c r="AB110" i="58" s="1"/>
  <c r="AD204" i="58"/>
  <c r="AD220" i="58"/>
  <c r="AD236" i="58"/>
  <c r="AD196" i="58"/>
  <c r="AD188" i="58"/>
  <c r="AD180" i="58"/>
  <c r="AD172" i="58"/>
  <c r="R182" i="56"/>
  <c r="S249" i="58"/>
  <c r="S225" i="58"/>
  <c r="S209" i="58"/>
  <c r="S201" i="58"/>
  <c r="S233" i="58"/>
  <c r="S193" i="58"/>
  <c r="S217" i="58"/>
  <c r="S257" i="58"/>
  <c r="Q107" i="58" s="1"/>
  <c r="S241" i="58"/>
  <c r="S177" i="58"/>
  <c r="S169" i="58"/>
  <c r="S185" i="58"/>
  <c r="N186" i="56"/>
  <c r="O213" i="58"/>
  <c r="O261" i="58"/>
  <c r="M111" i="58" s="1"/>
  <c r="O253" i="58"/>
  <c r="O229" i="58"/>
  <c r="O197" i="58"/>
  <c r="O245" i="58"/>
  <c r="O237" i="58"/>
  <c r="O205" i="58"/>
  <c r="O221" i="58"/>
  <c r="O189" i="58"/>
  <c r="O173" i="58"/>
  <c r="O181" i="58"/>
  <c r="H186" i="56"/>
  <c r="I213" i="58"/>
  <c r="I229" i="58"/>
  <c r="I253" i="58"/>
  <c r="I245" i="58"/>
  <c r="I205" i="58"/>
  <c r="I261" i="58"/>
  <c r="G111" i="58" s="1"/>
  <c r="I237" i="58"/>
  <c r="I221" i="58"/>
  <c r="I197" i="58"/>
  <c r="I173" i="58"/>
  <c r="I181" i="58"/>
  <c r="I189" i="58"/>
  <c r="X183" i="56"/>
  <c r="Y226" i="58"/>
  <c r="Y210" i="58"/>
  <c r="Y258" i="58"/>
  <c r="W108" i="58" s="1"/>
  <c r="Y250" i="58"/>
  <c r="Y242" i="58"/>
  <c r="Y202" i="58"/>
  <c r="Y194" i="58"/>
  <c r="Y234" i="58"/>
  <c r="Y186" i="58"/>
  <c r="Y218" i="58"/>
  <c r="Y178" i="58"/>
  <c r="Y170" i="58"/>
  <c r="N185" i="56"/>
  <c r="O212" i="58"/>
  <c r="O204" i="58"/>
  <c r="O252" i="58"/>
  <c r="O260" i="58"/>
  <c r="M110" i="58" s="1"/>
  <c r="O244" i="58"/>
  <c r="O220" i="58"/>
  <c r="O228" i="58"/>
  <c r="O236" i="58"/>
  <c r="O180" i="58"/>
  <c r="O196" i="58"/>
  <c r="O172" i="58"/>
  <c r="O188" i="58"/>
  <c r="Q185" i="56"/>
  <c r="R228" i="58"/>
  <c r="R212" i="58"/>
  <c r="R260" i="58"/>
  <c r="P110" i="58" s="1"/>
  <c r="R252" i="58"/>
  <c r="R204" i="58"/>
  <c r="R244" i="58"/>
  <c r="R220" i="58"/>
  <c r="R196" i="58"/>
  <c r="R236" i="58"/>
  <c r="R172" i="58"/>
  <c r="R180" i="58"/>
  <c r="R188" i="58"/>
  <c r="Z183" i="56"/>
  <c r="AA226" i="58"/>
  <c r="AA210" i="58"/>
  <c r="AA258" i="58"/>
  <c r="Y108" i="58" s="1"/>
  <c r="AA202" i="58"/>
  <c r="AA234" i="58"/>
  <c r="AA218" i="58"/>
  <c r="AA250" i="58"/>
  <c r="AA194" i="58"/>
  <c r="AA186" i="58"/>
  <c r="AA170" i="58"/>
  <c r="AA242" i="58"/>
  <c r="AA178" i="58"/>
  <c r="J183" i="56"/>
  <c r="K210" i="58"/>
  <c r="K226" i="58"/>
  <c r="K250" i="58"/>
  <c r="K258" i="58"/>
  <c r="I108" i="58" s="1"/>
  <c r="K234" i="58"/>
  <c r="K242" i="58"/>
  <c r="K202" i="58"/>
  <c r="K194" i="58"/>
  <c r="K178" i="58"/>
  <c r="K170" i="58"/>
  <c r="K218" i="58"/>
  <c r="K186" i="58"/>
  <c r="AC182" i="56"/>
  <c r="AD249" i="58"/>
  <c r="AD257" i="58"/>
  <c r="AB107" i="58" s="1"/>
  <c r="AD225" i="58"/>
  <c r="AD209" i="58"/>
  <c r="AD241" i="58"/>
  <c r="AD201" i="58"/>
  <c r="AD233" i="58"/>
  <c r="AD217" i="58"/>
  <c r="AD193" i="58"/>
  <c r="AD185" i="58"/>
  <c r="AD177" i="58"/>
  <c r="AD169" i="58"/>
  <c r="AE186" i="56"/>
  <c r="AF229" i="58"/>
  <c r="AF213" i="58"/>
  <c r="AF253" i="58"/>
  <c r="AF205" i="58"/>
  <c r="AF245" i="58"/>
  <c r="AF261" i="58"/>
  <c r="AD111" i="58" s="1"/>
  <c r="AF237" i="58"/>
  <c r="AF221" i="58"/>
  <c r="AF197" i="58"/>
  <c r="AF173" i="58"/>
  <c r="AF189" i="58"/>
  <c r="AF181" i="58"/>
  <c r="N264" i="58"/>
  <c r="L115" i="58" s="1"/>
  <c r="N198" i="58"/>
  <c r="L41" i="58" s="1"/>
  <c r="N224" i="58"/>
  <c r="N256" i="58"/>
  <c r="L106" i="58" s="1"/>
  <c r="N248" i="58"/>
  <c r="N246" i="58"/>
  <c r="L95" i="58" s="1"/>
  <c r="N238" i="58"/>
  <c r="L86" i="58" s="1"/>
  <c r="N208" i="58"/>
  <c r="N214" i="58"/>
  <c r="L59" i="58" s="1"/>
  <c r="N262" i="58"/>
  <c r="L113" i="58" s="1"/>
  <c r="N222" i="58"/>
  <c r="L68" i="58" s="1"/>
  <c r="N240" i="58"/>
  <c r="N254" i="58"/>
  <c r="L104" i="58" s="1"/>
  <c r="N200" i="58"/>
  <c r="N232" i="58"/>
  <c r="N190" i="58"/>
  <c r="L32" i="58" s="1"/>
  <c r="N216" i="58"/>
  <c r="N206" i="58"/>
  <c r="L50" i="58" s="1"/>
  <c r="N176" i="58"/>
  <c r="N168" i="58"/>
  <c r="N192" i="58"/>
  <c r="N230" i="58"/>
  <c r="L77" i="58" s="1"/>
  <c r="N174" i="58"/>
  <c r="L14" i="58" s="1"/>
  <c r="N184" i="58"/>
  <c r="N182" i="58"/>
  <c r="L23" i="58" s="1"/>
  <c r="AD264" i="58"/>
  <c r="AB115" i="58" s="1"/>
  <c r="AD256" i="58"/>
  <c r="AB106" i="58" s="1"/>
  <c r="AD198" i="58"/>
  <c r="AB41" i="58" s="1"/>
  <c r="AD224" i="58"/>
  <c r="AD208" i="58"/>
  <c r="AD246" i="58"/>
  <c r="AB95" i="58" s="1"/>
  <c r="AD248" i="58"/>
  <c r="AD232" i="58"/>
  <c r="AD238" i="58"/>
  <c r="AB86" i="58" s="1"/>
  <c r="AD214" i="58"/>
  <c r="AB59" i="58" s="1"/>
  <c r="AD206" i="58"/>
  <c r="AB50" i="58" s="1"/>
  <c r="AD240" i="58"/>
  <c r="AD200" i="58"/>
  <c r="AD190" i="58"/>
  <c r="AB32" i="58" s="1"/>
  <c r="AD216" i="58"/>
  <c r="AD230" i="58"/>
  <c r="AB77" i="58" s="1"/>
  <c r="AD254" i="58"/>
  <c r="AB104" i="58" s="1"/>
  <c r="AD262" i="58"/>
  <c r="AB113" i="58" s="1"/>
  <c r="AD222" i="58"/>
  <c r="AB68" i="58" s="1"/>
  <c r="AD174" i="58"/>
  <c r="AB14" i="58" s="1"/>
  <c r="AD176" i="58"/>
  <c r="AD182" i="58"/>
  <c r="AB23" i="58" s="1"/>
  <c r="AD192" i="58"/>
  <c r="AD184" i="58"/>
  <c r="AD168" i="58"/>
  <c r="O264" i="58"/>
  <c r="M115" i="58" s="1"/>
  <c r="O256" i="58"/>
  <c r="M106" i="58" s="1"/>
  <c r="O198" i="58"/>
  <c r="M41" i="58" s="1"/>
  <c r="O248" i="58"/>
  <c r="O224" i="58"/>
  <c r="O214" i="58"/>
  <c r="M59" i="58" s="1"/>
  <c r="O208" i="58"/>
  <c r="O232" i="58"/>
  <c r="O222" i="58"/>
  <c r="M68" i="58" s="1"/>
  <c r="O262" i="58"/>
  <c r="M113" i="58" s="1"/>
  <c r="O246" i="58"/>
  <c r="M95" i="58" s="1"/>
  <c r="O206" i="58"/>
  <c r="M50" i="58" s="1"/>
  <c r="O200" i="58"/>
  <c r="O230" i="58"/>
  <c r="M77" i="58" s="1"/>
  <c r="O190" i="58"/>
  <c r="M32" i="58" s="1"/>
  <c r="O240" i="58"/>
  <c r="O254" i="58"/>
  <c r="M104" i="58" s="1"/>
  <c r="O216" i="58"/>
  <c r="O182" i="58"/>
  <c r="M23" i="58" s="1"/>
  <c r="O184" i="58"/>
  <c r="O238" i="58"/>
  <c r="M86" i="58" s="1"/>
  <c r="O192" i="58"/>
  <c r="O174" i="58"/>
  <c r="M14" i="58" s="1"/>
  <c r="O176" i="58"/>
  <c r="O168" i="58"/>
  <c r="F186" i="56"/>
  <c r="G213" i="58"/>
  <c r="G261" i="58"/>
  <c r="E111" i="58" s="1"/>
  <c r="G253" i="58"/>
  <c r="G205" i="58"/>
  <c r="G229" i="58"/>
  <c r="G237" i="58"/>
  <c r="G197" i="58"/>
  <c r="G245" i="58"/>
  <c r="G181" i="58"/>
  <c r="G189" i="58"/>
  <c r="G173" i="58"/>
  <c r="G221" i="58"/>
  <c r="L185" i="56"/>
  <c r="M260" i="58"/>
  <c r="K110" i="58" s="1"/>
  <c r="M252" i="58"/>
  <c r="M228" i="58"/>
  <c r="M212" i="58"/>
  <c r="M204" i="58"/>
  <c r="M236" i="58"/>
  <c r="M244" i="58"/>
  <c r="M220" i="58"/>
  <c r="M180" i="58"/>
  <c r="M172" i="58"/>
  <c r="M196" i="58"/>
  <c r="M188" i="58"/>
  <c r="R184" i="56"/>
  <c r="S227" i="58"/>
  <c r="S211" i="58"/>
  <c r="S259" i="58"/>
  <c r="Q109" i="58" s="1"/>
  <c r="S251" i="58"/>
  <c r="S195" i="58"/>
  <c r="S243" i="58"/>
  <c r="S203" i="58"/>
  <c r="S187" i="58"/>
  <c r="S219" i="58"/>
  <c r="S171" i="58"/>
  <c r="S179" i="58"/>
  <c r="S235" i="58"/>
  <c r="I183" i="56"/>
  <c r="J258" i="58"/>
  <c r="H108" i="58" s="1"/>
  <c r="J250" i="58"/>
  <c r="J210" i="58"/>
  <c r="J226" i="58"/>
  <c r="J242" i="58"/>
  <c r="J202" i="58"/>
  <c r="J234" i="58"/>
  <c r="J194" i="58"/>
  <c r="J186" i="58"/>
  <c r="J218" i="58"/>
  <c r="J178" i="58"/>
  <c r="J170" i="58"/>
  <c r="V183" i="56"/>
  <c r="W258" i="58"/>
  <c r="U108" i="58" s="1"/>
  <c r="W210" i="58"/>
  <c r="W226" i="58"/>
  <c r="W242" i="58"/>
  <c r="W250" i="58"/>
  <c r="W234" i="58"/>
  <c r="W218" i="58"/>
  <c r="W194" i="58"/>
  <c r="W170" i="58"/>
  <c r="W202" i="58"/>
  <c r="W186" i="58"/>
  <c r="W178" i="58"/>
  <c r="J184" i="56"/>
  <c r="K227" i="58"/>
  <c r="K211" i="58"/>
  <c r="K251" i="58"/>
  <c r="K243" i="58"/>
  <c r="K203" i="58"/>
  <c r="K219" i="58"/>
  <c r="K235" i="58"/>
  <c r="K187" i="58"/>
  <c r="K171" i="58"/>
  <c r="K195" i="58"/>
  <c r="K179" i="58"/>
  <c r="K259" i="58"/>
  <c r="I109" i="58" s="1"/>
  <c r="L186" i="56"/>
  <c r="M261" i="58"/>
  <c r="K111" i="58" s="1"/>
  <c r="M213" i="58"/>
  <c r="M237" i="58"/>
  <c r="M205" i="58"/>
  <c r="M253" i="58"/>
  <c r="M229" i="58"/>
  <c r="M245" i="58"/>
  <c r="M173" i="58"/>
  <c r="M197" i="58"/>
  <c r="M189" i="58"/>
  <c r="M221" i="58"/>
  <c r="M181" i="58"/>
  <c r="S184" i="56"/>
  <c r="T211" i="58"/>
  <c r="T259" i="58"/>
  <c r="R109" i="58" s="1"/>
  <c r="T227" i="58"/>
  <c r="T203" i="58"/>
  <c r="T243" i="58"/>
  <c r="T235" i="58"/>
  <c r="T219" i="58"/>
  <c r="T195" i="58"/>
  <c r="T251" i="58"/>
  <c r="T179" i="58"/>
  <c r="T187" i="58"/>
  <c r="T171" i="58"/>
  <c r="R185" i="56"/>
  <c r="S228" i="58"/>
  <c r="S212" i="58"/>
  <c r="S260" i="58"/>
  <c r="Q110" i="58" s="1"/>
  <c r="S204" i="58"/>
  <c r="S244" i="58"/>
  <c r="S236" i="58"/>
  <c r="S220" i="58"/>
  <c r="S252" i="58"/>
  <c r="S188" i="58"/>
  <c r="S196" i="58"/>
  <c r="S172" i="58"/>
  <c r="S180" i="58"/>
  <c r="Q186" i="56"/>
  <c r="R253" i="58"/>
  <c r="R229" i="58"/>
  <c r="R261" i="58"/>
  <c r="P111" i="58" s="1"/>
  <c r="R213" i="58"/>
  <c r="R237" i="58"/>
  <c r="R205" i="58"/>
  <c r="R245" i="58"/>
  <c r="R221" i="58"/>
  <c r="R197" i="58"/>
  <c r="R181" i="58"/>
  <c r="R173" i="58"/>
  <c r="R189" i="58"/>
  <c r="V186" i="56"/>
  <c r="W253" i="58"/>
  <c r="W229" i="58"/>
  <c r="W213" i="58"/>
  <c r="W205" i="58"/>
  <c r="W237" i="58"/>
  <c r="W261" i="58"/>
  <c r="U111" i="58" s="1"/>
  <c r="W197" i="58"/>
  <c r="W245" i="58"/>
  <c r="W189" i="58"/>
  <c r="W221" i="58"/>
  <c r="W181" i="58"/>
  <c r="W173" i="58"/>
  <c r="AA185" i="56"/>
  <c r="AB228" i="58"/>
  <c r="AB212" i="58"/>
  <c r="AB204" i="58"/>
  <c r="AB260" i="58"/>
  <c r="Z110" i="58" s="1"/>
  <c r="AB236" i="58"/>
  <c r="AB252" i="58"/>
  <c r="AB244" i="58"/>
  <c r="AB220" i="58"/>
  <c r="AB188" i="58"/>
  <c r="AB180" i="58"/>
  <c r="AB196" i="58"/>
  <c r="AB172" i="58"/>
  <c r="AC183" i="56"/>
  <c r="AD250" i="58"/>
  <c r="AD234" i="58"/>
  <c r="AD202" i="58"/>
  <c r="AD226" i="58"/>
  <c r="AD210" i="58"/>
  <c r="AD194" i="58"/>
  <c r="AD242" i="58"/>
  <c r="AD258" i="58"/>
  <c r="AB108" i="58" s="1"/>
  <c r="AD218" i="58"/>
  <c r="AD170" i="58"/>
  <c r="AD186" i="58"/>
  <c r="AD178" i="58"/>
  <c r="Z184" i="56"/>
  <c r="AA227" i="58"/>
  <c r="AA211" i="58"/>
  <c r="AA251" i="58"/>
  <c r="AA259" i="58"/>
  <c r="Y109" i="58" s="1"/>
  <c r="AA203" i="58"/>
  <c r="AA235" i="58"/>
  <c r="AA219" i="58"/>
  <c r="AA187" i="58"/>
  <c r="AA195" i="58"/>
  <c r="AA179" i="58"/>
  <c r="AA171" i="58"/>
  <c r="AA243" i="58"/>
  <c r="U186" i="56"/>
  <c r="V229" i="58"/>
  <c r="V213" i="58"/>
  <c r="V261" i="58"/>
  <c r="T111" i="58" s="1"/>
  <c r="V253" i="58"/>
  <c r="V237" i="58"/>
  <c r="V205" i="58"/>
  <c r="V245" i="58"/>
  <c r="V197" i="58"/>
  <c r="V221" i="58"/>
  <c r="V181" i="58"/>
  <c r="V173" i="58"/>
  <c r="V189" i="58"/>
  <c r="Q184" i="56"/>
  <c r="R211" i="58"/>
  <c r="R259" i="58"/>
  <c r="P109" i="58" s="1"/>
  <c r="R251" i="58"/>
  <c r="R227" i="58"/>
  <c r="R203" i="58"/>
  <c r="R235" i="58"/>
  <c r="R243" i="58"/>
  <c r="R195" i="58"/>
  <c r="R179" i="58"/>
  <c r="R219" i="58"/>
  <c r="R187" i="58"/>
  <c r="R171" i="58"/>
  <c r="AC184" i="56"/>
  <c r="AD211" i="58"/>
  <c r="AD227" i="58"/>
  <c r="AD235" i="58"/>
  <c r="AD243" i="58"/>
  <c r="AD259" i="58"/>
  <c r="AB109" i="58" s="1"/>
  <c r="AD203" i="58"/>
  <c r="AD195" i="58"/>
  <c r="AD187" i="58"/>
  <c r="AD171" i="58"/>
  <c r="AD179" i="58"/>
  <c r="AD251" i="58"/>
  <c r="AD219" i="58"/>
  <c r="AB184" i="56"/>
  <c r="AC227" i="58"/>
  <c r="AC259" i="58"/>
  <c r="AA109" i="58" s="1"/>
  <c r="AC211" i="58"/>
  <c r="AC251" i="58"/>
  <c r="AC203" i="58"/>
  <c r="AC235" i="58"/>
  <c r="AC243" i="58"/>
  <c r="AC219" i="58"/>
  <c r="AC179" i="58"/>
  <c r="AC171" i="58"/>
  <c r="AC195" i="58"/>
  <c r="AC187" i="58"/>
  <c r="T264" i="58"/>
  <c r="R115" i="58" s="1"/>
  <c r="T224" i="58"/>
  <c r="T208" i="58"/>
  <c r="T248" i="58"/>
  <c r="T198" i="58"/>
  <c r="R41" i="58" s="1"/>
  <c r="T214" i="58"/>
  <c r="R59" i="58" s="1"/>
  <c r="T200" i="58"/>
  <c r="T222" i="58"/>
  <c r="R68" i="58" s="1"/>
  <c r="T246" i="58"/>
  <c r="R95" i="58" s="1"/>
  <c r="T206" i="58"/>
  <c r="R50" i="58" s="1"/>
  <c r="T240" i="58"/>
  <c r="T262" i="58"/>
  <c r="R113" i="58" s="1"/>
  <c r="T230" i="58"/>
  <c r="R77" i="58" s="1"/>
  <c r="T232" i="58"/>
  <c r="T256" i="58"/>
  <c r="R106" i="58" s="1"/>
  <c r="T238" i="58"/>
  <c r="R86" i="58" s="1"/>
  <c r="T176" i="58"/>
  <c r="T190" i="58"/>
  <c r="R32" i="58" s="1"/>
  <c r="T184" i="58"/>
  <c r="T182" i="58"/>
  <c r="R23" i="58" s="1"/>
  <c r="T216" i="58"/>
  <c r="T174" i="58"/>
  <c r="R14" i="58" s="1"/>
  <c r="T168" i="58"/>
  <c r="T192" i="58"/>
  <c r="T254" i="58"/>
  <c r="R104" i="58" s="1"/>
  <c r="P182" i="56"/>
  <c r="Q249" i="58"/>
  <c r="Q209" i="58"/>
  <c r="Q225" i="58"/>
  <c r="Q257" i="58"/>
  <c r="O107" i="58" s="1"/>
  <c r="Q201" i="58"/>
  <c r="Q233" i="58"/>
  <c r="Q241" i="58"/>
  <c r="Q177" i="58"/>
  <c r="Q217" i="58"/>
  <c r="Q185" i="58"/>
  <c r="Q169" i="58"/>
  <c r="Q193" i="58"/>
  <c r="AC264" i="58"/>
  <c r="AA115" i="58" s="1"/>
  <c r="AC224" i="58"/>
  <c r="AC208" i="58"/>
  <c r="AC246" i="58"/>
  <c r="AA95" i="58" s="1"/>
  <c r="AC214" i="58"/>
  <c r="AA59" i="58" s="1"/>
  <c r="AC232" i="58"/>
  <c r="AC262" i="58"/>
  <c r="AA113" i="58" s="1"/>
  <c r="AC240" i="58"/>
  <c r="AC200" i="58"/>
  <c r="AC248" i="58"/>
  <c r="AC206" i="58"/>
  <c r="AA50" i="58" s="1"/>
  <c r="AC198" i="58"/>
  <c r="AA41" i="58" s="1"/>
  <c r="AC256" i="58"/>
  <c r="AA106" i="58" s="1"/>
  <c r="AC238" i="58"/>
  <c r="AA86" i="58" s="1"/>
  <c r="AC230" i="58"/>
  <c r="AA77" i="58" s="1"/>
  <c r="AC190" i="58"/>
  <c r="AA32" i="58" s="1"/>
  <c r="AC222" i="58"/>
  <c r="AA68" i="58" s="1"/>
  <c r="AC174" i="58"/>
  <c r="AA14" i="58" s="1"/>
  <c r="AC254" i="58"/>
  <c r="AA104" i="58" s="1"/>
  <c r="AC192" i="58"/>
  <c r="AC168" i="58"/>
  <c r="AC176" i="58"/>
  <c r="AC216" i="58"/>
  <c r="AC182" i="58"/>
  <c r="AA23" i="58" s="1"/>
  <c r="AC184" i="58"/>
  <c r="AE264" i="58"/>
  <c r="AC115" i="58" s="1"/>
  <c r="AE256" i="58"/>
  <c r="AC106" i="58" s="1"/>
  <c r="AE246" i="58"/>
  <c r="AC95" i="58" s="1"/>
  <c r="AE208" i="58"/>
  <c r="AE198" i="58"/>
  <c r="AC41" i="58" s="1"/>
  <c r="AE248" i="58"/>
  <c r="AE206" i="58"/>
  <c r="AC50" i="58" s="1"/>
  <c r="AE224" i="58"/>
  <c r="AE190" i="58"/>
  <c r="AC32" i="58" s="1"/>
  <c r="AE240" i="58"/>
  <c r="AE222" i="58"/>
  <c r="AC68" i="58" s="1"/>
  <c r="AE214" i="58"/>
  <c r="AC59" i="58" s="1"/>
  <c r="AE238" i="58"/>
  <c r="AC86" i="58" s="1"/>
  <c r="AE232" i="58"/>
  <c r="AE230" i="58"/>
  <c r="AC77" i="58" s="1"/>
  <c r="AE262" i="58"/>
  <c r="AC113" i="58" s="1"/>
  <c r="AE174" i="58"/>
  <c r="AC14" i="58" s="1"/>
  <c r="AE168" i="58"/>
  <c r="AE184" i="58"/>
  <c r="AE200" i="58"/>
  <c r="AE254" i="58"/>
  <c r="AC104" i="58" s="1"/>
  <c r="AE182" i="58"/>
  <c r="AC23" i="58" s="1"/>
  <c r="AE192" i="58"/>
  <c r="AE176" i="58"/>
  <c r="AE216" i="58"/>
  <c r="K186" i="56"/>
  <c r="L229" i="58"/>
  <c r="L253" i="58"/>
  <c r="L261" i="58"/>
  <c r="J111" i="58" s="1"/>
  <c r="L213" i="58"/>
  <c r="L205" i="58"/>
  <c r="L245" i="58"/>
  <c r="L237" i="58"/>
  <c r="L221" i="58"/>
  <c r="L189" i="58"/>
  <c r="L197" i="58"/>
  <c r="L181" i="58"/>
  <c r="L173" i="58"/>
  <c r="T183" i="56"/>
  <c r="U210" i="58"/>
  <c r="U226" i="58"/>
  <c r="U250" i="58"/>
  <c r="U258" i="58"/>
  <c r="S108" i="58" s="1"/>
  <c r="U194" i="58"/>
  <c r="U242" i="58"/>
  <c r="U202" i="58"/>
  <c r="U218" i="58"/>
  <c r="U178" i="58"/>
  <c r="U170" i="58"/>
  <c r="U234" i="58"/>
  <c r="U186" i="58"/>
  <c r="H182" i="56"/>
  <c r="I225" i="58"/>
  <c r="I257" i="58"/>
  <c r="G107" i="58" s="1"/>
  <c r="I209" i="58"/>
  <c r="I201" i="58"/>
  <c r="I241" i="58"/>
  <c r="I249" i="58"/>
  <c r="I193" i="58"/>
  <c r="I217" i="58"/>
  <c r="I233" i="58"/>
  <c r="I177" i="58"/>
  <c r="I169" i="58"/>
  <c r="I185" i="58"/>
  <c r="X185" i="56"/>
  <c r="Y260" i="58"/>
  <c r="W110" i="58" s="1"/>
  <c r="Y228" i="58"/>
  <c r="Y252" i="58"/>
  <c r="Y204" i="58"/>
  <c r="Y212" i="58"/>
  <c r="Y196" i="58"/>
  <c r="Y220" i="58"/>
  <c r="Y236" i="58"/>
  <c r="Y244" i="58"/>
  <c r="Y180" i="58"/>
  <c r="Y188" i="58"/>
  <c r="Y172" i="58"/>
  <c r="M184" i="56"/>
  <c r="N211" i="58"/>
  <c r="N227" i="58"/>
  <c r="N259" i="58"/>
  <c r="L109" i="58" s="1"/>
  <c r="N235" i="58"/>
  <c r="N251" i="58"/>
  <c r="N203" i="58"/>
  <c r="N219" i="58"/>
  <c r="N243" i="58"/>
  <c r="N171" i="58"/>
  <c r="N195" i="58"/>
  <c r="N187" i="58"/>
  <c r="N179" i="58"/>
  <c r="S186" i="56"/>
  <c r="T213" i="58"/>
  <c r="T261" i="58"/>
  <c r="R111" i="58" s="1"/>
  <c r="T229" i="58"/>
  <c r="T237" i="58"/>
  <c r="T253" i="58"/>
  <c r="T205" i="58"/>
  <c r="T197" i="58"/>
  <c r="T221" i="58"/>
  <c r="T181" i="58"/>
  <c r="T245" i="58"/>
  <c r="T173" i="58"/>
  <c r="T189" i="58"/>
  <c r="V184" i="56"/>
  <c r="W251" i="58"/>
  <c r="W227" i="58"/>
  <c r="W259" i="58"/>
  <c r="U109" i="58" s="1"/>
  <c r="W235" i="58"/>
  <c r="W203" i="58"/>
  <c r="W243" i="58"/>
  <c r="W195" i="58"/>
  <c r="W219" i="58"/>
  <c r="W211" i="58"/>
  <c r="W187" i="58"/>
  <c r="W179" i="58"/>
  <c r="W171" i="58"/>
  <c r="W186" i="56"/>
  <c r="X213" i="58"/>
  <c r="X229" i="58"/>
  <c r="X205" i="58"/>
  <c r="X261" i="58"/>
  <c r="V111" i="58" s="1"/>
  <c r="X253" i="58"/>
  <c r="X245" i="58"/>
  <c r="X237" i="58"/>
  <c r="X221" i="58"/>
  <c r="X189" i="58"/>
  <c r="X173" i="58"/>
  <c r="X197" i="58"/>
  <c r="X181" i="58"/>
  <c r="AB182" i="56"/>
  <c r="AC249" i="58"/>
  <c r="AC225" i="58"/>
  <c r="AC257" i="58"/>
  <c r="AA107" i="58" s="1"/>
  <c r="AC209" i="58"/>
  <c r="AC201" i="58"/>
  <c r="AC217" i="58"/>
  <c r="AC241" i="58"/>
  <c r="AC233" i="58"/>
  <c r="AC169" i="58"/>
  <c r="AC177" i="58"/>
  <c r="AC193" i="58"/>
  <c r="AC185" i="58"/>
  <c r="G186" i="56"/>
  <c r="H253" i="58"/>
  <c r="H229" i="58"/>
  <c r="H237" i="58"/>
  <c r="H205" i="58"/>
  <c r="H213" i="58"/>
  <c r="H261" i="58"/>
  <c r="F111" i="58" s="1"/>
  <c r="H221" i="58"/>
  <c r="H245" i="58"/>
  <c r="H189" i="58"/>
  <c r="H181" i="58"/>
  <c r="H173" i="58"/>
  <c r="H197" i="58"/>
  <c r="X182" i="56"/>
  <c r="Y225" i="58"/>
  <c r="Y257" i="58"/>
  <c r="W107" i="58" s="1"/>
  <c r="Y209" i="58"/>
  <c r="Y249" i="58"/>
  <c r="Y193" i="58"/>
  <c r="Y201" i="58"/>
  <c r="Y217" i="58"/>
  <c r="Y233" i="58"/>
  <c r="Y185" i="58"/>
  <c r="Y169" i="58"/>
  <c r="Y241" i="58"/>
  <c r="Y177" i="58"/>
  <c r="G183" i="56"/>
  <c r="H258" i="58"/>
  <c r="F108" i="58" s="1"/>
  <c r="H250" i="58"/>
  <c r="H226" i="58"/>
  <c r="H210" i="58"/>
  <c r="H234" i="58"/>
  <c r="H194" i="58"/>
  <c r="H202" i="58"/>
  <c r="H242" i="58"/>
  <c r="H218" i="58"/>
  <c r="H178" i="58"/>
  <c r="H170" i="58"/>
  <c r="H186" i="58"/>
  <c r="P183" i="56"/>
  <c r="Q226" i="58"/>
  <c r="Q258" i="58"/>
  <c r="O108" i="58" s="1"/>
  <c r="Q250" i="58"/>
  <c r="Q210" i="58"/>
  <c r="Q202" i="58"/>
  <c r="Q218" i="58"/>
  <c r="Q234" i="58"/>
  <c r="Q242" i="58"/>
  <c r="Q194" i="58"/>
  <c r="Q186" i="58"/>
  <c r="Q170" i="58"/>
  <c r="Q178" i="58"/>
  <c r="S185" i="56"/>
  <c r="T228" i="58"/>
  <c r="T260" i="58"/>
  <c r="R110" i="58" s="1"/>
  <c r="T252" i="58"/>
  <c r="T212" i="58"/>
  <c r="T236" i="58"/>
  <c r="T244" i="58"/>
  <c r="T196" i="58"/>
  <c r="T204" i="58"/>
  <c r="T220" i="58"/>
  <c r="T188" i="58"/>
  <c r="T180" i="58"/>
  <c r="T172" i="58"/>
  <c r="J186" i="56"/>
  <c r="K213" i="58"/>
  <c r="K253" i="58"/>
  <c r="K229" i="58"/>
  <c r="K261" i="58"/>
  <c r="I111" i="58" s="1"/>
  <c r="K237" i="58"/>
  <c r="K245" i="58"/>
  <c r="K205" i="58"/>
  <c r="K173" i="58"/>
  <c r="K221" i="58"/>
  <c r="K189" i="58"/>
  <c r="K181" i="58"/>
  <c r="K197" i="58"/>
  <c r="W182" i="56"/>
  <c r="X209" i="58"/>
  <c r="X225" i="58"/>
  <c r="X233" i="58"/>
  <c r="X257" i="58"/>
  <c r="V107" i="58" s="1"/>
  <c r="X249" i="58"/>
  <c r="X201" i="58"/>
  <c r="X217" i="58"/>
  <c r="X193" i="58"/>
  <c r="X241" i="58"/>
  <c r="X177" i="58"/>
  <c r="X169" i="58"/>
  <c r="X185" i="58"/>
  <c r="U184" i="56"/>
  <c r="V251" i="58"/>
  <c r="V211" i="58"/>
  <c r="V227" i="58"/>
  <c r="V259" i="58"/>
  <c r="T109" i="58" s="1"/>
  <c r="V203" i="58"/>
  <c r="V243" i="58"/>
  <c r="V219" i="58"/>
  <c r="V235" i="58"/>
  <c r="V195" i="58"/>
  <c r="V171" i="58"/>
  <c r="V187" i="58"/>
  <c r="V179" i="58"/>
  <c r="Y186" i="56"/>
  <c r="Z229" i="58"/>
  <c r="Z213" i="58"/>
  <c r="Z261" i="58"/>
  <c r="X111" i="58" s="1"/>
  <c r="Z205" i="58"/>
  <c r="Z253" i="58"/>
  <c r="Z237" i="58"/>
  <c r="Z221" i="58"/>
  <c r="Z173" i="58"/>
  <c r="Z245" i="58"/>
  <c r="Z197" i="58"/>
  <c r="Z189" i="58"/>
  <c r="Z181" i="58"/>
  <c r="AD182" i="56"/>
  <c r="AE209" i="58"/>
  <c r="AE225" i="58"/>
  <c r="AE249" i="58"/>
  <c r="AE257" i="58"/>
  <c r="AC107" i="58" s="1"/>
  <c r="AE233" i="58"/>
  <c r="AE201" i="58"/>
  <c r="AE217" i="58"/>
  <c r="AE193" i="58"/>
  <c r="AE169" i="58"/>
  <c r="AE177" i="58"/>
  <c r="AE241" i="58"/>
  <c r="AE185" i="58"/>
  <c r="T185" i="56"/>
  <c r="U204" i="58"/>
  <c r="U228" i="58"/>
  <c r="U212" i="58"/>
  <c r="U260" i="58"/>
  <c r="S110" i="58" s="1"/>
  <c r="U244" i="58"/>
  <c r="U220" i="58"/>
  <c r="U252" i="58"/>
  <c r="U180" i="58"/>
  <c r="U172" i="58"/>
  <c r="U236" i="58"/>
  <c r="U188" i="58"/>
  <c r="U196" i="58"/>
  <c r="N183" i="56"/>
  <c r="O210" i="58"/>
  <c r="O250" i="58"/>
  <c r="O226" i="58"/>
  <c r="O242" i="58"/>
  <c r="O234" i="58"/>
  <c r="O258" i="58"/>
  <c r="M108" i="58" s="1"/>
  <c r="O202" i="58"/>
  <c r="O218" i="58"/>
  <c r="O194" i="58"/>
  <c r="O186" i="58"/>
  <c r="O178" i="58"/>
  <c r="O170" i="58"/>
  <c r="Q264" i="58"/>
  <c r="O115" i="58" s="1"/>
  <c r="Q224" i="58"/>
  <c r="Q198" i="58"/>
  <c r="O41" i="58" s="1"/>
  <c r="Q256" i="58"/>
  <c r="O106" i="58" s="1"/>
  <c r="Q248" i="58"/>
  <c r="Q214" i="58"/>
  <c r="O59" i="58" s="1"/>
  <c r="Q208" i="58"/>
  <c r="Q232" i="58"/>
  <c r="Q222" i="58"/>
  <c r="O68" i="58" s="1"/>
  <c r="Q238" i="58"/>
  <c r="O86" i="58" s="1"/>
  <c r="Q200" i="58"/>
  <c r="Q262" i="58"/>
  <c r="O113" i="58" s="1"/>
  <c r="Q246" i="58"/>
  <c r="O95" i="58" s="1"/>
  <c r="Q230" i="58"/>
  <c r="O77" i="58" s="1"/>
  <c r="Q192" i="58"/>
  <c r="Q216" i="58"/>
  <c r="Q240" i="58"/>
  <c r="Q254" i="58"/>
  <c r="O104" i="58" s="1"/>
  <c r="Q174" i="58"/>
  <c r="O14" i="58" s="1"/>
  <c r="Q182" i="58"/>
  <c r="O23" i="58" s="1"/>
  <c r="Q190" i="58"/>
  <c r="O32" i="58" s="1"/>
  <c r="Q184" i="58"/>
  <c r="Q206" i="58"/>
  <c r="O50" i="58" s="1"/>
  <c r="Q168" i="58"/>
  <c r="Q176" i="58"/>
  <c r="I185" i="56"/>
  <c r="J212" i="58"/>
  <c r="J260" i="58"/>
  <c r="H110" i="58" s="1"/>
  <c r="J228" i="58"/>
  <c r="J204" i="58"/>
  <c r="J196" i="58"/>
  <c r="J252" i="58"/>
  <c r="J236" i="58"/>
  <c r="J220" i="58"/>
  <c r="J244" i="58"/>
  <c r="J180" i="58"/>
  <c r="J188" i="58"/>
  <c r="J172" i="58"/>
  <c r="U264" i="58"/>
  <c r="S115" i="58" s="1"/>
  <c r="U246" i="58"/>
  <c r="S95" i="58" s="1"/>
  <c r="U224" i="58"/>
  <c r="U198" i="58"/>
  <c r="S41" i="58" s="1"/>
  <c r="U232" i="58"/>
  <c r="U208" i="58"/>
  <c r="U206" i="58"/>
  <c r="S50" i="58" s="1"/>
  <c r="U240" i="58"/>
  <c r="U190" i="58"/>
  <c r="S32" i="58" s="1"/>
  <c r="U256" i="58"/>
  <c r="S106" i="58" s="1"/>
  <c r="U248" i="58"/>
  <c r="U200" i="58"/>
  <c r="U238" i="58"/>
  <c r="S86" i="58" s="1"/>
  <c r="U254" i="58"/>
  <c r="S104" i="58" s="1"/>
  <c r="U216" i="58"/>
  <c r="U214" i="58"/>
  <c r="S59" i="58" s="1"/>
  <c r="U222" i="58"/>
  <c r="S68" i="58" s="1"/>
  <c r="U262" i="58"/>
  <c r="S113" i="58" s="1"/>
  <c r="U184" i="58"/>
  <c r="U192" i="58"/>
  <c r="U168" i="58"/>
  <c r="U230" i="58"/>
  <c r="S77" i="58" s="1"/>
  <c r="U176" i="58"/>
  <c r="U182" i="58"/>
  <c r="S23" i="58" s="1"/>
  <c r="U174" i="58"/>
  <c r="S14" i="58" s="1"/>
  <c r="Z264" i="58"/>
  <c r="X115" i="58" s="1"/>
  <c r="Z224" i="58"/>
  <c r="Z248" i="58"/>
  <c r="Z246" i="58"/>
  <c r="X95" i="58" s="1"/>
  <c r="Z198" i="58"/>
  <c r="X41" i="58" s="1"/>
  <c r="Z200" i="58"/>
  <c r="Z256" i="58"/>
  <c r="X106" i="58" s="1"/>
  <c r="Z206" i="58"/>
  <c r="X50" i="58" s="1"/>
  <c r="Z232" i="58"/>
  <c r="Z240" i="58"/>
  <c r="Z208" i="58"/>
  <c r="Z222" i="58"/>
  <c r="X68" i="58" s="1"/>
  <c r="Z238" i="58"/>
  <c r="X86" i="58" s="1"/>
  <c r="Z262" i="58"/>
  <c r="X113" i="58" s="1"/>
  <c r="Z254" i="58"/>
  <c r="X104" i="58" s="1"/>
  <c r="Z216" i="58"/>
  <c r="Z214" i="58"/>
  <c r="X59" i="58" s="1"/>
  <c r="Z192" i="58"/>
  <c r="Z168" i="58"/>
  <c r="Z230" i="58"/>
  <c r="X77" i="58" s="1"/>
  <c r="Z190" i="58"/>
  <c r="X32" i="58" s="1"/>
  <c r="Z174" i="58"/>
  <c r="X14" i="58" s="1"/>
  <c r="Z176" i="58"/>
  <c r="Z184" i="58"/>
  <c r="Z182" i="58"/>
  <c r="X23" i="58" s="1"/>
  <c r="K264" i="58"/>
  <c r="I115" i="58" s="1"/>
  <c r="K256" i="58"/>
  <c r="I106" i="58" s="1"/>
  <c r="K208" i="58"/>
  <c r="K246" i="58"/>
  <c r="I95" i="58" s="1"/>
  <c r="K224" i="58"/>
  <c r="K200" i="58"/>
  <c r="K262" i="58"/>
  <c r="I113" i="58" s="1"/>
  <c r="K240" i="58"/>
  <c r="K214" i="58"/>
  <c r="I59" i="58" s="1"/>
  <c r="K232" i="58"/>
  <c r="K198" i="58"/>
  <c r="I41" i="58" s="1"/>
  <c r="K206" i="58"/>
  <c r="I50" i="58" s="1"/>
  <c r="K190" i="58"/>
  <c r="I32" i="58" s="1"/>
  <c r="K248" i="58"/>
  <c r="K222" i="58"/>
  <c r="I68" i="58" s="1"/>
  <c r="K230" i="58"/>
  <c r="I77" i="58" s="1"/>
  <c r="K216" i="58"/>
  <c r="K254" i="58"/>
  <c r="I104" i="58" s="1"/>
  <c r="K238" i="58"/>
  <c r="I86" i="58" s="1"/>
  <c r="K192" i="58"/>
  <c r="K182" i="58"/>
  <c r="I23" i="58" s="1"/>
  <c r="K168" i="58"/>
  <c r="K176" i="58"/>
  <c r="K184" i="58"/>
  <c r="K174" i="58"/>
  <c r="I14" i="58" s="1"/>
  <c r="S264" i="58"/>
  <c r="Q115" i="58" s="1"/>
  <c r="S198" i="58"/>
  <c r="Q41" i="58" s="1"/>
  <c r="S208" i="58"/>
  <c r="S248" i="58"/>
  <c r="S246" i="58"/>
  <c r="Q95" i="58" s="1"/>
  <c r="S224" i="58"/>
  <c r="S256" i="58"/>
  <c r="Q106" i="58" s="1"/>
  <c r="S238" i="58"/>
  <c r="Q86" i="58" s="1"/>
  <c r="S262" i="58"/>
  <c r="Q113" i="58" s="1"/>
  <c r="S214" i="58"/>
  <c r="Q59" i="58" s="1"/>
  <c r="S200" i="58"/>
  <c r="S190" i="58"/>
  <c r="Q32" i="58" s="1"/>
  <c r="S216" i="58"/>
  <c r="S206" i="58"/>
  <c r="Q50" i="58" s="1"/>
  <c r="S222" i="58"/>
  <c r="Q68" i="58" s="1"/>
  <c r="S240" i="58"/>
  <c r="S254" i="58"/>
  <c r="Q104" i="58" s="1"/>
  <c r="S192" i="58"/>
  <c r="S174" i="58"/>
  <c r="Q14" i="58" s="1"/>
  <c r="S182" i="58"/>
  <c r="Q23" i="58" s="1"/>
  <c r="S176" i="58"/>
  <c r="S168" i="58"/>
  <c r="S230" i="58"/>
  <c r="Q77" i="58" s="1"/>
  <c r="S232" i="58"/>
  <c r="S184" i="58"/>
  <c r="Y264" i="58"/>
  <c r="W115" i="58" s="1"/>
  <c r="Y246" i="58"/>
  <c r="W95" i="58" s="1"/>
  <c r="Y198" i="58"/>
  <c r="W41" i="58" s="1"/>
  <c r="Y208" i="58"/>
  <c r="Y248" i="58"/>
  <c r="Y224" i="58"/>
  <c r="Y190" i="58"/>
  <c r="W32" i="58" s="1"/>
  <c r="Y222" i="58"/>
  <c r="W68" i="58" s="1"/>
  <c r="Y238" i="58"/>
  <c r="W86" i="58" s="1"/>
  <c r="Y256" i="58"/>
  <c r="W106" i="58" s="1"/>
  <c r="Y214" i="58"/>
  <c r="W59" i="58" s="1"/>
  <c r="Y206" i="58"/>
  <c r="W50" i="58" s="1"/>
  <c r="Y262" i="58"/>
  <c r="W113" i="58" s="1"/>
  <c r="Y232" i="58"/>
  <c r="Y216" i="58"/>
  <c r="Y240" i="58"/>
  <c r="Y230" i="58"/>
  <c r="W77" i="58" s="1"/>
  <c r="Y200" i="58"/>
  <c r="Y254" i="58"/>
  <c r="W104" i="58" s="1"/>
  <c r="Y184" i="58"/>
  <c r="Y174" i="58"/>
  <c r="W14" i="58" s="1"/>
  <c r="Y182" i="58"/>
  <c r="W23" i="58" s="1"/>
  <c r="Y176" i="58"/>
  <c r="Y168" i="58"/>
  <c r="Y192" i="58"/>
  <c r="AB264" i="58"/>
  <c r="Z115" i="58" s="1"/>
  <c r="AB246" i="58"/>
  <c r="Z95" i="58" s="1"/>
  <c r="AB224" i="58"/>
  <c r="AB198" i="58"/>
  <c r="Z41" i="58" s="1"/>
  <c r="AB208" i="58"/>
  <c r="AB256" i="58"/>
  <c r="Z106" i="58" s="1"/>
  <c r="AB248" i="58"/>
  <c r="AB190" i="58"/>
  <c r="Z32" i="58" s="1"/>
  <c r="AB200" i="58"/>
  <c r="AB232" i="58"/>
  <c r="AB214" i="58"/>
  <c r="Z59" i="58" s="1"/>
  <c r="AB262" i="58"/>
  <c r="Z113" i="58" s="1"/>
  <c r="AB254" i="58"/>
  <c r="Z104" i="58" s="1"/>
  <c r="AB206" i="58"/>
  <c r="Z50" i="58" s="1"/>
  <c r="AB222" i="58"/>
  <c r="Z68" i="58" s="1"/>
  <c r="AB230" i="58"/>
  <c r="Z77" i="58" s="1"/>
  <c r="AB184" i="58"/>
  <c r="AB182" i="58"/>
  <c r="Z23" i="58" s="1"/>
  <c r="AB174" i="58"/>
  <c r="Z14" i="58" s="1"/>
  <c r="AB238" i="58"/>
  <c r="Z86" i="58" s="1"/>
  <c r="AB240" i="58"/>
  <c r="AB192" i="58"/>
  <c r="AB168" i="58"/>
  <c r="AB216" i="58"/>
  <c r="AB176" i="58"/>
  <c r="G264" i="58"/>
  <c r="E115" i="58" s="1"/>
  <c r="G248" i="58"/>
  <c r="G246" i="58"/>
  <c r="E95" i="58" s="1"/>
  <c r="G208" i="58"/>
  <c r="G192" i="58"/>
  <c r="G198" i="58"/>
  <c r="E41" i="58" s="1"/>
  <c r="G224" i="58"/>
  <c r="G256" i="58"/>
  <c r="E106" i="58" s="1"/>
  <c r="G190" i="58"/>
  <c r="E32" i="58" s="1"/>
  <c r="G222" i="58"/>
  <c r="E68" i="58" s="1"/>
  <c r="G182" i="58"/>
  <c r="E23" i="58" s="1"/>
  <c r="G206" i="58"/>
  <c r="E50" i="58" s="1"/>
  <c r="G238" i="58"/>
  <c r="E86" i="58" s="1"/>
  <c r="G200" i="58"/>
  <c r="G230" i="58"/>
  <c r="E77" i="58" s="1"/>
  <c r="G216" i="58"/>
  <c r="G214" i="58"/>
  <c r="E59" i="58" s="1"/>
  <c r="G232" i="58"/>
  <c r="G240" i="58"/>
  <c r="G176" i="58"/>
  <c r="G254" i="58"/>
  <c r="E104" i="58" s="1"/>
  <c r="G174" i="58"/>
  <c r="E14" i="58" s="1"/>
  <c r="G184" i="58"/>
  <c r="G168" i="58"/>
  <c r="G262" i="58"/>
  <c r="E113" i="58" s="1"/>
  <c r="O186" i="56"/>
  <c r="P261" i="58"/>
  <c r="N111" i="58" s="1"/>
  <c r="P229" i="58"/>
  <c r="P253" i="58"/>
  <c r="P237" i="58"/>
  <c r="P213" i="58"/>
  <c r="P205" i="58"/>
  <c r="P197" i="58"/>
  <c r="P245" i="58"/>
  <c r="P221" i="58"/>
  <c r="P173" i="58"/>
  <c r="P189" i="58"/>
  <c r="P181" i="58"/>
  <c r="J185" i="56"/>
  <c r="K228" i="58"/>
  <c r="K252" i="58"/>
  <c r="K260" i="58"/>
  <c r="I110" i="58" s="1"/>
  <c r="K204" i="58"/>
  <c r="K236" i="58"/>
  <c r="K196" i="58"/>
  <c r="K220" i="58"/>
  <c r="K244" i="58"/>
  <c r="K212" i="58"/>
  <c r="K188" i="58"/>
  <c r="K172" i="58"/>
  <c r="K180" i="58"/>
  <c r="Z186" i="56"/>
  <c r="AA229" i="58"/>
  <c r="AA205" i="58"/>
  <c r="AA245" i="58"/>
  <c r="AA261" i="58"/>
  <c r="Y111" i="58" s="1"/>
  <c r="AA253" i="58"/>
  <c r="AA213" i="58"/>
  <c r="AA237" i="58"/>
  <c r="AA221" i="58"/>
  <c r="AA189" i="58"/>
  <c r="AA181" i="58"/>
  <c r="AA173" i="58"/>
  <c r="AA197" i="58"/>
  <c r="P184" i="56"/>
  <c r="Q251" i="58"/>
  <c r="Q227" i="58"/>
  <c r="Q243" i="58"/>
  <c r="Q211" i="58"/>
  <c r="Q259" i="58"/>
  <c r="O109" i="58" s="1"/>
  <c r="Q235" i="58"/>
  <c r="Q219" i="58"/>
  <c r="Q203" i="58"/>
  <c r="Q187" i="58"/>
  <c r="Q179" i="58"/>
  <c r="Q171" i="58"/>
  <c r="Q195" i="58"/>
  <c r="I184" i="56"/>
  <c r="J227" i="58"/>
  <c r="J259" i="58"/>
  <c r="H109" i="58" s="1"/>
  <c r="J211" i="58"/>
  <c r="J251" i="58"/>
  <c r="J243" i="58"/>
  <c r="J219" i="58"/>
  <c r="J235" i="58"/>
  <c r="J203" i="58"/>
  <c r="J195" i="58"/>
  <c r="J179" i="58"/>
  <c r="J187" i="58"/>
  <c r="J171" i="58"/>
  <c r="AE185" i="56"/>
  <c r="AF228" i="58"/>
  <c r="AF212" i="58"/>
  <c r="AF260" i="58"/>
  <c r="AD110" i="58" s="1"/>
  <c r="AF252" i="58"/>
  <c r="AF244" i="58"/>
  <c r="AF236" i="58"/>
  <c r="AF204" i="58"/>
  <c r="AF220" i="58"/>
  <c r="AF196" i="58"/>
  <c r="AF188" i="58"/>
  <c r="AF172" i="58"/>
  <c r="AF180" i="58"/>
  <c r="AA182" i="56"/>
  <c r="AB209" i="58"/>
  <c r="AB225" i="58"/>
  <c r="AB257" i="58"/>
  <c r="Z107" i="58" s="1"/>
  <c r="AB241" i="58"/>
  <c r="AB249" i="58"/>
  <c r="AB233" i="58"/>
  <c r="AB217" i="58"/>
  <c r="AB193" i="58"/>
  <c r="AB185" i="58"/>
  <c r="AB201" i="58"/>
  <c r="AB177" i="58"/>
  <c r="AB169" i="58"/>
  <c r="O183" i="56"/>
  <c r="P226" i="58"/>
  <c r="P210" i="58"/>
  <c r="P258" i="58"/>
  <c r="N108" i="58" s="1"/>
  <c r="P250" i="58"/>
  <c r="P234" i="58"/>
  <c r="P218" i="58"/>
  <c r="P202" i="58"/>
  <c r="P178" i="58"/>
  <c r="P170" i="58"/>
  <c r="P242" i="58"/>
  <c r="P194" i="58"/>
  <c r="P186" i="58"/>
  <c r="H184" i="56"/>
  <c r="I259" i="58"/>
  <c r="G109" i="58" s="1"/>
  <c r="I227" i="58"/>
  <c r="I211" i="58"/>
  <c r="I243" i="58"/>
  <c r="I203" i="58"/>
  <c r="I235" i="58"/>
  <c r="I219" i="58"/>
  <c r="I251" i="58"/>
  <c r="I195" i="58"/>
  <c r="I187" i="58"/>
  <c r="I171" i="58"/>
  <c r="I179" i="58"/>
  <c r="Z185" i="56"/>
  <c r="AA212" i="58"/>
  <c r="AA260" i="58"/>
  <c r="Y110" i="58" s="1"/>
  <c r="AA252" i="58"/>
  <c r="AA244" i="58"/>
  <c r="AA204" i="58"/>
  <c r="AA228" i="58"/>
  <c r="AA236" i="58"/>
  <c r="AA196" i="58"/>
  <c r="AA220" i="58"/>
  <c r="AA188" i="58"/>
  <c r="AA172" i="58"/>
  <c r="AA180" i="58"/>
  <c r="F182" i="56"/>
  <c r="G225" i="58"/>
  <c r="G257" i="58"/>
  <c r="E107" i="58" s="1"/>
  <c r="G209" i="58"/>
  <c r="G249" i="58"/>
  <c r="G201" i="58"/>
  <c r="G233" i="58"/>
  <c r="G193" i="58"/>
  <c r="G241" i="58"/>
  <c r="G217" i="58"/>
  <c r="G185" i="58"/>
  <c r="G177" i="58"/>
  <c r="G169" i="58"/>
  <c r="Y182" i="56"/>
  <c r="Z225" i="58"/>
  <c r="Z257" i="58"/>
  <c r="X107" i="58" s="1"/>
  <c r="Z209" i="58"/>
  <c r="Z249" i="58"/>
  <c r="Z201" i="58"/>
  <c r="Z241" i="58"/>
  <c r="Z233" i="58"/>
  <c r="Z217" i="58"/>
  <c r="Z169" i="58"/>
  <c r="Z177" i="58"/>
  <c r="Z193" i="58"/>
  <c r="Z185" i="58"/>
  <c r="L184" i="56"/>
  <c r="M227" i="58"/>
  <c r="M211" i="58"/>
  <c r="M251" i="58"/>
  <c r="M203" i="58"/>
  <c r="M235" i="58"/>
  <c r="M195" i="58"/>
  <c r="M259" i="58"/>
  <c r="K109" i="58" s="1"/>
  <c r="M187" i="58"/>
  <c r="M179" i="58"/>
  <c r="M219" i="58"/>
  <c r="M243" i="58"/>
  <c r="M171" i="58"/>
  <c r="R183" i="56"/>
  <c r="S210" i="58"/>
  <c r="S226" i="58"/>
  <c r="S250" i="58"/>
  <c r="S242" i="58"/>
  <c r="S218" i="58"/>
  <c r="S258" i="58"/>
  <c r="Q108" i="58" s="1"/>
  <c r="S234" i="58"/>
  <c r="S202" i="58"/>
  <c r="S178" i="58"/>
  <c r="S194" i="58"/>
  <c r="S170" i="58"/>
  <c r="S186" i="58"/>
  <c r="Y184" i="56"/>
  <c r="Z259" i="58"/>
  <c r="X109" i="58" s="1"/>
  <c r="Z211" i="58"/>
  <c r="Z251" i="58"/>
  <c r="Z227" i="58"/>
  <c r="Z219" i="58"/>
  <c r="Z195" i="58"/>
  <c r="Z203" i="58"/>
  <c r="Z235" i="58"/>
  <c r="Z179" i="58"/>
  <c r="Z171" i="58"/>
  <c r="Z243" i="58"/>
  <c r="Z187" i="58"/>
  <c r="X264" i="58"/>
  <c r="V115" i="58" s="1"/>
  <c r="X224" i="58"/>
  <c r="X246" i="58"/>
  <c r="V95" i="58" s="1"/>
  <c r="X198" i="58"/>
  <c r="V41" i="58" s="1"/>
  <c r="X256" i="58"/>
  <c r="V106" i="58" s="1"/>
  <c r="X214" i="58"/>
  <c r="V59" i="58" s="1"/>
  <c r="X238" i="58"/>
  <c r="V86" i="58" s="1"/>
  <c r="X222" i="58"/>
  <c r="V68" i="58" s="1"/>
  <c r="X208" i="58"/>
  <c r="X240" i="58"/>
  <c r="X232" i="58"/>
  <c r="X254" i="58"/>
  <c r="V104" i="58" s="1"/>
  <c r="X190" i="58"/>
  <c r="V32" i="58" s="1"/>
  <c r="X216" i="58"/>
  <c r="X184" i="58"/>
  <c r="X248" i="58"/>
  <c r="X230" i="58"/>
  <c r="V77" i="58" s="1"/>
  <c r="X176" i="58"/>
  <c r="X200" i="58"/>
  <c r="X168" i="58"/>
  <c r="X174" i="58"/>
  <c r="V14" i="58" s="1"/>
  <c r="X262" i="58"/>
  <c r="V113" i="58" s="1"/>
  <c r="X206" i="58"/>
  <c r="V50" i="58" s="1"/>
  <c r="X192" i="58"/>
  <c r="X182" i="58"/>
  <c r="V23" i="58" s="1"/>
  <c r="M183" i="56"/>
  <c r="N250" i="58"/>
  <c r="N226" i="58"/>
  <c r="N210" i="58"/>
  <c r="N258" i="58"/>
  <c r="L108" i="58" s="1"/>
  <c r="N234" i="58"/>
  <c r="N202" i="58"/>
  <c r="N194" i="58"/>
  <c r="N242" i="58"/>
  <c r="N218" i="58"/>
  <c r="N178" i="58"/>
  <c r="N170" i="58"/>
  <c r="N186" i="58"/>
  <c r="K183" i="56"/>
  <c r="L226" i="58"/>
  <c r="L210" i="58"/>
  <c r="L242" i="58"/>
  <c r="L234" i="58"/>
  <c r="L250" i="58"/>
  <c r="L258" i="58"/>
  <c r="J108" i="58" s="1"/>
  <c r="L202" i="58"/>
  <c r="L194" i="58"/>
  <c r="L218" i="58"/>
  <c r="L186" i="58"/>
  <c r="L170" i="58"/>
  <c r="L178" i="58"/>
  <c r="AF264" i="58"/>
  <c r="AD115" i="58" s="1"/>
  <c r="AF248" i="58"/>
  <c r="AF208" i="58"/>
  <c r="AF246" i="58"/>
  <c r="AD95" i="58" s="1"/>
  <c r="AF232" i="58"/>
  <c r="AF262" i="58"/>
  <c r="AD113" i="58" s="1"/>
  <c r="AF198" i="58"/>
  <c r="AD41" i="58" s="1"/>
  <c r="AF214" i="58"/>
  <c r="AD59" i="58" s="1"/>
  <c r="AF200" i="58"/>
  <c r="AF238" i="58"/>
  <c r="AD86" i="58" s="1"/>
  <c r="AF224" i="58"/>
  <c r="AF256" i="58"/>
  <c r="AD106" i="58" s="1"/>
  <c r="AF190" i="58"/>
  <c r="AD32" i="58" s="1"/>
  <c r="AF240" i="58"/>
  <c r="AF222" i="58"/>
  <c r="AD68" i="58" s="1"/>
  <c r="AF230" i="58"/>
  <c r="AD77" i="58" s="1"/>
  <c r="AF206" i="58"/>
  <c r="AD50" i="58" s="1"/>
  <c r="AF254" i="58"/>
  <c r="AD104" i="58" s="1"/>
  <c r="AF192" i="58"/>
  <c r="AF216" i="58"/>
  <c r="AF182" i="58"/>
  <c r="AD23" i="58" s="1"/>
  <c r="AF176" i="58"/>
  <c r="AF168" i="58"/>
  <c r="AF174" i="58"/>
  <c r="AD14" i="58" s="1"/>
  <c r="AF184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T21" i="60" l="1"/>
  <c r="E16" i="60"/>
  <c r="Z35" i="59"/>
  <c r="O91" i="60"/>
  <c r="W54" i="60"/>
  <c r="V43" i="60"/>
  <c r="R38" i="60"/>
  <c r="O102" i="59"/>
  <c r="K45" i="60"/>
  <c r="AC97" i="60"/>
  <c r="S88" i="60"/>
  <c r="P54" i="60"/>
  <c r="T48" i="60"/>
  <c r="O64" i="60"/>
  <c r="M11" i="60"/>
  <c r="K9" i="60"/>
  <c r="F66" i="60"/>
  <c r="N45" i="60"/>
  <c r="Q7" i="59"/>
  <c r="Z39" i="60"/>
  <c r="P72" i="60"/>
  <c r="W81" i="60"/>
  <c r="G44" i="60"/>
  <c r="AC88" i="60"/>
  <c r="AC7" i="60"/>
  <c r="U55" i="60"/>
  <c r="AD97" i="60"/>
  <c r="T75" i="60"/>
  <c r="W72" i="60"/>
  <c r="E7" i="60"/>
  <c r="W93" i="59"/>
  <c r="AB55" i="59"/>
  <c r="H46" i="59"/>
  <c r="AA62" i="59"/>
  <c r="H37" i="59"/>
  <c r="AC57" i="59"/>
  <c r="I53" i="59"/>
  <c r="AC21" i="59"/>
  <c r="S70" i="59"/>
  <c r="G45" i="59"/>
  <c r="J9" i="59"/>
  <c r="AA71" i="59"/>
  <c r="AC102" i="59"/>
  <c r="J36" i="59"/>
  <c r="J81" i="59"/>
  <c r="I8" i="59"/>
  <c r="L123" i="60"/>
  <c r="L125" i="60" s="1"/>
  <c r="Y47" i="59"/>
  <c r="AB82" i="59"/>
  <c r="S7" i="59"/>
  <c r="M25" i="59"/>
  <c r="U97" i="59"/>
  <c r="S79" i="59"/>
  <c r="AB100" i="59"/>
  <c r="P35" i="59"/>
  <c r="O84" i="59"/>
  <c r="R54" i="59"/>
  <c r="AD27" i="59"/>
  <c r="J45" i="59"/>
  <c r="V36" i="59"/>
  <c r="F36" i="59"/>
  <c r="U79" i="59"/>
  <c r="O48" i="59"/>
  <c r="P36" i="60"/>
  <c r="Z84" i="60"/>
  <c r="V61" i="60"/>
  <c r="H72" i="60"/>
  <c r="AB45" i="60"/>
  <c r="S61" i="60"/>
  <c r="Q83" i="60"/>
  <c r="G71" i="60"/>
  <c r="R92" i="60"/>
  <c r="H81" i="60"/>
  <c r="AA17" i="60"/>
  <c r="F75" i="60"/>
  <c r="AA89" i="60"/>
  <c r="AD7" i="60"/>
  <c r="M38" i="60"/>
  <c r="M101" i="60"/>
  <c r="W45" i="60"/>
  <c r="F12" i="60"/>
  <c r="AC61" i="60"/>
  <c r="AA35" i="60"/>
  <c r="I98" i="60"/>
  <c r="S7" i="60"/>
  <c r="L34" i="60"/>
  <c r="K99" i="60"/>
  <c r="R47" i="60"/>
  <c r="H99" i="60"/>
  <c r="N27" i="60"/>
  <c r="I35" i="60"/>
  <c r="O55" i="60"/>
  <c r="X98" i="60"/>
  <c r="X62" i="60"/>
  <c r="U91" i="60"/>
  <c r="S112" i="60"/>
  <c r="Y65" i="60"/>
  <c r="AB99" i="60"/>
  <c r="K36" i="60"/>
  <c r="H90" i="60"/>
  <c r="I26" i="60"/>
  <c r="I71" i="60"/>
  <c r="AD43" i="60"/>
  <c r="K54" i="60"/>
  <c r="W9" i="60"/>
  <c r="R11" i="60"/>
  <c r="N81" i="60"/>
  <c r="N90" i="60"/>
  <c r="AC70" i="60"/>
  <c r="X89" i="60"/>
  <c r="U82" i="60"/>
  <c r="P63" i="60"/>
  <c r="T66" i="60"/>
  <c r="W18" i="60"/>
  <c r="Q11" i="60"/>
  <c r="E61" i="60"/>
  <c r="F39" i="60"/>
  <c r="N72" i="60"/>
  <c r="AC52" i="60"/>
  <c r="AA8" i="60"/>
  <c r="AA26" i="60"/>
  <c r="X71" i="60"/>
  <c r="F93" i="60"/>
  <c r="N18" i="60"/>
  <c r="AC79" i="60"/>
  <c r="AD70" i="60"/>
  <c r="AD61" i="60"/>
  <c r="P90" i="60"/>
  <c r="T102" i="60"/>
  <c r="E25" i="60"/>
  <c r="AA53" i="60"/>
  <c r="AA71" i="60"/>
  <c r="U19" i="60"/>
  <c r="S25" i="60"/>
  <c r="S43" i="60"/>
  <c r="P45" i="60"/>
  <c r="M74" i="60"/>
  <c r="Z48" i="60"/>
  <c r="V79" i="60"/>
  <c r="G8" i="60"/>
  <c r="S52" i="60"/>
  <c r="J64" i="60"/>
  <c r="J46" i="60"/>
  <c r="Q20" i="60"/>
  <c r="W34" i="58"/>
  <c r="W39" i="58"/>
  <c r="W35" i="58"/>
  <c r="W36" i="58"/>
  <c r="W37" i="58"/>
  <c r="W38" i="58"/>
  <c r="E12" i="58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W91" i="59"/>
  <c r="N36" i="59"/>
  <c r="Y102" i="60"/>
  <c r="AE124" i="59"/>
  <c r="AE126" i="59" s="1"/>
  <c r="U100" i="59"/>
  <c r="AE77" i="60"/>
  <c r="AH69" i="60"/>
  <c r="AE23" i="60"/>
  <c r="AH21" i="60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E86" i="60"/>
  <c r="AH77" i="60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4" i="59"/>
  <c r="AF126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E104" i="60"/>
  <c r="AH93" i="60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E111" i="59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J79" i="59"/>
  <c r="J88" i="59"/>
  <c r="K79" i="59"/>
  <c r="K70" i="59"/>
  <c r="U20" i="60"/>
  <c r="U92" i="60"/>
  <c r="Z65" i="60"/>
  <c r="R44" i="60"/>
  <c r="U35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E115" i="60"/>
  <c r="AH103" i="60"/>
  <c r="G123" i="60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E8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G34" i="60"/>
  <c r="G52" i="60"/>
  <c r="O11" i="60"/>
  <c r="O29" i="60"/>
  <c r="AA70" i="59"/>
  <c r="R43" i="59"/>
  <c r="R70" i="59"/>
  <c r="U90" i="60"/>
  <c r="G35" i="59"/>
  <c r="AD8" i="60"/>
  <c r="AD89" i="60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62" i="60"/>
  <c r="H34" i="59"/>
  <c r="H79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H70" i="60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P38" i="59"/>
  <c r="U52" i="60"/>
  <c r="U79" i="60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J61" i="59"/>
  <c r="K16" i="59"/>
  <c r="K112" i="59"/>
  <c r="U101" i="60"/>
  <c r="Z101" i="60"/>
  <c r="R35" i="60"/>
  <c r="R89" i="60"/>
  <c r="U17" i="59"/>
  <c r="AA48" i="60"/>
  <c r="AB70" i="59"/>
  <c r="AD124" i="59"/>
  <c r="AD126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Q34" i="58"/>
  <c r="S38" i="58"/>
  <c r="V35" i="58"/>
  <c r="AE107" i="58"/>
  <c r="F121" i="58" s="1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S7" i="28" s="1"/>
  <c r="R22" i="27"/>
  <c r="R24" i="27"/>
  <c r="R23" i="27"/>
  <c r="R25" i="27"/>
  <c r="R27" i="27"/>
  <c r="CI43" i="27"/>
  <c r="AI28" i="59" l="1"/>
  <c r="T7" i="28"/>
  <c r="G125" i="60"/>
  <c r="F123" i="60"/>
  <c r="E72" i="59"/>
  <c r="E74" i="59"/>
  <c r="E71" i="59"/>
  <c r="AE7" i="59"/>
  <c r="Q13" i="59"/>
  <c r="S60" i="52"/>
  <c r="S59" i="52"/>
  <c r="Q103" i="59"/>
  <c r="E83" i="59"/>
  <c r="AE83" i="59" s="1"/>
  <c r="F76" i="59"/>
  <c r="E29" i="59"/>
  <c r="E80" i="59"/>
  <c r="AE80" i="59" s="1"/>
  <c r="E27" i="59"/>
  <c r="E82" i="59"/>
  <c r="Y94" i="60"/>
  <c r="K94" i="60"/>
  <c r="E67" i="60"/>
  <c r="T13" i="60"/>
  <c r="AB40" i="60"/>
  <c r="T40" i="60"/>
  <c r="AD94" i="60"/>
  <c r="Y58" i="60"/>
  <c r="U85" i="60"/>
  <c r="F49" i="60"/>
  <c r="V85" i="60"/>
  <c r="Y67" i="60"/>
  <c r="H76" i="60"/>
  <c r="V67" i="60"/>
  <c r="R49" i="60"/>
  <c r="X22" i="60"/>
  <c r="U31" i="60"/>
  <c r="W85" i="59"/>
  <c r="V85" i="59"/>
  <c r="K67" i="59"/>
  <c r="E101" i="59"/>
  <c r="G58" i="59"/>
  <c r="X76" i="59"/>
  <c r="W76" i="59"/>
  <c r="S31" i="59"/>
  <c r="X94" i="59"/>
  <c r="V13" i="59"/>
  <c r="V49" i="59"/>
  <c r="E91" i="59"/>
  <c r="AE91" i="59" s="1"/>
  <c r="E92" i="59"/>
  <c r="AE92" i="59" s="1"/>
  <c r="E89" i="59"/>
  <c r="AE89" i="59" s="1"/>
  <c r="E90" i="59"/>
  <c r="AE90" i="59" s="1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AE30" i="59" s="1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K85" i="59"/>
  <c r="J85" i="60"/>
  <c r="Y49" i="59"/>
  <c r="AB103" i="60"/>
  <c r="Q85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21" i="59"/>
  <c r="AF123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21" i="59"/>
  <c r="AD123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E40" i="60"/>
  <c r="S49" i="59"/>
  <c r="AE68" i="59"/>
  <c r="AH61" i="59"/>
  <c r="AE70" i="59"/>
  <c r="AE113" i="59"/>
  <c r="AH101" i="59"/>
  <c r="Q31" i="59"/>
  <c r="E10" i="59"/>
  <c r="AE10" i="59" s="1"/>
  <c r="AH44" i="60"/>
  <c r="E49" i="60"/>
  <c r="AE43" i="60"/>
  <c r="L67" i="60"/>
  <c r="E55" i="59"/>
  <c r="AE55" i="59" s="1"/>
  <c r="AE64" i="60"/>
  <c r="M22" i="60"/>
  <c r="E94" i="60"/>
  <c r="AH84" i="60"/>
  <c r="AE88" i="60"/>
  <c r="S22" i="60"/>
  <c r="X31" i="59"/>
  <c r="E64" i="59"/>
  <c r="AE64" i="59" s="1"/>
  <c r="AH28" i="60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AH92" i="60"/>
  <c r="AE97" i="60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21" i="59"/>
  <c r="AE123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E79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S33" i="5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S40" i="51"/>
  <c r="S24" i="51"/>
  <c r="S16" i="51"/>
  <c r="T16" i="51" s="1"/>
  <c r="S10" i="51"/>
  <c r="T10" i="51" s="1"/>
  <c r="S38" i="51"/>
  <c r="T38" i="51" s="1"/>
  <c r="S37" i="51"/>
  <c r="T37" i="51" s="1"/>
  <c r="S23" i="51"/>
  <c r="T23" i="51" s="1"/>
  <c r="S14" i="51"/>
  <c r="T14" i="51" s="1"/>
  <c r="S9" i="51"/>
  <c r="S50" i="51"/>
  <c r="S36" i="51"/>
  <c r="T36" i="51" s="1"/>
  <c r="S49" i="51"/>
  <c r="T49" i="51" s="1"/>
  <c r="S35" i="51"/>
  <c r="S20" i="51"/>
  <c r="S8" i="51"/>
  <c r="S44" i="51"/>
  <c r="T44" i="51" s="1"/>
  <c r="S18" i="51"/>
  <c r="T18" i="51" s="1"/>
  <c r="S11" i="51"/>
  <c r="T11" i="51" s="1"/>
  <c r="S7" i="51"/>
  <c r="T7" i="51" s="1"/>
  <c r="S60" i="51"/>
  <c r="S59" i="51"/>
  <c r="T59" i="51" s="1"/>
  <c r="AD59" i="51" s="1"/>
  <c r="S51" i="51"/>
  <c r="AI103" i="58" s="1"/>
  <c r="AJ103" i="58" s="1"/>
  <c r="S46" i="51"/>
  <c r="AI85" i="58" s="1"/>
  <c r="AJ85" i="58" s="1"/>
  <c r="S34" i="51"/>
  <c r="S50" i="52"/>
  <c r="S36" i="52"/>
  <c r="S49" i="52"/>
  <c r="S35" i="52"/>
  <c r="AI45" i="60" s="1"/>
  <c r="AJ45" i="60" s="1"/>
  <c r="S20" i="52"/>
  <c r="AI84" i="60" s="1"/>
  <c r="S12" i="52"/>
  <c r="S8" i="52"/>
  <c r="S46" i="52"/>
  <c r="AI85" i="60" s="1"/>
  <c r="AJ85" i="60" s="1"/>
  <c r="S34" i="52"/>
  <c r="S44" i="52"/>
  <c r="AI77" i="60" s="1"/>
  <c r="AJ77" i="60" s="1"/>
  <c r="S33" i="52"/>
  <c r="S18" i="52"/>
  <c r="S11" i="52"/>
  <c r="S7" i="52"/>
  <c r="S42" i="52"/>
  <c r="S40" i="52"/>
  <c r="T40" i="52" s="1"/>
  <c r="S24" i="52"/>
  <c r="AI100" i="60" s="1"/>
  <c r="AJ100" i="60" s="1"/>
  <c r="S16" i="52"/>
  <c r="S10" i="52"/>
  <c r="S37" i="52"/>
  <c r="T37" i="52" s="1"/>
  <c r="S23" i="52"/>
  <c r="S14" i="52"/>
  <c r="S9" i="52"/>
  <c r="S38" i="52"/>
  <c r="T60" i="52"/>
  <c r="AD60" i="52" s="1"/>
  <c r="AC60" i="52" s="1"/>
  <c r="W60" i="52" s="1"/>
  <c r="T59" i="52"/>
  <c r="S51" i="52"/>
  <c r="S50" i="28"/>
  <c r="AI101" i="59" s="1"/>
  <c r="S36" i="28"/>
  <c r="S49" i="28"/>
  <c r="S35" i="28"/>
  <c r="AI45" i="59" s="1"/>
  <c r="S20" i="28"/>
  <c r="S12" i="28"/>
  <c r="T12" i="28" s="1"/>
  <c r="S8" i="28"/>
  <c r="S46" i="28"/>
  <c r="AI85" i="59" s="1"/>
  <c r="S34" i="28"/>
  <c r="AI37" i="59" s="1"/>
  <c r="S44" i="28"/>
  <c r="S33" i="28"/>
  <c r="S18" i="28"/>
  <c r="T18" i="28" s="1"/>
  <c r="S11" i="28"/>
  <c r="T11" i="28" s="1"/>
  <c r="AD7" i="28"/>
  <c r="AC7" i="28" s="1"/>
  <c r="W7" i="28" s="1"/>
  <c r="S42" i="28"/>
  <c r="T42" i="28" s="1"/>
  <c r="S40" i="28"/>
  <c r="S24" i="28"/>
  <c r="S16" i="28"/>
  <c r="T16" i="28" s="1"/>
  <c r="S10" i="28"/>
  <c r="T10" i="28" s="1"/>
  <c r="S37" i="28"/>
  <c r="T37" i="28" s="1"/>
  <c r="S23" i="28"/>
  <c r="T23" i="28" s="1"/>
  <c r="S14" i="28"/>
  <c r="T14" i="28" s="1"/>
  <c r="S9" i="28"/>
  <c r="S51" i="28"/>
  <c r="S38" i="28"/>
  <c r="T38" i="28" s="1"/>
  <c r="S59" i="28"/>
  <c r="T59" i="28" s="1"/>
  <c r="AD59" i="28" s="1"/>
  <c r="S60" i="28"/>
  <c r="T60" i="28" s="1"/>
  <c r="AD60" i="28" s="1"/>
  <c r="T35" i="52"/>
  <c r="AD35" i="52" s="1"/>
  <c r="BS49" i="56"/>
  <c r="T50" i="28"/>
  <c r="AD50" i="28" s="1"/>
  <c r="BT49" i="56"/>
  <c r="BS56" i="56"/>
  <c r="BS64" i="56" s="1"/>
  <c r="BR56" i="56"/>
  <c r="BT56" i="56"/>
  <c r="BU56" i="56"/>
  <c r="BU64" i="56" s="1"/>
  <c r="BU49" i="56"/>
  <c r="T60" i="51"/>
  <c r="AD60" i="51" s="1"/>
  <c r="AC60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AE103" i="60" l="1"/>
  <c r="AI21" i="58"/>
  <c r="AJ21" i="58" s="1"/>
  <c r="T42" i="51"/>
  <c r="AI69" i="60"/>
  <c r="AJ69" i="60" s="1"/>
  <c r="T44" i="52"/>
  <c r="T38" i="52"/>
  <c r="AI29" i="59"/>
  <c r="T33" i="28"/>
  <c r="AI93" i="59"/>
  <c r="T49" i="28"/>
  <c r="AI12" i="60"/>
  <c r="T14" i="52"/>
  <c r="AI28" i="60"/>
  <c r="T7" i="52"/>
  <c r="AI68" i="60"/>
  <c r="T12" i="52"/>
  <c r="G126" i="59"/>
  <c r="F124" i="59"/>
  <c r="F126" i="59" s="1"/>
  <c r="T35" i="28"/>
  <c r="AD35" i="28" s="1"/>
  <c r="AI53" i="59"/>
  <c r="T36" i="28"/>
  <c r="AI92" i="60"/>
  <c r="T23" i="52"/>
  <c r="AI77" i="59"/>
  <c r="AJ77" i="59" s="1"/>
  <c r="T44" i="28"/>
  <c r="AI60" i="60"/>
  <c r="T11" i="52"/>
  <c r="AI76" i="60"/>
  <c r="T18" i="52"/>
  <c r="AI52" i="60"/>
  <c r="T10" i="52"/>
  <c r="AI93" i="60"/>
  <c r="AJ93" i="60" s="1"/>
  <c r="T49" i="52"/>
  <c r="AD49" i="52" s="1"/>
  <c r="AI21" i="60"/>
  <c r="AJ21" i="60" s="1"/>
  <c r="T42" i="52"/>
  <c r="AD42" i="52" s="1"/>
  <c r="AI13" i="59"/>
  <c r="T40" i="28"/>
  <c r="AD40" i="28" s="1"/>
  <c r="AI29" i="60"/>
  <c r="AJ29" i="60" s="1"/>
  <c r="T33" i="52"/>
  <c r="AI20" i="60"/>
  <c r="AJ20" i="60" s="1"/>
  <c r="T16" i="52"/>
  <c r="AI53" i="60"/>
  <c r="AJ53" i="60" s="1"/>
  <c r="T36" i="52"/>
  <c r="AD36" i="52" s="1"/>
  <c r="AI29" i="58"/>
  <c r="AJ29" i="58" s="1"/>
  <c r="T33" i="51"/>
  <c r="G122" i="60"/>
  <c r="F120" i="60"/>
  <c r="F122" i="60" s="1"/>
  <c r="AI13" i="58"/>
  <c r="AJ13" i="58" s="1"/>
  <c r="T40" i="51"/>
  <c r="AD40" i="51" s="1"/>
  <c r="AI68" i="58"/>
  <c r="T12" i="51"/>
  <c r="AJ92" i="60"/>
  <c r="AJ84" i="60"/>
  <c r="AD49" i="28"/>
  <c r="AC49" i="28" s="1"/>
  <c r="AI103" i="59"/>
  <c r="AJ103" i="59" s="1"/>
  <c r="W51" i="28"/>
  <c r="V51" i="28" s="1"/>
  <c r="AJ28" i="60"/>
  <c r="AI103" i="60"/>
  <c r="AJ103" i="60" s="1"/>
  <c r="W51" i="52"/>
  <c r="V51" i="52" s="1"/>
  <c r="AD42" i="51"/>
  <c r="AC42" i="51" s="1"/>
  <c r="AD59" i="52"/>
  <c r="AC59" i="52" s="1"/>
  <c r="W59" i="52" s="1"/>
  <c r="T34" i="52"/>
  <c r="AD34" i="52" s="1"/>
  <c r="AI37" i="60"/>
  <c r="AJ37" i="60" s="1"/>
  <c r="T50" i="52"/>
  <c r="AD50" i="52" s="1"/>
  <c r="AI101" i="60"/>
  <c r="AJ101" i="60" s="1"/>
  <c r="T9" i="51"/>
  <c r="AI44" i="58"/>
  <c r="AJ44" i="58" s="1"/>
  <c r="W9" i="51"/>
  <c r="V9" i="51" s="1"/>
  <c r="F160" i="58"/>
  <c r="N160" i="58"/>
  <c r="V160" i="58"/>
  <c r="AD160" i="58"/>
  <c r="G160" i="58"/>
  <c r="O160" i="58"/>
  <c r="W160" i="58"/>
  <c r="AE160" i="58"/>
  <c r="H160" i="58"/>
  <c r="P160" i="58"/>
  <c r="X160" i="58"/>
  <c r="E160" i="58"/>
  <c r="I160" i="58"/>
  <c r="Q160" i="58"/>
  <c r="Y160" i="58"/>
  <c r="J160" i="58"/>
  <c r="R160" i="58"/>
  <c r="Z160" i="58"/>
  <c r="K160" i="58"/>
  <c r="S160" i="58"/>
  <c r="AA160" i="58"/>
  <c r="T160" i="58"/>
  <c r="L160" i="58"/>
  <c r="AB160" i="58"/>
  <c r="M160" i="58"/>
  <c r="U160" i="58"/>
  <c r="AC160" i="58"/>
  <c r="W60" i="51"/>
  <c r="AD40" i="52"/>
  <c r="AC40" i="52" s="1"/>
  <c r="AI13" i="60"/>
  <c r="AJ13" i="60" s="1"/>
  <c r="T46" i="28"/>
  <c r="AI44" i="60"/>
  <c r="AJ44" i="60" s="1"/>
  <c r="W9" i="52"/>
  <c r="V9" i="52" s="1"/>
  <c r="AI36" i="60"/>
  <c r="AJ36" i="60" s="1"/>
  <c r="W8" i="52"/>
  <c r="V8" i="52" s="1"/>
  <c r="AJ52" i="60"/>
  <c r="AJ76" i="60"/>
  <c r="AJ12" i="60"/>
  <c r="AH76" i="59"/>
  <c r="E85" i="59"/>
  <c r="AE82" i="59"/>
  <c r="AE85" i="59" s="1"/>
  <c r="AJ93" i="59"/>
  <c r="AJ85" i="59"/>
  <c r="AJ45" i="59"/>
  <c r="AD16" i="28"/>
  <c r="F17" i="22" s="1"/>
  <c r="AI20" i="59"/>
  <c r="T34" i="28"/>
  <c r="AD34" i="28" s="1"/>
  <c r="AC34" i="28" s="1"/>
  <c r="T8" i="28"/>
  <c r="AD8" i="28" s="1"/>
  <c r="AC8" i="28" s="1"/>
  <c r="W8" i="28" s="1"/>
  <c r="AI36" i="59"/>
  <c r="AD36" i="28"/>
  <c r="AC36" i="28" s="1"/>
  <c r="AD10" i="28"/>
  <c r="F11" i="22" s="1"/>
  <c r="AI52" i="59"/>
  <c r="AD44" i="28"/>
  <c r="AC44" i="28" s="1"/>
  <c r="AJ37" i="59"/>
  <c r="AD42" i="28"/>
  <c r="AC42" i="28" s="1"/>
  <c r="AI21" i="59"/>
  <c r="AJ21" i="59" s="1"/>
  <c r="AJ53" i="59"/>
  <c r="AD14" i="28"/>
  <c r="F13" i="22" s="1"/>
  <c r="AI12" i="59"/>
  <c r="T24" i="28"/>
  <c r="AD24" i="28" s="1"/>
  <c r="AI100" i="59"/>
  <c r="AJ100" i="59" s="1"/>
  <c r="AD23" i="28"/>
  <c r="AC23" i="28" s="1"/>
  <c r="AI92" i="59"/>
  <c r="T20" i="28"/>
  <c r="AI84" i="59"/>
  <c r="AJ13" i="59"/>
  <c r="AJ29" i="59"/>
  <c r="T9" i="28"/>
  <c r="AD9" i="28" s="1"/>
  <c r="AC9" i="28" s="1"/>
  <c r="AI44" i="59"/>
  <c r="AD18" i="28"/>
  <c r="AC18" i="28" s="1"/>
  <c r="AI76" i="59"/>
  <c r="AJ101" i="59"/>
  <c r="E31" i="59"/>
  <c r="AE31" i="59"/>
  <c r="E13" i="59"/>
  <c r="AH52" i="59"/>
  <c r="AH60" i="59"/>
  <c r="AH12" i="59"/>
  <c r="AH20" i="59"/>
  <c r="AJ20" i="59" s="1"/>
  <c r="AE13" i="59"/>
  <c r="E94" i="59"/>
  <c r="AD37" i="28"/>
  <c r="AC37" i="28" s="1"/>
  <c r="AI61" i="59"/>
  <c r="AJ61" i="59" s="1"/>
  <c r="E58" i="59"/>
  <c r="AE94" i="59"/>
  <c r="AH44" i="59"/>
  <c r="AJ44" i="59" s="1"/>
  <c r="AD12" i="51"/>
  <c r="AC12" i="51" s="1"/>
  <c r="AE67" i="59"/>
  <c r="AH68" i="59"/>
  <c r="AE40" i="60"/>
  <c r="AJ68" i="60"/>
  <c r="E103" i="59"/>
  <c r="AE49" i="59"/>
  <c r="AD11" i="28"/>
  <c r="AC11" i="28" s="1"/>
  <c r="W11" i="28" s="1"/>
  <c r="AI60" i="59"/>
  <c r="AE67" i="60"/>
  <c r="G121" i="59"/>
  <c r="E67" i="59"/>
  <c r="AE49" i="60"/>
  <c r="AE76" i="59"/>
  <c r="AE76" i="60"/>
  <c r="E40" i="59"/>
  <c r="AE85" i="60"/>
  <c r="AE31" i="60"/>
  <c r="AH92" i="59"/>
  <c r="E49" i="59"/>
  <c r="AD38" i="28"/>
  <c r="AC38" i="28" s="1"/>
  <c r="AI69" i="59"/>
  <c r="AJ69" i="59" s="1"/>
  <c r="AJ60" i="60"/>
  <c r="AE13" i="60"/>
  <c r="AE58" i="60"/>
  <c r="AE94" i="60"/>
  <c r="E76" i="59"/>
  <c r="AE40" i="59"/>
  <c r="AE103" i="59"/>
  <c r="AE22" i="59"/>
  <c r="AH36" i="59"/>
  <c r="AD37" i="52"/>
  <c r="AC37" i="52" s="1"/>
  <c r="AI61" i="60"/>
  <c r="AJ61" i="60" s="1"/>
  <c r="AE22" i="60"/>
  <c r="AD12" i="28"/>
  <c r="AC12" i="28" s="1"/>
  <c r="AI68" i="59"/>
  <c r="AH28" i="59"/>
  <c r="AJ28" i="59" s="1"/>
  <c r="AE58" i="59"/>
  <c r="E22" i="59"/>
  <c r="AH84" i="59"/>
  <c r="AE31" i="58"/>
  <c r="AE58" i="58"/>
  <c r="AE85" i="58"/>
  <c r="AE76" i="58"/>
  <c r="AE22" i="58"/>
  <c r="AE103" i="58"/>
  <c r="AE94" i="58"/>
  <c r="AE67" i="58"/>
  <c r="AE13" i="58"/>
  <c r="AE49" i="58"/>
  <c r="AE142" i="58" s="1"/>
  <c r="AE40" i="58"/>
  <c r="AJ68" i="58"/>
  <c r="AI28" i="58"/>
  <c r="AJ28" i="58" s="1"/>
  <c r="AD49" i="51"/>
  <c r="AC49" i="51" s="1"/>
  <c r="AI93" i="58"/>
  <c r="AJ93" i="58" s="1"/>
  <c r="AD10" i="51"/>
  <c r="AC10" i="51" s="1"/>
  <c r="AI52" i="58"/>
  <c r="AJ52" i="58" s="1"/>
  <c r="AD11" i="51"/>
  <c r="AC11" i="51" s="1"/>
  <c r="AI60" i="58"/>
  <c r="AJ60" i="58" s="1"/>
  <c r="AD36" i="51"/>
  <c r="J11" i="22" s="1"/>
  <c r="AI53" i="58"/>
  <c r="AJ53" i="58" s="1"/>
  <c r="AD16" i="51"/>
  <c r="AC16" i="51" s="1"/>
  <c r="AI20" i="58"/>
  <c r="AJ20" i="58" s="1"/>
  <c r="AD18" i="51"/>
  <c r="AC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J24" i="22" s="1"/>
  <c r="AI37" i="58"/>
  <c r="AJ37" i="58" s="1"/>
  <c r="AD44" i="51"/>
  <c r="AC44" i="51" s="1"/>
  <c r="AI77" i="58"/>
  <c r="AJ77" i="58" s="1"/>
  <c r="AD14" i="51"/>
  <c r="AC14" i="51" s="1"/>
  <c r="AI12" i="58"/>
  <c r="AJ12" i="58" s="1"/>
  <c r="AD23" i="51"/>
  <c r="AC23" i="51" s="1"/>
  <c r="AI92" i="58"/>
  <c r="AJ92" i="58" s="1"/>
  <c r="T20" i="51"/>
  <c r="AI84" i="58"/>
  <c r="AJ84" i="58" s="1"/>
  <c r="AD37" i="51"/>
  <c r="AC37" i="51" s="1"/>
  <c r="AI61" i="58"/>
  <c r="AJ61" i="58" s="1"/>
  <c r="T35" i="51"/>
  <c r="AD35" i="51" s="1"/>
  <c r="J23" i="22" s="1"/>
  <c r="AI45" i="58"/>
  <c r="AJ45" i="58" s="1"/>
  <c r="AD38" i="51"/>
  <c r="AC38" i="51" s="1"/>
  <c r="AI69" i="58"/>
  <c r="AJ69" i="58" s="1"/>
  <c r="T8" i="51"/>
  <c r="AD8" i="51" s="1"/>
  <c r="AC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S54" i="52"/>
  <c r="BR64" i="56"/>
  <c r="AC59" i="51"/>
  <c r="M26" i="22"/>
  <c r="M29" i="22" s="1"/>
  <c r="F24" i="22"/>
  <c r="AC42" i="52"/>
  <c r="K17" i="22"/>
  <c r="AC36" i="52"/>
  <c r="K11" i="22"/>
  <c r="N26" i="22"/>
  <c r="N29" i="22" s="1"/>
  <c r="AC35" i="51"/>
  <c r="AC59" i="28"/>
  <c r="W59" i="28" s="1"/>
  <c r="L26" i="22"/>
  <c r="L29" i="22" s="1"/>
  <c r="AD38" i="52"/>
  <c r="AD44" i="52"/>
  <c r="AC24" i="51"/>
  <c r="G27" i="22"/>
  <c r="AC34" i="51"/>
  <c r="AC50" i="51"/>
  <c r="J27" i="22"/>
  <c r="AD51" i="51" s="1"/>
  <c r="AC51" i="51" s="1"/>
  <c r="O26" i="22"/>
  <c r="O29" i="22" s="1"/>
  <c r="AC60" i="28"/>
  <c r="S27" i="28"/>
  <c r="AC34" i="52"/>
  <c r="K24" i="22"/>
  <c r="AC50" i="52"/>
  <c r="K27" i="22"/>
  <c r="AC49" i="52"/>
  <c r="J13" i="22"/>
  <c r="AC40" i="51"/>
  <c r="T46" i="51"/>
  <c r="T46" i="52"/>
  <c r="AC35" i="52"/>
  <c r="K23" i="22"/>
  <c r="AD33" i="51"/>
  <c r="AC33" i="51" s="1"/>
  <c r="S54" i="51"/>
  <c r="P26" i="22"/>
  <c r="P29" i="22" s="1"/>
  <c r="AC35" i="28"/>
  <c r="I23" i="22"/>
  <c r="AD7" i="51"/>
  <c r="S27" i="51"/>
  <c r="F27" i="22"/>
  <c r="AC24" i="28"/>
  <c r="W24" i="28" s="1"/>
  <c r="S54" i="28"/>
  <c r="BT64" i="56"/>
  <c r="S27" i="52"/>
  <c r="K13" i="22"/>
  <c r="J17" i="22"/>
  <c r="AC50" i="28"/>
  <c r="I27" i="22"/>
  <c r="AD48" i="28"/>
  <c r="AC48" i="28" s="1"/>
  <c r="AD46" i="28"/>
  <c r="AD47" i="28"/>
  <c r="AC40" i="28"/>
  <c r="I13" i="22"/>
  <c r="I11" i="2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AJ76" i="59" l="1"/>
  <c r="R142" i="58"/>
  <c r="T142" i="58"/>
  <c r="F142" i="58"/>
  <c r="G123" i="59"/>
  <c r="F121" i="59"/>
  <c r="F123" i="59" s="1"/>
  <c r="AJ12" i="59"/>
  <c r="AJ36" i="59"/>
  <c r="AC36" i="51"/>
  <c r="G17" i="22"/>
  <c r="I17" i="22"/>
  <c r="AC16" i="28"/>
  <c r="G13" i="22"/>
  <c r="M150" i="58"/>
  <c r="U150" i="58"/>
  <c r="AC150" i="58"/>
  <c r="F150" i="58"/>
  <c r="N150" i="58"/>
  <c r="V150" i="58"/>
  <c r="AD150" i="58"/>
  <c r="G150" i="58"/>
  <c r="O150" i="58"/>
  <c r="W150" i="58"/>
  <c r="AE150" i="58"/>
  <c r="J150" i="58"/>
  <c r="R150" i="58"/>
  <c r="Z150" i="58"/>
  <c r="Q150" i="58"/>
  <c r="S150" i="58"/>
  <c r="T150" i="58"/>
  <c r="H150" i="58"/>
  <c r="X150" i="58"/>
  <c r="I150" i="58"/>
  <c r="Y150" i="58"/>
  <c r="E150" i="58"/>
  <c r="K150" i="58"/>
  <c r="AA150" i="58"/>
  <c r="L150" i="58"/>
  <c r="AB150" i="58"/>
  <c r="P150" i="58"/>
  <c r="W18" i="51"/>
  <c r="V18" i="51" s="1"/>
  <c r="W37" i="28"/>
  <c r="V37" i="28" s="1"/>
  <c r="W49" i="28"/>
  <c r="V49" i="28" s="1"/>
  <c r="I144" i="58"/>
  <c r="Q144" i="58"/>
  <c r="Y144" i="58"/>
  <c r="J144" i="58"/>
  <c r="R144" i="58"/>
  <c r="Z144" i="58"/>
  <c r="K144" i="58"/>
  <c r="S144" i="58"/>
  <c r="AA144" i="58"/>
  <c r="F144" i="58"/>
  <c r="N144" i="58"/>
  <c r="V144" i="58"/>
  <c r="AD144" i="58"/>
  <c r="M144" i="58"/>
  <c r="AC144" i="58"/>
  <c r="O144" i="58"/>
  <c r="AE144" i="58"/>
  <c r="P144" i="58"/>
  <c r="E144" i="58"/>
  <c r="T144" i="58"/>
  <c r="U144" i="58"/>
  <c r="G144" i="58"/>
  <c r="W144" i="58"/>
  <c r="H144" i="58"/>
  <c r="X144" i="58"/>
  <c r="L144" i="58"/>
  <c r="AB144" i="58"/>
  <c r="W10" i="51"/>
  <c r="V10" i="51" s="1"/>
  <c r="K147" i="58"/>
  <c r="S147" i="58"/>
  <c r="AA147" i="58"/>
  <c r="L147" i="58"/>
  <c r="T147" i="58"/>
  <c r="AB147" i="58"/>
  <c r="M147" i="58"/>
  <c r="U147" i="58"/>
  <c r="AC147" i="58"/>
  <c r="H147" i="58"/>
  <c r="P147" i="58"/>
  <c r="X147" i="58"/>
  <c r="O147" i="58"/>
  <c r="AE147" i="58"/>
  <c r="Q147" i="58"/>
  <c r="R147" i="58"/>
  <c r="F147" i="58"/>
  <c r="V147" i="58"/>
  <c r="G147" i="58"/>
  <c r="W147" i="58"/>
  <c r="I147" i="58"/>
  <c r="Y147" i="58"/>
  <c r="J147" i="58"/>
  <c r="Z147" i="58"/>
  <c r="N147" i="58"/>
  <c r="AD147" i="58"/>
  <c r="E147" i="58"/>
  <c r="W37" i="51"/>
  <c r="V37" i="51" s="1"/>
  <c r="F137" i="58"/>
  <c r="N137" i="58"/>
  <c r="V137" i="58"/>
  <c r="AD137" i="58"/>
  <c r="G137" i="58"/>
  <c r="O137" i="58"/>
  <c r="W137" i="58"/>
  <c r="AE137" i="58"/>
  <c r="H137" i="58"/>
  <c r="P137" i="58"/>
  <c r="X137" i="58"/>
  <c r="K137" i="58"/>
  <c r="S137" i="58"/>
  <c r="AA137" i="58"/>
  <c r="R137" i="58"/>
  <c r="T137" i="58"/>
  <c r="E137" i="58"/>
  <c r="U137" i="58"/>
  <c r="I137" i="58"/>
  <c r="Y137" i="58"/>
  <c r="J137" i="58"/>
  <c r="Z137" i="58"/>
  <c r="L137" i="58"/>
  <c r="AB137" i="58"/>
  <c r="M137" i="58"/>
  <c r="AC137" i="58"/>
  <c r="Q137" i="58"/>
  <c r="W42" i="51"/>
  <c r="V42" i="51" s="1"/>
  <c r="W34" i="52"/>
  <c r="V34" i="52" s="1"/>
  <c r="G141" i="58"/>
  <c r="O141" i="58"/>
  <c r="W141" i="58"/>
  <c r="AE141" i="58"/>
  <c r="H141" i="58"/>
  <c r="P141" i="58"/>
  <c r="X141" i="58"/>
  <c r="I141" i="58"/>
  <c r="Q141" i="58"/>
  <c r="Y141" i="58"/>
  <c r="L141" i="58"/>
  <c r="T141" i="58"/>
  <c r="AB141" i="58"/>
  <c r="K141" i="58"/>
  <c r="AA141" i="58"/>
  <c r="M141" i="58"/>
  <c r="AC141" i="58"/>
  <c r="N141" i="58"/>
  <c r="AD141" i="58"/>
  <c r="R141" i="58"/>
  <c r="S141" i="58"/>
  <c r="U141" i="58"/>
  <c r="E141" i="58"/>
  <c r="F141" i="58"/>
  <c r="V141" i="58"/>
  <c r="J141" i="58"/>
  <c r="Z141" i="58"/>
  <c r="W34" i="51"/>
  <c r="V34" i="51" s="1"/>
  <c r="K143" i="58"/>
  <c r="S143" i="58"/>
  <c r="AA143" i="58"/>
  <c r="L143" i="58"/>
  <c r="T143" i="58"/>
  <c r="AB143" i="58"/>
  <c r="M143" i="58"/>
  <c r="U143" i="58"/>
  <c r="AC143" i="58"/>
  <c r="H143" i="58"/>
  <c r="P143" i="58"/>
  <c r="X143" i="58"/>
  <c r="G143" i="58"/>
  <c r="W143" i="58"/>
  <c r="I143" i="58"/>
  <c r="Y143" i="58"/>
  <c r="J143" i="58"/>
  <c r="Z143" i="58"/>
  <c r="N143" i="58"/>
  <c r="AD143" i="58"/>
  <c r="E143" i="58"/>
  <c r="O143" i="58"/>
  <c r="AE143" i="58"/>
  <c r="Q143" i="58"/>
  <c r="R143" i="58"/>
  <c r="F143" i="58"/>
  <c r="V143" i="58"/>
  <c r="W35" i="51"/>
  <c r="V35" i="51" s="1"/>
  <c r="W42" i="28"/>
  <c r="V42" i="28" s="1"/>
  <c r="W38" i="28"/>
  <c r="V38" i="28" s="1"/>
  <c r="W9" i="28"/>
  <c r="V9" i="28" s="1"/>
  <c r="AB142" i="58"/>
  <c r="U142" i="58"/>
  <c r="O142" i="58"/>
  <c r="X142" i="58"/>
  <c r="W12" i="28"/>
  <c r="V12" i="28" s="1"/>
  <c r="W40" i="52"/>
  <c r="V40" i="52" s="1"/>
  <c r="W18" i="28"/>
  <c r="V18" i="28" s="1"/>
  <c r="J156" i="58"/>
  <c r="R156" i="58"/>
  <c r="Z156" i="58"/>
  <c r="K156" i="58"/>
  <c r="S156" i="58"/>
  <c r="AA156" i="58"/>
  <c r="L156" i="58"/>
  <c r="T156" i="58"/>
  <c r="AB156" i="58"/>
  <c r="G156" i="58"/>
  <c r="O156" i="58"/>
  <c r="W156" i="58"/>
  <c r="AE156" i="58"/>
  <c r="F156" i="58"/>
  <c r="V156" i="58"/>
  <c r="H156" i="58"/>
  <c r="X156" i="58"/>
  <c r="I156" i="58"/>
  <c r="Y156" i="58"/>
  <c r="E156" i="58"/>
  <c r="M156" i="58"/>
  <c r="AC156" i="58"/>
  <c r="N156" i="58"/>
  <c r="AD156" i="58"/>
  <c r="P156" i="58"/>
  <c r="Q156" i="58"/>
  <c r="U156" i="58"/>
  <c r="W24" i="51"/>
  <c r="V24" i="51" s="1"/>
  <c r="L159" i="58"/>
  <c r="T159" i="58"/>
  <c r="AB159" i="58"/>
  <c r="M159" i="58"/>
  <c r="F159" i="58"/>
  <c r="N159" i="58"/>
  <c r="V159" i="58"/>
  <c r="AD159" i="58"/>
  <c r="I159" i="58"/>
  <c r="H159" i="58"/>
  <c r="U159" i="58"/>
  <c r="J159" i="58"/>
  <c r="W159" i="58"/>
  <c r="K159" i="58"/>
  <c r="X159" i="58"/>
  <c r="O159" i="58"/>
  <c r="Y159" i="58"/>
  <c r="E159" i="58"/>
  <c r="P159" i="58"/>
  <c r="Z159" i="58"/>
  <c r="Q159" i="58"/>
  <c r="AA159" i="58"/>
  <c r="R159" i="58"/>
  <c r="AC159" i="58"/>
  <c r="G159" i="58"/>
  <c r="S159" i="58"/>
  <c r="AE159" i="58"/>
  <c r="W59" i="51"/>
  <c r="H140" i="58"/>
  <c r="P140" i="58"/>
  <c r="Y140" i="58"/>
  <c r="I140" i="58"/>
  <c r="Q140" i="58"/>
  <c r="Z140" i="58"/>
  <c r="J140" i="58"/>
  <c r="R140" i="58"/>
  <c r="AA140" i="58"/>
  <c r="M140" i="58"/>
  <c r="U140" i="58"/>
  <c r="AD140" i="58"/>
  <c r="T140" i="58"/>
  <c r="F140" i="58"/>
  <c r="V140" i="58"/>
  <c r="W140" i="58" s="1"/>
  <c r="G140" i="58"/>
  <c r="X140" i="58"/>
  <c r="K140" i="58"/>
  <c r="AB140" i="58"/>
  <c r="E140" i="58"/>
  <c r="L140" i="58"/>
  <c r="AC140" i="58"/>
  <c r="N140" i="58"/>
  <c r="AE140" i="58"/>
  <c r="O140" i="58"/>
  <c r="S140" i="58"/>
  <c r="W8" i="51"/>
  <c r="V8" i="51" s="1"/>
  <c r="Q142" i="58"/>
  <c r="N142" i="58"/>
  <c r="J142" i="58"/>
  <c r="J139" i="58"/>
  <c r="R139" i="58"/>
  <c r="Z139" i="58"/>
  <c r="K139" i="58"/>
  <c r="S139" i="58"/>
  <c r="AA139" i="58"/>
  <c r="L139" i="58"/>
  <c r="T139" i="58"/>
  <c r="AB139" i="58"/>
  <c r="G139" i="58"/>
  <c r="O139" i="58"/>
  <c r="W139" i="58"/>
  <c r="AE139" i="58"/>
  <c r="N139" i="58"/>
  <c r="AD139" i="58"/>
  <c r="P139" i="58"/>
  <c r="Q139" i="58"/>
  <c r="U139" i="58"/>
  <c r="F139" i="58"/>
  <c r="V139" i="58"/>
  <c r="H139" i="58"/>
  <c r="X139" i="58"/>
  <c r="I139" i="58"/>
  <c r="Y139" i="58"/>
  <c r="M139" i="58"/>
  <c r="AC139" i="58"/>
  <c r="E139" i="58"/>
  <c r="W33" i="51"/>
  <c r="W35" i="52"/>
  <c r="V35" i="52" s="1"/>
  <c r="W49" i="52"/>
  <c r="V49" i="52" s="1"/>
  <c r="AU101" i="56"/>
  <c r="W60" i="28"/>
  <c r="W36" i="52"/>
  <c r="V36" i="52" s="1"/>
  <c r="W37" i="52"/>
  <c r="V37" i="52" s="1"/>
  <c r="W36" i="28"/>
  <c r="V36" i="28" s="1"/>
  <c r="Y142" i="58"/>
  <c r="I142" i="58"/>
  <c r="J135" i="58"/>
  <c r="R135" i="58"/>
  <c r="Z135" i="58"/>
  <c r="K135" i="58"/>
  <c r="S135" i="58"/>
  <c r="AA135" i="58"/>
  <c r="L135" i="58"/>
  <c r="T135" i="58"/>
  <c r="AB135" i="58"/>
  <c r="M135" i="58"/>
  <c r="G135" i="58"/>
  <c r="O135" i="58"/>
  <c r="W135" i="58"/>
  <c r="AE135" i="58"/>
  <c r="V135" i="58"/>
  <c r="F135" i="58"/>
  <c r="X135" i="58"/>
  <c r="H135" i="58"/>
  <c r="Y135" i="58"/>
  <c r="I135" i="58"/>
  <c r="AC135" i="58"/>
  <c r="E135" i="58"/>
  <c r="N135" i="58"/>
  <c r="AD135" i="58"/>
  <c r="P135" i="58"/>
  <c r="Q135" i="58"/>
  <c r="U135" i="58"/>
  <c r="W40" i="51"/>
  <c r="V40" i="51" s="1"/>
  <c r="L155" i="58"/>
  <c r="T155" i="58"/>
  <c r="AB155" i="58"/>
  <c r="M155" i="58"/>
  <c r="U155" i="58"/>
  <c r="AC155" i="58"/>
  <c r="F155" i="58"/>
  <c r="N155" i="58"/>
  <c r="V155" i="58"/>
  <c r="AD155" i="58"/>
  <c r="I155" i="58"/>
  <c r="Q155" i="58"/>
  <c r="Y155" i="58"/>
  <c r="P155" i="58"/>
  <c r="R155" i="58"/>
  <c r="S155" i="58"/>
  <c r="G155" i="58"/>
  <c r="W155" i="58"/>
  <c r="H155" i="58"/>
  <c r="X155" i="58"/>
  <c r="J155" i="58"/>
  <c r="Z155" i="58"/>
  <c r="K155" i="58"/>
  <c r="AA155" i="58"/>
  <c r="O155" i="58"/>
  <c r="AE155" i="58"/>
  <c r="E155" i="58"/>
  <c r="W49" i="51"/>
  <c r="V49" i="51" s="1"/>
  <c r="W16" i="28"/>
  <c r="V16" i="28" s="1"/>
  <c r="G149" i="58"/>
  <c r="O149" i="58"/>
  <c r="W149" i="58"/>
  <c r="AE149" i="58"/>
  <c r="H149" i="58"/>
  <c r="P149" i="58"/>
  <c r="X149" i="58"/>
  <c r="I149" i="58"/>
  <c r="Q149" i="58"/>
  <c r="Y149" i="58"/>
  <c r="L149" i="58"/>
  <c r="T149" i="58"/>
  <c r="AB149" i="58"/>
  <c r="K149" i="58"/>
  <c r="AA149" i="58"/>
  <c r="M149" i="58"/>
  <c r="AC149" i="58"/>
  <c r="N149" i="58"/>
  <c r="AD149" i="58"/>
  <c r="R149" i="58"/>
  <c r="S149" i="58"/>
  <c r="U149" i="58"/>
  <c r="E149" i="58"/>
  <c r="F149" i="58"/>
  <c r="V149" i="58"/>
  <c r="J149" i="58"/>
  <c r="Z149" i="58"/>
  <c r="W38" i="51"/>
  <c r="V38" i="51" s="1"/>
  <c r="G145" i="58"/>
  <c r="O145" i="58"/>
  <c r="W145" i="58"/>
  <c r="AE145" i="58"/>
  <c r="H145" i="58"/>
  <c r="P145" i="58"/>
  <c r="X145" i="58"/>
  <c r="I145" i="58"/>
  <c r="Q145" i="58"/>
  <c r="Y145" i="58"/>
  <c r="L145" i="58"/>
  <c r="T145" i="58"/>
  <c r="AB145" i="58"/>
  <c r="S145" i="58"/>
  <c r="U145" i="58"/>
  <c r="E145" i="58"/>
  <c r="F145" i="58"/>
  <c r="V145" i="58"/>
  <c r="J145" i="58"/>
  <c r="Z145" i="58"/>
  <c r="K145" i="58"/>
  <c r="AA145" i="58"/>
  <c r="M145" i="58"/>
  <c r="AC145" i="58"/>
  <c r="N145" i="58"/>
  <c r="AD145" i="58"/>
  <c r="R145" i="58"/>
  <c r="W36" i="51"/>
  <c r="V36" i="51" s="1"/>
  <c r="M154" i="58"/>
  <c r="U154" i="58"/>
  <c r="AC154" i="58"/>
  <c r="AD154" i="58" s="1"/>
  <c r="F154" i="58"/>
  <c r="N154" i="58"/>
  <c r="V154" i="58"/>
  <c r="AE154" i="58"/>
  <c r="G154" i="58"/>
  <c r="O154" i="58"/>
  <c r="W154" i="58"/>
  <c r="J154" i="58"/>
  <c r="R154" i="58"/>
  <c r="Z154" i="58"/>
  <c r="I154" i="58"/>
  <c r="Y154" i="58"/>
  <c r="E154" i="58"/>
  <c r="K154" i="58"/>
  <c r="AA154" i="58"/>
  <c r="L154" i="58"/>
  <c r="AB154" i="58"/>
  <c r="P154" i="58"/>
  <c r="Q154" i="58"/>
  <c r="S154" i="58"/>
  <c r="T154" i="58"/>
  <c r="H154" i="58"/>
  <c r="X154" i="58"/>
  <c r="W23" i="51"/>
  <c r="V23" i="51" s="1"/>
  <c r="AJ60" i="59"/>
  <c r="I148" i="58"/>
  <c r="Q148" i="58"/>
  <c r="Y148" i="58"/>
  <c r="J148" i="58"/>
  <c r="R148" i="58"/>
  <c r="Z148" i="58"/>
  <c r="K148" i="58"/>
  <c r="S148" i="58"/>
  <c r="AA148" i="58"/>
  <c r="F148" i="58"/>
  <c r="N148" i="58"/>
  <c r="V148" i="58"/>
  <c r="AD148" i="58"/>
  <c r="U148" i="58"/>
  <c r="G148" i="58"/>
  <c r="W148" i="58"/>
  <c r="H148" i="58"/>
  <c r="X148" i="58"/>
  <c r="L148" i="58"/>
  <c r="AB148" i="58"/>
  <c r="M148" i="58"/>
  <c r="AC148" i="58"/>
  <c r="E148" i="58"/>
  <c r="O148" i="58"/>
  <c r="AE148" i="58"/>
  <c r="P148" i="58"/>
  <c r="T148" i="58"/>
  <c r="W12" i="51"/>
  <c r="V12" i="51" s="1"/>
  <c r="AC142" i="58"/>
  <c r="P142" i="58"/>
  <c r="K142" i="58"/>
  <c r="W44" i="28"/>
  <c r="V44" i="28" s="1"/>
  <c r="G11" i="22"/>
  <c r="F158" i="58"/>
  <c r="N158" i="58"/>
  <c r="V158" i="58"/>
  <c r="AD158" i="58"/>
  <c r="G158" i="58"/>
  <c r="O158" i="58"/>
  <c r="W158" i="58"/>
  <c r="AE158" i="58"/>
  <c r="H158" i="58"/>
  <c r="P158" i="58"/>
  <c r="X158" i="58"/>
  <c r="K158" i="58"/>
  <c r="S158" i="58"/>
  <c r="AA158" i="58"/>
  <c r="R158" i="58"/>
  <c r="T158" i="58"/>
  <c r="U158" i="58"/>
  <c r="I158" i="58"/>
  <c r="Y158" i="58"/>
  <c r="J158" i="58"/>
  <c r="Z158" i="58"/>
  <c r="E158" i="58"/>
  <c r="L158" i="58"/>
  <c r="AB158" i="58"/>
  <c r="M158" i="58"/>
  <c r="AC158" i="58"/>
  <c r="Q158" i="58"/>
  <c r="W51" i="51"/>
  <c r="V51" i="51" s="1"/>
  <c r="W42" i="52"/>
  <c r="V42" i="52" s="1"/>
  <c r="K151" i="58"/>
  <c r="S151" i="58"/>
  <c r="AA151" i="58"/>
  <c r="L151" i="58"/>
  <c r="T151" i="58"/>
  <c r="AB151" i="58"/>
  <c r="M151" i="58"/>
  <c r="U151" i="58"/>
  <c r="AC151" i="58"/>
  <c r="H151" i="58"/>
  <c r="P151" i="58"/>
  <c r="X151" i="58"/>
  <c r="G151" i="58"/>
  <c r="W151" i="58"/>
  <c r="I151" i="58"/>
  <c r="Y151" i="58"/>
  <c r="J151" i="58"/>
  <c r="Z151" i="58"/>
  <c r="N151" i="58"/>
  <c r="AD151" i="58"/>
  <c r="E151" i="58"/>
  <c r="O151" i="58"/>
  <c r="AE151" i="58"/>
  <c r="Q151" i="58"/>
  <c r="R151" i="58"/>
  <c r="F151" i="58"/>
  <c r="V151" i="58"/>
  <c r="W44" i="51"/>
  <c r="V44" i="51" s="1"/>
  <c r="H142" i="58"/>
  <c r="S142" i="58"/>
  <c r="G142" i="58"/>
  <c r="W142" i="58"/>
  <c r="L134" i="58"/>
  <c r="T134" i="58"/>
  <c r="AB134" i="58"/>
  <c r="M134" i="58"/>
  <c r="U134" i="58"/>
  <c r="AC134" i="58"/>
  <c r="F134" i="58"/>
  <c r="N134" i="58"/>
  <c r="V134" i="58"/>
  <c r="AD134" i="58"/>
  <c r="G134" i="58"/>
  <c r="O134" i="58"/>
  <c r="W134" i="58"/>
  <c r="AE134" i="58"/>
  <c r="I134" i="58"/>
  <c r="Q134" i="58"/>
  <c r="Y134" i="58"/>
  <c r="H134" i="58"/>
  <c r="AA134" i="58"/>
  <c r="J134" i="58"/>
  <c r="K134" i="58"/>
  <c r="P134" i="58"/>
  <c r="R134" i="58"/>
  <c r="E134" i="58"/>
  <c r="S134" i="58"/>
  <c r="X134" i="58"/>
  <c r="Z134" i="58"/>
  <c r="W14" i="51"/>
  <c r="V14" i="51" s="1"/>
  <c r="W50" i="52"/>
  <c r="V50" i="52" s="1"/>
  <c r="H157" i="58"/>
  <c r="P157" i="58"/>
  <c r="X157" i="58"/>
  <c r="I157" i="58"/>
  <c r="Q157" i="58"/>
  <c r="Y157" i="58"/>
  <c r="J157" i="58"/>
  <c r="R157" i="58"/>
  <c r="Z157" i="58"/>
  <c r="M157" i="58"/>
  <c r="U157" i="58"/>
  <c r="AC157" i="58"/>
  <c r="L157" i="58"/>
  <c r="AB157" i="58"/>
  <c r="N157" i="58"/>
  <c r="AD157" i="58"/>
  <c r="O157" i="58"/>
  <c r="AE157" i="58"/>
  <c r="S157" i="58"/>
  <c r="T157" i="58"/>
  <c r="F157" i="58"/>
  <c r="V157" i="58"/>
  <c r="E157" i="58"/>
  <c r="G157" i="58"/>
  <c r="W157" i="58"/>
  <c r="K157" i="58"/>
  <c r="AA157" i="58"/>
  <c r="W50" i="51"/>
  <c r="V50" i="51" s="1"/>
  <c r="W23" i="28"/>
  <c r="V23" i="28" s="1"/>
  <c r="W34" i="28"/>
  <c r="V34" i="28" s="1"/>
  <c r="E142" i="58"/>
  <c r="AA142" i="58"/>
  <c r="L142" i="58"/>
  <c r="W35" i="28"/>
  <c r="V35" i="28" s="1"/>
  <c r="W50" i="28"/>
  <c r="V50" i="28" s="1"/>
  <c r="W40" i="28"/>
  <c r="V40" i="28" s="1"/>
  <c r="H136" i="58"/>
  <c r="P136" i="58"/>
  <c r="X136" i="58"/>
  <c r="I136" i="58"/>
  <c r="Q136" i="58"/>
  <c r="Y136" i="58"/>
  <c r="J136" i="58"/>
  <c r="R136" i="58"/>
  <c r="Z136" i="58"/>
  <c r="M136" i="58"/>
  <c r="U136" i="58"/>
  <c r="AC136" i="58"/>
  <c r="L136" i="58"/>
  <c r="AB136" i="58"/>
  <c r="N136" i="58"/>
  <c r="AD136" i="58"/>
  <c r="O136" i="58"/>
  <c r="AE136" i="58"/>
  <c r="E136" i="58"/>
  <c r="S136" i="58"/>
  <c r="T136" i="58"/>
  <c r="F136" i="58"/>
  <c r="V136" i="58"/>
  <c r="G136" i="58"/>
  <c r="W136" i="58"/>
  <c r="K136" i="58"/>
  <c r="AA136" i="58"/>
  <c r="W16" i="51"/>
  <c r="V16" i="51" s="1"/>
  <c r="M146" i="58"/>
  <c r="U146" i="58"/>
  <c r="AC146" i="58"/>
  <c r="F146" i="58"/>
  <c r="N146" i="58"/>
  <c r="V146" i="58"/>
  <c r="AD146" i="58"/>
  <c r="G146" i="58"/>
  <c r="O146" i="58"/>
  <c r="W146" i="58"/>
  <c r="AE146" i="58"/>
  <c r="J146" i="58"/>
  <c r="R146" i="58"/>
  <c r="Z146" i="58"/>
  <c r="I146" i="58"/>
  <c r="Y146" i="58"/>
  <c r="E146" i="58"/>
  <c r="K146" i="58"/>
  <c r="AA146" i="58"/>
  <c r="L146" i="58"/>
  <c r="AB146" i="58"/>
  <c r="P146" i="58"/>
  <c r="Q146" i="58"/>
  <c r="S146" i="58"/>
  <c r="T146" i="58"/>
  <c r="H146" i="58"/>
  <c r="X146" i="58"/>
  <c r="W11" i="51"/>
  <c r="V11" i="51" s="1"/>
  <c r="AJ52" i="59"/>
  <c r="AD142" i="58"/>
  <c r="M142" i="58"/>
  <c r="Z142" i="58"/>
  <c r="V142" i="58"/>
  <c r="AJ92" i="59"/>
  <c r="AC10" i="28"/>
  <c r="I24" i="22"/>
  <c r="V8" i="28"/>
  <c r="V11" i="28"/>
  <c r="F23" i="22"/>
  <c r="Y23" i="22" s="1"/>
  <c r="AC14" i="28"/>
  <c r="AJ84" i="59"/>
  <c r="AJ68" i="59"/>
  <c r="F123" i="58"/>
  <c r="F124" i="58"/>
  <c r="F125" i="58"/>
  <c r="G24" i="22"/>
  <c r="Y24" i="22" s="1"/>
  <c r="V24" i="28"/>
  <c r="V60" i="28"/>
  <c r="AU103" i="56"/>
  <c r="AT95" i="56" s="1"/>
  <c r="V59" i="28"/>
  <c r="AS101" i="56"/>
  <c r="AS103" i="56" s="1"/>
  <c r="AR94" i="56" s="1"/>
  <c r="V60" i="51"/>
  <c r="AU51" i="56"/>
  <c r="AU53" i="56" s="1"/>
  <c r="AT20" i="56" s="1"/>
  <c r="V59" i="51"/>
  <c r="AS51" i="56"/>
  <c r="AS53" i="56" s="1"/>
  <c r="AR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I28" i="22"/>
  <c r="AC46" i="28"/>
  <c r="W46" i="28" s="1"/>
  <c r="AC7" i="51"/>
  <c r="AC38" i="52"/>
  <c r="AD33" i="52"/>
  <c r="T51" i="52"/>
  <c r="V59" i="52"/>
  <c r="AS151" i="56"/>
  <c r="AS153" i="56" s="1"/>
  <c r="AD33" i="28"/>
  <c r="T51" i="28"/>
  <c r="AU151" i="56"/>
  <c r="AU153" i="56" s="1"/>
  <c r="V60" i="52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W38" i="52" l="1"/>
  <c r="V38" i="52" s="1"/>
  <c r="L138" i="58"/>
  <c r="T138" i="58"/>
  <c r="AB138" i="58"/>
  <c r="M138" i="58"/>
  <c r="U138" i="58"/>
  <c r="AC138" i="58"/>
  <c r="F138" i="58"/>
  <c r="N138" i="58"/>
  <c r="V138" i="58"/>
  <c r="AD138" i="58"/>
  <c r="I138" i="58"/>
  <c r="Q138" i="58"/>
  <c r="Y138" i="58"/>
  <c r="H138" i="58"/>
  <c r="X138" i="58"/>
  <c r="E138" i="58"/>
  <c r="J138" i="58"/>
  <c r="Z138" i="58"/>
  <c r="K138" i="58"/>
  <c r="AA138" i="58"/>
  <c r="O138" i="58"/>
  <c r="AE138" i="58"/>
  <c r="P138" i="58"/>
  <c r="R138" i="58"/>
  <c r="S138" i="58"/>
  <c r="G138" i="58"/>
  <c r="W138" i="58"/>
  <c r="W7" i="51"/>
  <c r="V7" i="51" s="1"/>
  <c r="W44" i="52"/>
  <c r="V44" i="52" s="1"/>
  <c r="W10" i="28"/>
  <c r="V10" i="28" s="1"/>
  <c r="W14" i="28"/>
  <c r="V14" i="28" s="1"/>
  <c r="V46" i="28"/>
  <c r="V7" i="28"/>
  <c r="AT85" i="56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U65" i="56" s="1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I9" i="22"/>
  <c r="AC33" i="28"/>
  <c r="W33" i="28" s="1"/>
  <c r="AC48" i="51"/>
  <c r="J19" i="22"/>
  <c r="AL84" i="56"/>
  <c r="AS84" i="56"/>
  <c r="AC21" i="28"/>
  <c r="F10" i="22"/>
  <c r="AL94" i="56"/>
  <c r="AS94" i="56"/>
  <c r="AC48" i="52"/>
  <c r="K19" i="22"/>
  <c r="AL95" i="56"/>
  <c r="AU95" i="56"/>
  <c r="AL89" i="56"/>
  <c r="AS89" i="56"/>
  <c r="AC22" i="28"/>
  <c r="F19" i="22"/>
  <c r="AS99" i="56"/>
  <c r="AL99" i="56"/>
  <c r="AC33" i="52"/>
  <c r="W33" i="52" s="1"/>
  <c r="K9" i="22"/>
  <c r="AC20" i="51"/>
  <c r="G28" i="22"/>
  <c r="F28" i="22"/>
  <c r="AC20" i="28"/>
  <c r="W20" i="28" s="1"/>
  <c r="AU20" i="56"/>
  <c r="AL20" i="56"/>
  <c r="AS59" i="56"/>
  <c r="AR109" i="56"/>
  <c r="AC46" i="52"/>
  <c r="W46" i="52" s="1"/>
  <c r="K28" i="22"/>
  <c r="AC21" i="51"/>
  <c r="G10" i="22"/>
  <c r="AL34" i="56"/>
  <c r="AC22" i="51"/>
  <c r="G19" i="22"/>
  <c r="F24" i="48"/>
  <c r="AI10" i="48"/>
  <c r="AL49" i="56" l="1"/>
  <c r="AU25" i="56"/>
  <c r="AL69" i="56"/>
  <c r="I152" i="58"/>
  <c r="Q152" i="58"/>
  <c r="Y152" i="58"/>
  <c r="J152" i="58"/>
  <c r="R152" i="58"/>
  <c r="Z152" i="58"/>
  <c r="K152" i="58"/>
  <c r="S152" i="58"/>
  <c r="AA152" i="58"/>
  <c r="F152" i="58"/>
  <c r="N152" i="58"/>
  <c r="V152" i="58"/>
  <c r="AD152" i="58"/>
  <c r="M152" i="58"/>
  <c r="AC152" i="58"/>
  <c r="O152" i="58"/>
  <c r="AE152" i="58"/>
  <c r="P152" i="58"/>
  <c r="E152" i="58"/>
  <c r="T152" i="58"/>
  <c r="U152" i="58"/>
  <c r="G152" i="58"/>
  <c r="W152" i="58"/>
  <c r="H152" i="58"/>
  <c r="X152" i="58"/>
  <c r="L152" i="58"/>
  <c r="AB152" i="58"/>
  <c r="W20" i="51"/>
  <c r="V20" i="51" s="1"/>
  <c r="G153" i="58"/>
  <c r="O153" i="58"/>
  <c r="W153" i="58"/>
  <c r="AE153" i="58"/>
  <c r="H153" i="58"/>
  <c r="P153" i="58"/>
  <c r="X153" i="58"/>
  <c r="I153" i="58"/>
  <c r="Q153" i="58"/>
  <c r="Y153" i="58"/>
  <c r="L153" i="58"/>
  <c r="T153" i="58"/>
  <c r="AB153" i="58"/>
  <c r="S153" i="58"/>
  <c r="U153" i="58"/>
  <c r="E153" i="58"/>
  <c r="F153" i="58"/>
  <c r="V153" i="58"/>
  <c r="J153" i="58"/>
  <c r="Z153" i="58"/>
  <c r="K153" i="58"/>
  <c r="AA153" i="58"/>
  <c r="M153" i="58"/>
  <c r="AC153" i="58"/>
  <c r="N153" i="58"/>
  <c r="AD153" i="58"/>
  <c r="R153" i="58"/>
  <c r="W46" i="51"/>
  <c r="V46" i="51" s="1"/>
  <c r="AL65" i="56"/>
  <c r="AU90" i="56"/>
  <c r="AS74" i="56"/>
  <c r="V46" i="52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9" i="56"/>
  <c r="AL100" i="56"/>
  <c r="V20" i="28"/>
  <c r="AC27" i="51"/>
  <c r="AL134" i="56"/>
  <c r="AS134" i="56"/>
  <c r="AU115" i="56"/>
  <c r="AL115" i="56"/>
  <c r="AS109" i="56"/>
  <c r="AL109" i="56"/>
  <c r="V33" i="28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V33" i="51"/>
  <c r="AC54" i="51"/>
  <c r="AQ51" i="56" s="1"/>
  <c r="AQ53" i="56" s="1"/>
  <c r="AP18" i="56" s="1"/>
  <c r="AS139" i="56"/>
  <c r="AL139" i="56"/>
  <c r="AS149" i="56"/>
  <c r="AL149" i="56"/>
  <c r="AU150" i="56"/>
  <c r="AL150" i="56"/>
  <c r="AU135" i="56"/>
  <c r="AL135" i="56"/>
  <c r="V33" i="52"/>
  <c r="AC54" i="52"/>
  <c r="AQ151" i="56" s="1"/>
  <c r="AQ153" i="56" s="1"/>
  <c r="AU120" i="56"/>
  <c r="AL120" i="56"/>
  <c r="AL129" i="56"/>
  <c r="AS129" i="56"/>
  <c r="AU125" i="56"/>
  <c r="AL125" i="56"/>
  <c r="AS104" i="56" l="1"/>
  <c r="AS105" i="56" s="1"/>
  <c r="AS54" i="56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Q43" i="56"/>
  <c r="AL43" i="56"/>
  <c r="AL128" i="56"/>
  <c r="AQ128" i="56"/>
  <c r="AL68" i="56"/>
  <c r="AQ68" i="56"/>
  <c r="AQ143" i="56"/>
  <c r="AL143" i="56"/>
  <c r="AL98" i="56"/>
  <c r="AQ98" i="56"/>
  <c r="AQ38" i="56"/>
  <c r="AL38" i="56"/>
  <c r="AO6" i="56" l="1"/>
  <c r="AO86" i="56"/>
  <c r="AO91" i="56"/>
  <c r="AO36" i="56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 s="1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8" i="52" l="1"/>
  <c r="AD7" i="52"/>
  <c r="AD14" i="52"/>
  <c r="AD18" i="52"/>
  <c r="AD10" i="52"/>
  <c r="T20" i="52"/>
  <c r="AD11" i="52"/>
  <c r="T24" i="52"/>
  <c r="AD24" i="52" s="1"/>
  <c r="AD16" i="52"/>
  <c r="AD23" i="52"/>
  <c r="AC23" i="52" s="1"/>
  <c r="T9" i="52"/>
  <c r="AD12" i="52"/>
  <c r="W23" i="52" l="1"/>
  <c r="V23" i="52" s="1"/>
  <c r="AC24" i="52"/>
  <c r="H27" i="22"/>
  <c r="Y27" i="22" s="1"/>
  <c r="AD21" i="52"/>
  <c r="AC21" i="52" s="1"/>
  <c r="AD20" i="52"/>
  <c r="H9" i="22" s="1"/>
  <c r="Y9" i="22" s="1"/>
  <c r="AD22" i="52"/>
  <c r="AC10" i="52"/>
  <c r="H11" i="22"/>
  <c r="Y11" i="22" s="1"/>
  <c r="AC18" i="52"/>
  <c r="G22" i="22"/>
  <c r="AD13" i="51" s="1"/>
  <c r="AB13" i="51" s="1"/>
  <c r="F22" i="22"/>
  <c r="I22" i="22"/>
  <c r="H22" i="22"/>
  <c r="AD13" i="52" s="1"/>
  <c r="K22" i="22"/>
  <c r="J22" i="22"/>
  <c r="AC12" i="52"/>
  <c r="H13" i="22"/>
  <c r="Y13" i="22" s="1"/>
  <c r="AA13" i="22" s="1"/>
  <c r="AC14" i="52"/>
  <c r="AC11" i="52"/>
  <c r="AC7" i="52"/>
  <c r="W7" i="52" s="1"/>
  <c r="AC16" i="52"/>
  <c r="H17" i="22"/>
  <c r="Y17" i="22" s="1"/>
  <c r="W10" i="52" l="1"/>
  <c r="V10" i="52" s="1"/>
  <c r="W16" i="52"/>
  <c r="V16" i="52" s="1"/>
  <c r="W11" i="52"/>
  <c r="V11" i="52" s="1"/>
  <c r="W24" i="52"/>
  <c r="V24" i="52" s="1"/>
  <c r="W18" i="52"/>
  <c r="V18" i="52" s="1"/>
  <c r="W14" i="52"/>
  <c r="V14" i="52" s="1"/>
  <c r="W12" i="52"/>
  <c r="V12" i="52" s="1"/>
  <c r="AB13" i="52"/>
  <c r="AE11" i="22"/>
  <c r="AA11" i="22"/>
  <c r="AD39" i="52"/>
  <c r="AB39" i="52" s="1"/>
  <c r="AC22" i="52"/>
  <c r="H19" i="22"/>
  <c r="Y19" i="22" s="1"/>
  <c r="V7" i="52"/>
  <c r="AD39" i="28"/>
  <c r="H28" i="22"/>
  <c r="Y28" i="22" s="1"/>
  <c r="AC20" i="52"/>
  <c r="Y22" i="22"/>
  <c r="AD13" i="28"/>
  <c r="AB13" i="28" s="1"/>
  <c r="AD27" i="52"/>
  <c r="H26" i="22"/>
  <c r="AD39" i="51"/>
  <c r="AB39" i="51" s="1"/>
  <c r="AE17" i="22"/>
  <c r="AA17" i="22"/>
  <c r="AA15" i="22"/>
  <c r="AA14" i="22"/>
  <c r="AA16" i="22"/>
  <c r="AE13" i="22"/>
  <c r="H10" i="22"/>
  <c r="Y10" i="22" s="1"/>
  <c r="AA27" i="22" l="1"/>
  <c r="AC27" i="52"/>
  <c r="AO151" i="56" s="1"/>
  <c r="AO153" i="56" s="1"/>
  <c r="W20" i="52"/>
  <c r="V20" i="52" s="1"/>
  <c r="AE22" i="22"/>
  <c r="AA22" i="22"/>
  <c r="AA19" i="22"/>
  <c r="AE19" i="22"/>
  <c r="AA9" i="22"/>
  <c r="AE9" i="2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Y29" i="22" s="1"/>
  <c r="F29" i="22"/>
  <c r="F30" i="22" s="1"/>
  <c r="AN116" i="56"/>
  <c r="AN121" i="56"/>
  <c r="AN136" i="56"/>
  <c r="AN126" i="56"/>
  <c r="AN111" i="56"/>
  <c r="AN131" i="56"/>
  <c r="AN141" i="56"/>
  <c r="AN146" i="56"/>
  <c r="AN106" i="56"/>
  <c r="AE29" i="22" l="1"/>
  <c r="AA29" i="22"/>
  <c r="AL126" i="56"/>
  <c r="AO126" i="56"/>
  <c r="AO116" i="56"/>
  <c r="AL116" i="56"/>
  <c r="Z33" i="22"/>
  <c r="AL106" i="56"/>
  <c r="AO106" i="56"/>
  <c r="AA26" i="22"/>
  <c r="AE26" i="22"/>
  <c r="G30" i="22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P30" i="22"/>
  <c r="M30" i="22"/>
  <c r="J30" i="22"/>
  <c r="Y30" i="22" l="1"/>
  <c r="BQ29" i="5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<sst xmlns="http://schemas.openxmlformats.org/spreadsheetml/2006/main" count="72924" uniqueCount="1284">
  <si>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</si>
  <si>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</si>
  <si>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</si>
  <si>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</si>
  <si>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</si>
  <si>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</si>
  <si>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</si>
  <si>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</si>
  <si>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</si>
  <si>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</si>
  <si>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</si>
  <si>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</si>
  <si>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</si>
  <si>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</si>
  <si>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</si>
  <si>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</si>
  <si>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</si>
  <si>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</si>
  <si>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</si>
  <si>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</si>
  <si>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</si>
  <si>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</si>
  <si>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</si>
  <si>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</si>
  <si>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</si>
  <si>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</si>
  <si>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</si>
  <si>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</si>
  <si>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</si>
  <si>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</si>
  <si>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</si>
  <si>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</si>
  <si>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</si>
  <si>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</si>
  <si>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</si>
  <si>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</si>
  <si>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</si>
  <si>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</si>
  <si>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</si>
  <si>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</si>
  <si>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</si>
  <si>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</si>
  <si>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</si>
  <si>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</si>
  <si>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</si>
  <si>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</si>
  <si>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</si>
  <si>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</si>
  <si>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</si>
  <si>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</si>
  <si>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</si>
  <si>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</si>
  <si>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</si>
  <si>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</si>
  <si>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</si>
  <si>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</si>
  <si>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</si>
  <si>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</si>
  <si>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</si>
  <si>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</si>
  <si>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</si>
  <si>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</si>
  <si>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</si>
  <si>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</si>
  <si>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</si>
  <si>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</si>
  <si>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</si>
  <si>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</si>
  <si>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</si>
  <si>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</si>
  <si>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</si>
  <si>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</si>
  <si>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</si>
  <si>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</si>
  <si>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</si>
  <si>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</si>
  <si>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</si>
  <si>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</si>
  <si>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</si>
  <si>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</si>
  <si>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</si>
  <si>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</si>
  <si>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</si>
  <si>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</si>
  <si>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</si>
  <si>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</si>
  <si>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</si>
  <si>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</si>
  <si>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</si>
  <si>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</si>
  <si>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</si>
  <si>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</si>
  <si>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</si>
  <si>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</si>
  <si>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</si>
  <si>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</si>
  <si>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</si>
  <si>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</si>
  <si>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</si>
  <si>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</si>
  <si>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</si>
  <si>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</si>
  <si>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</si>
  <si>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</si>
  <si>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</si>
  <si>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</si>
  <si>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</si>
  <si>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</si>
  <si>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</si>
  <si>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</si>
  <si>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</si>
  <si>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</si>
  <si>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</si>
  <si>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</si>
  <si>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</si>
  <si>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</si>
  <si>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</si>
  <si>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</si>
  <si>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</si>
  <si>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</si>
  <si>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</si>
  <si>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</si>
  <si>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</si>
  <si>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</si>
  <si>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</si>
  <si>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</si>
  <si>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</si>
  <si>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</si>
  <si>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</si>
  <si>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</si>
  <si>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</si>
  <si>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</si>
  <si>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</si>
  <si>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</si>
  <si>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</si>
  <si>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</si>
  <si>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</si>
  <si>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</si>
  <si>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</si>
  <si>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</si>
  <si>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</si>
  <si>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</si>
  <si>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</si>
  <si>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</si>
  <si>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</si>
  <si>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</si>
  <si>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</si>
  <si>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</si>
  <si>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</si>
  <si>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</si>
  <si>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</si>
  <si>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</si>
  <si>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</si>
  <si>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</si>
  <si>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</si>
  <si>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</si>
  <si>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</si>
  <si>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</si>
  <si>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</si>
  <si>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</si>
  <si>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</si>
  <si>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</si>
  <si>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</si>
  <si>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</si>
  <si>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</si>
  <si>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</si>
  <si>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</si>
  <si>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</si>
  <si>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</si>
  <si>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</si>
  <si>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</si>
  <si>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</si>
  <si>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</si>
  <si>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</si>
  <si>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</si>
  <si>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</si>
  <si>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</si>
  <si>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</si>
  <si>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</si>
  <si>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</si>
  <si>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</si>
  <si>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</si>
  <si>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</si>
  <si>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</si>
  <si>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</si>
  <si>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</si>
  <si>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</si>
  <si>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</si>
  <si>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</si>
  <si>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</si>
  <si>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</si>
  <si>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</si>
  <si>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</si>
  <si>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</si>
  <si>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</si>
  <si>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</si>
  <si>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</si>
  <si>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</si>
  <si>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</si>
  <si>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</si>
  <si>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</si>
  <si>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</si>
  <si>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</si>
  <si>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</si>
  <si>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</si>
  <si>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</si>
  <si>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</si>
  <si>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</si>
  <si>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</si>
  <si>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</si>
  <si>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</si>
  <si>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</si>
  <si>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</si>
  <si>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</si>
  <si>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</si>
  <si>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</si>
  <si>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</si>
  <si>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</si>
  <si>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</si>
  <si>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</si>
  <si>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</si>
  <si>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</si>
  <si>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</si>
  <si>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</si>
  <si>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</si>
  <si>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</si>
  <si>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</si>
  <si>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</si>
  <si>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</si>
  <si>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</si>
  <si>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</si>
  <si>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</si>
  <si>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</si>
  <si>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</si>
  <si>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</si>
  <si>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</si>
  <si>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</si>
  <si>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</si>
  <si>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</si>
  <si>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</si>
  <si>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</si>
  <si>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</si>
  <si>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</si>
  <si>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</si>
  <si>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</si>
  <si>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</si>
  <si>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</si>
  <si>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</si>
  <si>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</si>
  <si>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</si>
  <si>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</si>
  <si>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</si>
  <si>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</si>
  <si>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</si>
  <si>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</si>
  <si>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</si>
  <si>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</si>
  <si>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</si>
  <si>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</si>
  <si>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</si>
  <si>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</si>
  <si>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</si>
  <si>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</si>
  <si>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</si>
  <si>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</si>
  <si>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</si>
  <si>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</si>
  <si>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</si>
  <si>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</si>
  <si>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</si>
  <si>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</si>
  <si>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</si>
  <si>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</si>
  <si>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</si>
  <si>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</si>
  <si>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</si>
  <si>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</si>
  <si>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</si>
  <si>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</si>
  <si>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</si>
  <si>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</si>
  <si>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</si>
  <si>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</si>
  <si>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</si>
  <si>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</si>
  <si>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</si>
  <si>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</si>
  <si>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</si>
  <si>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</si>
  <si>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</si>
  <si>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</si>
  <si>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</si>
  <si>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</si>
  <si>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</si>
  <si>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</si>
  <si>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</si>
  <si>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</si>
  <si>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</si>
  <si>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</si>
  <si>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</si>
  <si>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</si>
  <si>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</si>
  <si>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</si>
  <si>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</si>
  <si>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</si>
  <si>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</si>
  <si>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</si>
  <si>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</si>
  <si>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</si>
  <si>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</si>
  <si>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</si>
  <si>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</si>
  <si>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</si>
  <si>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</si>
  <si>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</si>
  <si>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</si>
  <si>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</si>
  <si>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</si>
  <si>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</si>
  <si>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</si>
  <si>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</si>
  <si>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</si>
  <si>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</si>
  <si>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</si>
  <si>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</si>
  <si>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</si>
  <si>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</si>
  <si>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</si>
  <si>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</si>
  <si>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</si>
  <si>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</si>
  <si>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</si>
  <si>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</si>
  <si>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</si>
  <si>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</si>
  <si>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</si>
  <si>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</si>
  <si>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</si>
  <si>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</si>
  <si>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</si>
  <si>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</si>
  <si>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</si>
  <si>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</si>
  <si>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</si>
  <si>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</si>
  <si>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</si>
  <si>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</si>
  <si>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</si>
  <si>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</si>
  <si>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</si>
  <si>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</si>
  <si>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</si>
  <si>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</si>
  <si>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</si>
  <si>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</si>
  <si>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</si>
  <si>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</si>
  <si>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</si>
  <si>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</si>
  <si>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</si>
  <si>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</si>
  <si>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</si>
  <si>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</si>
  <si>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</si>
  <si>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</si>
  <si>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</si>
  <si>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</si>
  <si>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</si>
  <si>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</si>
  <si>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</si>
  <si>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</si>
  <si>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</si>
  <si>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</si>
  <si>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</si>
  <si>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</si>
  <si>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</si>
  <si>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</si>
  <si>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</si>
  <si>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</si>
  <si>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</si>
  <si>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</si>
  <si>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</si>
  <si>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</si>
  <si>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</si>
  <si>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</si>
  <si>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</si>
  <si>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</si>
  <si>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</si>
  <si>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</si>
  <si>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</si>
  <si>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</si>
  <si>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</si>
  <si>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</si>
  <si>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</si>
  <si>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</si>
  <si>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</si>
  <si>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</si>
  <si>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</si>
  <si>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</si>
  <si>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</si>
  <si>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</si>
  <si>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</si>
  <si>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</si>
  <si>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</si>
  <si>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</si>
  <si>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</si>
  <si>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</si>
  <si>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</si>
  <si>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</si>
  <si>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</si>
  <si>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</si>
  <si>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</si>
  <si>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</si>
  <si>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</si>
  <si>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</si>
  <si>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</si>
  <si>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</si>
  <si>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</si>
  <si>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</si>
  <si>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</si>
  <si>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</si>
  <si>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</si>
  <si>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</si>
  <si>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</si>
  <si>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</si>
  <si>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</si>
  <si>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</si>
  <si>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</si>
  <si>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</si>
  <si>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</si>
  <si>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</si>
  <si>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</si>
  <si>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</si>
  <si>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</si>
  <si>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</si>
  <si>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</si>
  <si>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</si>
  <si>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</si>
  <si>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</si>
  <si>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</si>
  <si>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</si>
  <si>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</si>
  <si>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</si>
  <si>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</si>
  <si>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</si>
  <si>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</si>
  <si>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</si>
  <si>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</si>
  <si>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</si>
  <si>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</si>
  <si>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</si>
  <si>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</si>
  <si>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</si>
  <si>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</si>
  <si>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</si>
  <si>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</si>
  <si>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</si>
  <si>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</si>
  <si>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</si>
  <si>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</si>
  <si>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</si>
  <si>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</si>
  <si>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</si>
  <si>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</si>
  <si>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</si>
  <si>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</si>
  <si>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</si>
  <si>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</si>
  <si>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</si>
  <si>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</si>
  <si>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</si>
  <si>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</si>
  <si>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</si>
  <si>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</si>
  <si>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</si>
  <si>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</si>
  <si>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</si>
  <si>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</si>
  <si>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</si>
  <si>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</si>
  <si>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</si>
  <si>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</si>
  <si>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</si>
  <si>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</si>
  <si>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</si>
  <si>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</si>
  <si>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</si>
  <si>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</si>
  <si>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</si>
  <si>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</si>
  <si>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</si>
  <si>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</si>
  <si>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</si>
  <si>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</si>
  <si>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</si>
  <si>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</si>
  <si>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</si>
  <si>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</si>
  <si>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</si>
  <si>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</si>
  <si>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</si>
  <si>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</si>
  <si>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</si>
  <si>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</si>
  <si>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</si>
  <si>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</si>
  <si>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</si>
  <si>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</si>
  <si>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</si>
  <si>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</si>
  <si>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</si>
  <si>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</si>
  <si>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</si>
  <si>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</si>
  <si>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</si>
  <si>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</si>
  <si>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</si>
  <si>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</si>
  <si>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</si>
  <si>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</si>
  <si>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</si>
  <si>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</si>
  <si>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</si>
  <si>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</si>
  <si>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</si>
  <si>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</si>
  <si>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</si>
  <si>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</si>
  <si>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</si>
  <si>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</si>
  <si>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</si>
  <si>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</si>
  <si>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</si>
  <si>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</si>
  <si>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</si>
  <si>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</si>
  <si>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</si>
  <si>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</si>
  <si>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</si>
  <si>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</si>
  <si>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</si>
  <si>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</si>
  <si>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</si>
  <si>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</si>
  <si>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</si>
  <si>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</si>
  <si>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</si>
  <si>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</si>
  <si>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</si>
  <si>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</si>
  <si>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</si>
  <si>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</si>
  <si>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</si>
  <si>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</si>
  <si>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</si>
  <si>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</si>
  <si>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</si>
  <si>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</si>
  <si>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</si>
  <si>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</si>
  <si>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</si>
  <si>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</si>
  <si>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</si>
  <si>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</si>
  <si>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</si>
  <si>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</si>
  <si>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</si>
  <si>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</si>
  <si>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</si>
  <si>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</si>
  <si>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</si>
  <si>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</si>
  <si>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</si>
  <si>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</si>
  <si>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</si>
  <si>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</si>
  <si>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</si>
  <si>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</si>
  <si>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</si>
  <si>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</si>
  <si>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</si>
  <si>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</si>
  <si>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</si>
  <si>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</si>
  <si>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</si>
  <si>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</si>
  <si>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</si>
  <si>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</si>
  <si>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</si>
  <si>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</si>
  <si>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</si>
  <si>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</si>
  <si>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</si>
  <si>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</si>
  <si>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</si>
  <si>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</si>
  <si>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</si>
  <si>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</si>
  <si>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</si>
  <si>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</si>
  <si>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</si>
  <si>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</si>
  <si>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</si>
  <si>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</si>
  <si>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</si>
  <si>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</si>
  <si>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</si>
  <si>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</si>
  <si>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</si>
  <si>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</si>
  <si>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</si>
  <si>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</si>
  <si>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</si>
  <si>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</si>
  <si>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</si>
  <si>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</si>
  <si>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</si>
  <si>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</si>
  <si>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</si>
  <si>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</si>
  <si>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</si>
  <si>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</si>
  <si>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</si>
  <si>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</si>
  <si>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</si>
  <si>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</si>
  <si>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</si>
  <si>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</si>
  <si>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</si>
  <si>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</si>
  <si>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</si>
  <si>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</si>
  <si>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</si>
  <si>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</si>
  <si>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</si>
  <si>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</si>
  <si>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</si>
  <si>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</si>
  <si>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</si>
  <si>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</si>
  <si>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</si>
  <si>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</si>
  <si>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</si>
  <si>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</si>
  <si>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</si>
  <si>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</si>
  <si>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</si>
  <si>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</si>
  <si>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</si>
  <si>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</si>
  <si>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</si>
  <si>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</si>
  <si>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</si>
  <si>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</si>
  <si>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</si>
  <si>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</si>
  <si>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</si>
  <si>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</si>
  <si>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</si>
  <si>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</si>
  <si>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</si>
  <si>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</si>
  <si>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</si>
  <si>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</si>
  <si>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</si>
  <si>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</si>
  <si>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</si>
  <si>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</si>
  <si>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</si>
  <si>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</si>
  <si>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</si>
  <si>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</si>
  <si>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</si>
  <si>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</si>
  <si>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</si>
  <si>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</si>
  <si>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</si>
  <si>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</si>
  <si>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</si>
  <si>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</si>
  <si>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</si>
  <si>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</si>
  <si>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</si>
  <si>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</si>
  <si>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</si>
  <si>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</si>
  <si>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</si>
  <si>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</si>
  <si>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</si>
  <si>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</si>
  <si>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</si>
  <si>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</si>
  <si>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</si>
  <si>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</si>
  <si>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</si>
  <si>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</si>
  <si>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</si>
  <si>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</si>
  <si>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</si>
  <si>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</si>
  <si>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</si>
  <si>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</si>
  <si>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</si>
  <si>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</si>
  <si>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</si>
  <si>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</si>
  <si>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</si>
  <si>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</si>
  <si>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</si>
  <si>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</si>
  <si>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</si>
  <si>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</si>
  <si>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</si>
  <si>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</si>
  <si>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</si>
  <si>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</si>
  <si>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</si>
  <si>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</si>
  <si>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</si>
  <si>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</si>
  <si>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</si>
  <si>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</si>
  <si>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</si>
  <si>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</si>
  <si>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</si>
  <si>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</si>
  <si>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</si>
  <si>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</si>
  <si>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</si>
  <si>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</si>
  <si>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</si>
  <si>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</si>
  <si>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</si>
  <si>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</si>
  <si>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</si>
  <si>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</si>
  <si>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</si>
  <si>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</si>
  <si>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</si>
  <si>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</si>
  <si>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</si>
  <si>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</si>
  <si>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</si>
  <si>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</si>
  <si>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</si>
  <si>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</si>
  <si>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</si>
  <si>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</si>
  <si>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</si>
  <si>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</si>
  <si>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</si>
  <si>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</si>
  <si>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</si>
  <si>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</si>
  <si>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</si>
  <si>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</si>
  <si>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</si>
  <si>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</si>
  <si>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</si>
  <si>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</si>
  <si>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</si>
  <si>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</si>
  <si>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</si>
  <si>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</si>
  <si>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</si>
  <si>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</si>
  <si>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</si>
  <si>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</si>
  <si>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</si>
  <si>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</si>
  <si>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</si>
  <si>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</si>
  <si>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</si>
  <si>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</si>
  <si>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</si>
  <si>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</si>
  <si>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</si>
  <si>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</si>
  <si>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</si>
  <si>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</si>
  <si>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</si>
  <si>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</si>
  <si>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</si>
  <si>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</si>
  <si>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</si>
  <si>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</si>
  <si>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</si>
  <si>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</si>
  <si>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</si>
  <si>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</si>
  <si>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</si>
  <si>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</si>
  <si>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</si>
  <si>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</si>
  <si>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</si>
  <si>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</si>
  <si>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</si>
  <si>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</si>
  <si>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</si>
  <si>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</si>
  <si>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</si>
  <si>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</si>
  <si>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</si>
  <si>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</si>
  <si>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</si>
  <si>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</si>
  <si>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</si>
  <si>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</si>
  <si>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</si>
  <si>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</si>
  <si>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</si>
  <si>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</si>
  <si>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</si>
  <si>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</si>
  <si>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</si>
  <si>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</si>
  <si>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</si>
  <si>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</si>
  <si>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</si>
  <si>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</si>
  <si>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</si>
  <si>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</si>
  <si>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</si>
  <si>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</si>
  <si>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</si>
  <si>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</si>
  <si>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</si>
  <si>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</si>
  <si>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</si>
  <si>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</si>
  <si>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</si>
  <si>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</si>
  <si>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</si>
  <si>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</si>
  <si>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</si>
  <si>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</si>
  <si>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</si>
  <si>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</si>
  <si>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</si>
  <si>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</si>
  <si>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</si>
  <si>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</si>
  <si>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</si>
  <si>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</si>
  <si>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</si>
  <si>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</si>
  <si>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</si>
  <si>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</si>
  <si>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</si>
  <si>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</si>
  <si>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</si>
  <si>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</si>
  <si>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</si>
  <si>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</si>
  <si>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</si>
  <si>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</si>
  <si>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</si>
  <si>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</si>
  <si>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</si>
  <si>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</si>
  <si>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</si>
  <si>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</si>
  <si>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</si>
  <si>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</si>
  <si>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</si>
  <si>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</si>
  <si>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</si>
  <si>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</si>
  <si>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</si>
  <si>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</si>
  <si>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</si>
  <si>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</si>
  <si>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</si>
  <si>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</si>
  <si>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</si>
  <si>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</si>
  <si>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</si>
  <si>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</si>
  <si>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</si>
  <si>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</si>
  <si>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</si>
  <si>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</si>
  <si>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</si>
  <si>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</si>
  <si>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</si>
  <si>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</si>
  <si>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</si>
  <si>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</si>
  <si>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</si>
  <si>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</si>
  <si>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</si>
  <si>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</si>
  <si>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</si>
  <si>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</si>
  <si>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</si>
  <si>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</si>
  <si>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</si>
  <si>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</si>
  <si>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</si>
  <si>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</si>
  <si>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</si>
  <si>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</si>
  <si>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</si>
  <si>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</si>
  <si>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</si>
  <si>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</si>
  <si>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</si>
  <si>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</si>
  <si>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</si>
  <si>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</si>
  <si>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</si>
  <si>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</si>
  <si>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</si>
  <si>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</si>
  <si>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</si>
  <si>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</si>
  <si>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</si>
  <si>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</si>
  <si>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</si>
  <si>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</si>
  <si>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</si>
  <si>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</si>
  <si>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</si>
  <si>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</si>
  <si>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</si>
  <si>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</si>
  <si>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</si>
  <si>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</si>
  <si>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</si>
  <si>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</si>
  <si>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</si>
  <si>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</si>
  <si>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</si>
  <si>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</si>
  <si>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</si>
  <si>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</si>
  <si>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</si>
  <si>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</si>
  <si>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</si>
  <si>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</si>
  <si>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</si>
  <si>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</si>
  <si>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</si>
  <si>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</si>
  <si>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</si>
  <si>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</si>
  <si>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</si>
  <si>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</si>
  <si>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</si>
  <si>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</si>
  <si>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</si>
  <si>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</si>
  <si>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</si>
  <si>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</si>
  <si>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</si>
  <si>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</si>
  <si>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</si>
  <si>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</si>
  <si>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</si>
  <si>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</si>
  <si>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</si>
  <si>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</si>
  <si>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</si>
  <si>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</si>
  <si>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</si>
  <si>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</si>
  <si>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</si>
  <si>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</si>
  <si>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</si>
  <si>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</si>
  <si>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</si>
  <si>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</si>
  <si>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</si>
  <si>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</si>
  <si>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</si>
  <si>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</si>
  <si>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</si>
  <si>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</si>
  <si>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</si>
  <si>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</si>
  <si>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</si>
  <si>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</si>
  <si>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</si>
  <si>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</si>
  <si>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</si>
  <si>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</si>
  <si>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</si>
  <si>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</si>
  <si>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</si>
  <si>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</si>
  <si>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</si>
  <si>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</si>
  <si>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</si>
  <si>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</si>
  <si>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</si>
  <si>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</si>
  <si>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</si>
  <si>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</si>
  <si>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</si>
  <si>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</si>
  <si>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</si>
  <si>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</si>
  <si>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</si>
  <si>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</si>
  <si>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</si>
  <si>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</si>
  <si>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</si>
  <si>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</si>
  <si>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</si>
  <si>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</si>
  <si>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</si>
  <si>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</si>
  <si>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</si>
  <si>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</si>
  <si>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</si>
  <si>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</si>
  <si>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</si>
  <si>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</si>
  <si>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</si>
  <si>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</si>
  <si>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</si>
  <si>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</si>
  <si>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</si>
  <si>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</si>
  <si>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</si>
  <si>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</si>
  <si>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</si>
  <si>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</si>
  <si>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</si>
  <si>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</si>
  <si>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</si>
  <si>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</si>
  <si>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</si>
  <si>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</si>
  <si>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</si>
  <si>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</si>
  <si>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</si>
  <si>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</si>
  <si>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</si>
  <si>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</si>
  <si>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</si>
  <si>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</si>
  <si>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</si>
  <si>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</si>
  <si>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</si>
  <si>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</si>
  <si>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</si>
  <si>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</si>
  <si>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</si>
  <si>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</si>
  <si>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</si>
  <si>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</si>
  <si>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</si>
  <si>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</si>
  <si>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</si>
  <si>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</si>
  <si>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</si>
  <si>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</si>
  <si>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</si>
  <si>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</si>
  <si>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</si>
  <si>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</si>
  <si>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</si>
  <si>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</si>
  <si>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</si>
  <si>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</si>
  <si>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</si>
  <si>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</si>
  <si>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</si>
  <si>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</si>
  <si>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</si>
  <si>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</si>
  <si>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</si>
  <si>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</si>
  <si>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</si>
  <si>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</si>
  <si>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</si>
  <si>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</si>
  <si>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</si>
  <si>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</si>
  <si>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</si>
  <si>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</si>
  <si>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</si>
  <si>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</si>
  <si>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</si>
  <si>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</si>
  <si>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</si>
  <si>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</si>
  <si>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</si>
  <si>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</si>
  <si>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</si>
  <si>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</si>
  <si>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</si>
  <si>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</si>
  <si>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</si>
  <si>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</si>
  <si>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</si>
  <si>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</si>
  <si>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</si>
  <si>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</si>
  <si>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</si>
  <si>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</si>
  <si>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</si>
  <si>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</si>
  <si>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</si>
  <si>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</si>
  <si>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</si>
  <si>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</si>
  <si>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</si>
  <si>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</si>
  <si>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</si>
  <si>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</si>
  <si>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</si>
  <si>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</si>
  <si>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</si>
  <si>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</si>
  <si>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</si>
  <si>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</si>
  <si>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</si>
  <si>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</si>
  <si>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</si>
  <si>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</si>
  <si>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</si>
  <si>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</si>
  <si>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</si>
  <si>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</si>
  <si>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</si>
  <si>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</si>
  <si>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</si>
  <si>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</si>
  <si>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</si>
  <si>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</si>
  <si>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</si>
  <si>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</si>
  <si>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</si>
  <si>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</si>
  <si>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</si>
  <si>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</si>
  <si>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</si>
  <si>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</si>
  <si>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</si>
  <si>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</si>
  <si>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</si>
  <si>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</si>
  <si>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</si>
  <si>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</si>
  <si>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</si>
  <si>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</si>
  <si>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</si>
  <si>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</si>
  <si>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</si>
  <si>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</si>
  <si>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</si>
  <si>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</si>
  <si>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</si>
  <si>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</si>
  <si>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</si>
  <si>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</si>
  <si>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</si>
  <si>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</si>
  <si>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</si>
  <si>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</si>
  <si>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</si>
  <si>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</si>
  <si>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</si>
  <si>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</si>
  <si>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</si>
  <si>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</si>
  <si>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</si>
  <si>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</si>
  <si>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</si>
  <si>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</si>
  <si>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</si>
  <si>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</si>
  <si>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</si>
  <si>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</si>
  <si>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</si>
  <si>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</si>
  <si>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</si>
  <si>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</si>
  <si>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</si>
  <si>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</si>
  <si>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</si>
  <si>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</si>
  <si>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</si>
  <si>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</si>
  <si>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</si>
  <si>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</si>
  <si>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</si>
  <si>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</si>
  <si>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</si>
  <si>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</si>
  <si>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</si>
  <si>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</si>
  <si>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</si>
  <si>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</si>
  <si>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</si>
  <si>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</si>
  <si>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</si>
  <si>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</si>
  <si>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</si>
  <si>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</si>
  <si>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</si>
  <si>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</si>
  <si>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</si>
  <si>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</si>
  <si>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</si>
  <si>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</si>
  <si>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</si>
  <si>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</si>
  <si>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</si>
  <si>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</si>
  <si>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</si>
  <si>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</si>
  <si>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</si>
  <si>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</si>
  <si>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</si>
  <si>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</si>
  <si>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</si>
  <si>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</si>
  <si>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</si>
  <si>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</si>
  <si>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</si>
  <si>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</si>
  <si>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</si>
  <si>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</si>
  <si>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</si>
  <si>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</si>
  <si>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</si>
  <si>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</si>
  <si>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</si>
  <si>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</si>
  <si>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</si>
  <si>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</si>
  <si>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</si>
  <si>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</si>
  <si>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</si>
  <si>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</si>
  <si>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</si>
  <si>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</si>
  <si>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</si>
  <si>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</si>
  <si>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</si>
  <si>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</si>
  <si>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</si>
  <si>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</si>
  <si>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</si>
  <si>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</si>
  <si>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</si>
  <si>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</si>
  <si>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</si>
  <si>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</si>
  <si>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</si>
  <si>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</si>
  <si>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</si>
  <si>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</si>
  <si>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</si>
  <si>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</si>
  <si>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</si>
  <si>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</si>
  <si>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</si>
  <si>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*RSDSC_Apt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</si>
  <si>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</si>
  <si>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</si>
  <si>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</si>
  <si>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</si>
  <si>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</si>
  <si>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</si>
  <si>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</si>
  <si>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</si>
  <si>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</si>
  <si>
    <t>Useful</t>
  </si>
  <si>
    <t>AF</t>
  </si>
  <si>
    <t>CAP2ACT</t>
  </si>
  <si>
    <t>STOCK</t>
  </si>
  <si>
    <t>AF RESULT</t>
  </si>
  <si>
    <t>ALL</t>
  </si>
  <si>
    <t>AFA factor</t>
  </si>
  <si>
    <t>*AFA~LO</t>
  </si>
  <si>
    <t>RSDSC_Det</t>
  </si>
  <si>
    <t>RSDSC_Apt</t>
  </si>
  <si>
    <t>RSDSC_Att</t>
  </si>
  <si>
    <t>Years</t>
  </si>
  <si>
    <t>Total Decline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</si>
</sst>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  <numFmt numFmtId="181" formatCode="0.0000000"/>
    <numFmt numFmtId="182" formatCode="0.000000"/>
  </numFmts>
  <fonts count="10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EAF1FB"/>
        <bgColor rgb="FFEAF1FB"/>
      </patternFill>
    </fill>
    <fill>
      <patternFill patternType="solid">
        <fgColor rgb="FFFFF4CB"/>
        <bgColor rgb="FFFFF4CB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</borders>
  <cellStyleXfs count="12">
    <xf numFmtId="0" fontId="0" fillId="0" borderId="0"/>
    <xf numFmtId="9" fontId="19" fillId="0" borderId="0" applyFont="0" applyFill="0" applyBorder="0" applyAlignment="0" applyProtection="0"/>
    <xf numFmtId="0" fontId="33" fillId="9" borderId="0" applyNumberFormat="0" applyBorder="0" applyAlignment="0" applyProtection="0"/>
    <xf numFmtId="0" fontId="58" fillId="0" borderId="0" applyNumberFormat="0" applyFill="0" applyBorder="0" applyAlignment="0" applyProtection="0"/>
    <xf numFmtId="0" fontId="12" fillId="37" borderId="0" applyNumberFormat="0" applyBorder="0" applyAlignment="0" applyProtection="0"/>
    <xf numFmtId="164" fontId="87" fillId="0" borderId="0" applyFont="0" applyFill="0" applyBorder="0" applyAlignment="0" applyProtection="0"/>
    <xf numFmtId="0" fontId="19" fillId="0" borderId="0"/>
    <xf numFmtId="0" fontId="7" fillId="0" borderId="0"/>
    <xf numFmtId="0" fontId="48" fillId="0" borderId="0" applyNumberFormat="0" applyFill="0" applyBorder="0" applyAlignment="0" applyProtection="0"/>
    <xf numFmtId="0" fontId="101" fillId="0" borderId="0"/>
    <xf numFmtId="0" fontId="24" fillId="0" borderId="0"/>
    <xf numFmtId="0" fontId="1" fillId="0" borderId="0"/>
  </cellStyleXfs>
  <cellXfs count="1343">
    <xf numFmtId="0" fontId="0" fillId="0" borderId="0" xfId="0"/>
    <xf numFmtId="38" fontId="25" fillId="0" borderId="0" xfId="0" applyNumberFormat="1" applyFont="1"/>
    <xf numFmtId="38" fontId="28" fillId="5" borderId="0" xfId="0" applyNumberFormat="1" applyFont="1" applyFill="1"/>
    <xf numFmtId="38" fontId="29" fillId="5" borderId="0" xfId="0" applyNumberFormat="1" applyFont="1" applyFill="1"/>
    <xf numFmtId="38" fontId="30" fillId="5" borderId="0" xfId="0" applyNumberFormat="1" applyFont="1" applyFill="1"/>
    <xf numFmtId="38" fontId="27" fillId="0" borderId="0" xfId="0" applyNumberFormat="1" applyFont="1"/>
    <xf numFmtId="38" fontId="0" fillId="0" borderId="0" xfId="0" applyNumberFormat="1"/>
    <xf numFmtId="166" fontId="27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5" fillId="0" borderId="0" xfId="0" applyNumberFormat="1" applyFont="1"/>
    <xf numFmtId="40" fontId="27" fillId="0" borderId="0" xfId="0" applyNumberFormat="1" applyFont="1"/>
    <xf numFmtId="38" fontId="25" fillId="0" borderId="0" xfId="0" applyNumberFormat="1" applyFont="1" applyAlignment="1">
      <alignment horizontal="left"/>
    </xf>
    <xf numFmtId="38" fontId="27" fillId="0" borderId="0" xfId="0" applyNumberFormat="1" applyFont="1" applyAlignment="1">
      <alignment horizontal="center"/>
    </xf>
    <xf numFmtId="38" fontId="25" fillId="0" borderId="0" xfId="0" applyNumberFormat="1" applyFont="1" applyAlignment="1">
      <alignment horizontal="center"/>
    </xf>
    <xf numFmtId="38" fontId="30" fillId="0" borderId="0" xfId="0" applyNumberFormat="1" applyFont="1"/>
    <xf numFmtId="38" fontId="29" fillId="0" borderId="0" xfId="0" applyNumberFormat="1" applyFont="1"/>
    <xf numFmtId="38" fontId="25" fillId="7" borderId="0" xfId="0" applyNumberFormat="1" applyFont="1" applyFill="1"/>
    <xf numFmtId="38" fontId="30" fillId="7" borderId="0" xfId="0" applyNumberFormat="1" applyFont="1" applyFill="1"/>
    <xf numFmtId="38" fontId="27" fillId="7" borderId="0" xfId="0" applyNumberFormat="1" applyFont="1" applyFill="1"/>
    <xf numFmtId="170" fontId="33" fillId="9" borderId="0" xfId="2" applyNumberFormat="1"/>
    <xf numFmtId="0" fontId="35" fillId="12" borderId="4" xfId="0" applyFont="1" applyFill="1" applyBorder="1" applyAlignment="1">
      <alignment vertical="center"/>
    </xf>
    <xf numFmtId="0" fontId="35" fillId="12" borderId="5" xfId="0" applyFont="1" applyFill="1" applyBorder="1" applyAlignment="1">
      <alignment vertical="center"/>
    </xf>
    <xf numFmtId="0" fontId="36" fillId="6" borderId="4" xfId="0" applyFont="1" applyFill="1" applyBorder="1" applyAlignment="1">
      <alignment horizontal="left" vertical="center" wrapText="1"/>
    </xf>
    <xf numFmtId="0" fontId="36" fillId="6" borderId="2" xfId="0" applyFont="1" applyFill="1" applyBorder="1" applyAlignment="1">
      <alignment horizontal="left" vertical="center" wrapText="1"/>
    </xf>
    <xf numFmtId="0" fontId="32" fillId="13" borderId="0" xfId="0" applyFont="1" applyFill="1"/>
    <xf numFmtId="0" fontId="36" fillId="0" borderId="0" xfId="0" applyFont="1"/>
    <xf numFmtId="0" fontId="39" fillId="0" borderId="0" xfId="0" applyFont="1"/>
    <xf numFmtId="0" fontId="35" fillId="12" borderId="5" xfId="0" applyFont="1" applyFill="1" applyBorder="1" applyAlignment="1">
      <alignment horizontal="center" vertical="center"/>
    </xf>
    <xf numFmtId="0" fontId="36" fillId="6" borderId="4" xfId="0" applyFont="1" applyFill="1" applyBorder="1" applyAlignment="1">
      <alignment horizontal="center" vertical="center" wrapText="1"/>
    </xf>
    <xf numFmtId="0" fontId="36" fillId="6" borderId="4" xfId="0" quotePrefix="1" applyFont="1" applyFill="1" applyBorder="1" applyAlignment="1">
      <alignment horizontal="center" vertical="center" wrapText="1"/>
    </xf>
    <xf numFmtId="170" fontId="33" fillId="0" borderId="0" xfId="2" applyNumberFormat="1" applyFill="1" applyBorder="1" applyAlignment="1">
      <alignment vertical="center"/>
    </xf>
    <xf numFmtId="0" fontId="35" fillId="12" borderId="19" xfId="0" applyFont="1" applyFill="1" applyBorder="1" applyAlignment="1">
      <alignment horizontal="center" vertical="center"/>
    </xf>
    <xf numFmtId="9" fontId="32" fillId="13" borderId="0" xfId="0" applyNumberFormat="1" applyFont="1" applyFill="1"/>
    <xf numFmtId="0" fontId="33" fillId="17" borderId="0" xfId="0" applyFont="1" applyFill="1"/>
    <xf numFmtId="0" fontId="33" fillId="14" borderId="0" xfId="0" applyFont="1" applyFill="1"/>
    <xf numFmtId="0" fontId="38" fillId="2" borderId="0" xfId="0" applyFont="1" applyFill="1" applyProtection="1">
      <protection locked="0"/>
    </xf>
    <xf numFmtId="0" fontId="43" fillId="2" borderId="0" xfId="0" applyFont="1" applyFill="1" applyAlignment="1" applyProtection="1">
      <alignment horizontal="left"/>
      <protection locked="0"/>
    </xf>
    <xf numFmtId="0" fontId="36" fillId="0" borderId="0" xfId="0" applyFont="1" applyProtection="1">
      <protection locked="0"/>
    </xf>
    <xf numFmtId="0" fontId="36" fillId="2" borderId="0" xfId="0" applyFont="1" applyFill="1" applyProtection="1">
      <protection locked="0"/>
    </xf>
    <xf numFmtId="0" fontId="38" fillId="2" borderId="2" xfId="0" applyFont="1" applyFill="1" applyBorder="1" applyProtection="1">
      <protection locked="0"/>
    </xf>
    <xf numFmtId="0" fontId="43" fillId="2" borderId="2" xfId="0" applyFont="1" applyFill="1" applyBorder="1" applyAlignment="1" applyProtection="1">
      <alignment horizontal="left"/>
      <protection locked="0"/>
    </xf>
    <xf numFmtId="0" fontId="43" fillId="0" borderId="0" xfId="0" applyFont="1" applyProtection="1">
      <protection locked="0"/>
    </xf>
    <xf numFmtId="168" fontId="36" fillId="0" borderId="0" xfId="0" applyNumberFormat="1" applyFont="1"/>
    <xf numFmtId="2" fontId="36" fillId="0" borderId="0" xfId="0" applyNumberFormat="1" applyFont="1" applyProtection="1">
      <protection locked="0"/>
    </xf>
    <xf numFmtId="0" fontId="36" fillId="0" borderId="0" xfId="0" applyFont="1" applyAlignment="1">
      <alignment horizontal="center" wrapText="1"/>
    </xf>
    <xf numFmtId="0" fontId="36" fillId="0" borderId="0" xfId="0" applyFont="1" applyAlignment="1" applyProtection="1">
      <alignment horizontal="center" vertical="center"/>
      <protection locked="0"/>
    </xf>
    <xf numFmtId="0" fontId="36" fillId="0" borderId="0" xfId="0" quotePrefix="1" applyFont="1"/>
    <xf numFmtId="0" fontId="43" fillId="0" borderId="0" xfId="0" applyFont="1"/>
    <xf numFmtId="0" fontId="18" fillId="0" borderId="0" xfId="0" applyFont="1"/>
    <xf numFmtId="0" fontId="50" fillId="14" borderId="0" xfId="0" applyFont="1" applyFill="1" applyAlignment="1">
      <alignment vertical="center"/>
    </xf>
    <xf numFmtId="0" fontId="50" fillId="17" borderId="0" xfId="0" applyFont="1" applyFill="1" applyAlignment="1">
      <alignment vertical="center"/>
    </xf>
    <xf numFmtId="0" fontId="43" fillId="13" borderId="0" xfId="0" applyFont="1" applyFill="1"/>
    <xf numFmtId="0" fontId="36" fillId="13" borderId="0" xfId="0" applyFont="1" applyFill="1"/>
    <xf numFmtId="170" fontId="33" fillId="14" borderId="0" xfId="2" applyNumberFormat="1" applyFill="1" applyAlignment="1"/>
    <xf numFmtId="2" fontId="36" fillId="0" borderId="0" xfId="0" applyNumberFormat="1" applyFont="1" applyAlignment="1">
      <alignment horizontal="right"/>
    </xf>
    <xf numFmtId="0" fontId="52" fillId="0" borderId="0" xfId="0" applyFont="1"/>
    <xf numFmtId="0" fontId="51" fillId="0" borderId="0" xfId="0" applyFont="1" applyAlignment="1">
      <alignment horizontal="left"/>
    </xf>
    <xf numFmtId="0" fontId="45" fillId="0" borderId="0" xfId="0" applyFont="1"/>
    <xf numFmtId="0" fontId="19" fillId="0" borderId="0" xfId="0" applyFont="1"/>
    <xf numFmtId="38" fontId="25" fillId="20" borderId="0" xfId="0" applyNumberFormat="1" applyFont="1" applyFill="1" applyAlignment="1">
      <alignment horizontal="left"/>
    </xf>
    <xf numFmtId="38" fontId="25" fillId="21" borderId="0" xfId="0" applyNumberFormat="1" applyFont="1" applyFill="1" applyAlignment="1">
      <alignment horizontal="left"/>
    </xf>
    <xf numFmtId="38" fontId="27" fillId="24" borderId="0" xfId="0" applyNumberFormat="1" applyFont="1" applyFill="1"/>
    <xf numFmtId="0" fontId="31" fillId="27" borderId="1" xfId="0" applyFont="1" applyFill="1" applyBorder="1" applyAlignment="1">
      <alignment horizontal="center"/>
    </xf>
    <xf numFmtId="0" fontId="60" fillId="25" borderId="1" xfId="0" applyFont="1" applyFill="1" applyBorder="1" applyAlignment="1">
      <alignment horizontal="center"/>
    </xf>
    <xf numFmtId="0" fontId="20" fillId="0" borderId="11" xfId="0" applyFont="1" applyBorder="1"/>
    <xf numFmtId="0" fontId="20" fillId="0" borderId="61" xfId="0" applyFont="1" applyBorder="1"/>
    <xf numFmtId="0" fontId="20" fillId="0" borderId="0" xfId="0" applyFont="1"/>
    <xf numFmtId="0" fontId="60" fillId="25" borderId="19" xfId="0" applyFont="1" applyFill="1" applyBorder="1"/>
    <xf numFmtId="0" fontId="20" fillId="24" borderId="142" xfId="0" applyFont="1" applyFill="1" applyBorder="1"/>
    <xf numFmtId="0" fontId="20" fillId="0" borderId="156" xfId="0" applyFont="1" applyBorder="1"/>
    <xf numFmtId="0" fontId="20" fillId="0" borderId="151" xfId="0" applyFont="1" applyBorder="1" applyAlignment="1">
      <alignment horizontal="right"/>
    </xf>
    <xf numFmtId="0" fontId="20" fillId="0" borderId="157" xfId="0" applyFont="1" applyBorder="1" applyAlignment="1">
      <alignment horizontal="right"/>
    </xf>
    <xf numFmtId="0" fontId="20" fillId="0" borderId="154" xfId="0" applyFont="1" applyBorder="1" applyAlignment="1">
      <alignment horizontal="right" vertical="top"/>
    </xf>
    <xf numFmtId="0" fontId="20" fillId="0" borderId="25" xfId="0" applyFont="1" applyBorder="1"/>
    <xf numFmtId="0" fontId="20" fillId="0" borderId="152" xfId="0" applyFont="1" applyBorder="1"/>
    <xf numFmtId="0" fontId="31" fillId="24" borderId="142" xfId="0" applyFont="1" applyFill="1" applyBorder="1"/>
    <xf numFmtId="0" fontId="59" fillId="0" borderId="140" xfId="0" applyFont="1" applyBorder="1" applyAlignment="1">
      <alignment horizontal="right" vertical="top"/>
    </xf>
    <xf numFmtId="0" fontId="59" fillId="26" borderId="140" xfId="0" applyFont="1" applyFill="1" applyBorder="1" applyAlignment="1">
      <alignment horizontal="right" vertical="top"/>
    </xf>
    <xf numFmtId="0" fontId="60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31" fillId="24" borderId="153" xfId="0" applyFont="1" applyFill="1" applyBorder="1" applyAlignment="1">
      <alignment horizontal="center"/>
    </xf>
    <xf numFmtId="0" fontId="31" fillId="24" borderId="154" xfId="0" applyFont="1" applyFill="1" applyBorder="1" applyAlignment="1">
      <alignment horizontal="center"/>
    </xf>
    <xf numFmtId="0" fontId="31" fillId="24" borderId="153" xfId="0" applyFont="1" applyFill="1" applyBorder="1"/>
    <xf numFmtId="0" fontId="31" fillId="27" borderId="113" xfId="0" applyFont="1" applyFill="1" applyBorder="1" applyAlignment="1">
      <alignment horizontal="center" wrapText="1"/>
    </xf>
    <xf numFmtId="0" fontId="31" fillId="27" borderId="146" xfId="0" applyFont="1" applyFill="1" applyBorder="1" applyAlignment="1">
      <alignment horizontal="center" wrapText="1"/>
    </xf>
    <xf numFmtId="0" fontId="60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20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20" fillId="0" borderId="151" xfId="0" applyFont="1" applyBorder="1" applyAlignment="1">
      <alignment horizontal="right" vertical="top"/>
    </xf>
    <xf numFmtId="3" fontId="20" fillId="24" borderId="159" xfId="0" applyNumberFormat="1" applyFont="1" applyFill="1" applyBorder="1"/>
    <xf numFmtId="3" fontId="20" fillId="24" borderId="111" xfId="0" applyNumberFormat="1" applyFont="1" applyFill="1" applyBorder="1"/>
    <xf numFmtId="3" fontId="20" fillId="24" borderId="141" xfId="0" applyNumberFormat="1" applyFont="1" applyFill="1" applyBorder="1"/>
    <xf numFmtId="3" fontId="20" fillId="24" borderId="151" xfId="0" applyNumberFormat="1" applyFont="1" applyFill="1" applyBorder="1"/>
    <xf numFmtId="3" fontId="20" fillId="24" borderId="108" xfId="0" applyNumberFormat="1" applyFont="1" applyFill="1" applyBorder="1"/>
    <xf numFmtId="3" fontId="32" fillId="24" borderId="151" xfId="0" applyNumberFormat="1" applyFont="1" applyFill="1" applyBorder="1"/>
    <xf numFmtId="172" fontId="32" fillId="24" borderId="151" xfId="0" applyNumberFormat="1" applyFont="1" applyFill="1" applyBorder="1"/>
    <xf numFmtId="3" fontId="19" fillId="0" borderId="15" xfId="0" applyNumberFormat="1" applyFont="1" applyBorder="1"/>
    <xf numFmtId="3" fontId="19" fillId="0" borderId="1" xfId="0" applyNumberFormat="1" applyFont="1" applyBorder="1"/>
    <xf numFmtId="3" fontId="19" fillId="0" borderId="19" xfId="0" applyNumberFormat="1" applyFont="1" applyBorder="1"/>
    <xf numFmtId="172" fontId="19" fillId="0" borderId="93" xfId="0" applyNumberFormat="1" applyFont="1" applyBorder="1"/>
    <xf numFmtId="3" fontId="19" fillId="0" borderId="154" xfId="0" applyNumberFormat="1" applyFont="1" applyBorder="1"/>
    <xf numFmtId="3" fontId="19" fillId="0" borderId="136" xfId="0" applyNumberFormat="1" applyFont="1" applyBorder="1"/>
    <xf numFmtId="3" fontId="0" fillId="0" borderId="0" xfId="0" applyNumberFormat="1"/>
    <xf numFmtId="0" fontId="63" fillId="0" borderId="0" xfId="0" quotePrefix="1" applyFont="1" applyAlignment="1">
      <alignment horizontal="left"/>
    </xf>
    <xf numFmtId="0" fontId="47" fillId="0" borderId="0" xfId="0" quotePrefix="1" applyFont="1" applyAlignment="1">
      <alignment horizontal="left" vertical="top"/>
    </xf>
    <xf numFmtId="0" fontId="64" fillId="0" borderId="0" xfId="0" applyFont="1" applyAlignment="1">
      <alignment horizontal="left" vertical="top"/>
    </xf>
    <xf numFmtId="0" fontId="60" fillId="27" borderId="67" xfId="3" applyFont="1" applyFill="1" applyBorder="1" applyAlignment="1">
      <alignment horizontal="center"/>
    </xf>
    <xf numFmtId="0" fontId="60" fillId="27" borderId="18" xfId="3" applyFont="1" applyFill="1" applyBorder="1" applyAlignment="1">
      <alignment horizontal="center"/>
    </xf>
    <xf numFmtId="0" fontId="60" fillId="27" borderId="143" xfId="3" applyFont="1" applyFill="1" applyBorder="1" applyAlignment="1">
      <alignment horizontal="center"/>
    </xf>
    <xf numFmtId="0" fontId="31" fillId="27" borderId="59" xfId="0" applyFont="1" applyFill="1" applyBorder="1" applyAlignment="1">
      <alignment horizontal="center"/>
    </xf>
    <xf numFmtId="0" fontId="31" fillId="27" borderId="18" xfId="0" applyFont="1" applyFill="1" applyBorder="1" applyAlignment="1">
      <alignment horizontal="center"/>
    </xf>
    <xf numFmtId="0" fontId="31" fillId="27" borderId="143" xfId="0" applyFont="1" applyFill="1" applyBorder="1" applyAlignment="1">
      <alignment horizontal="center"/>
    </xf>
    <xf numFmtId="0" fontId="31" fillId="27" borderId="136" xfId="0" applyFont="1" applyFill="1" applyBorder="1" applyAlignment="1">
      <alignment horizontal="center"/>
    </xf>
    <xf numFmtId="0" fontId="31" fillId="27" borderId="19" xfId="0" applyFont="1" applyFill="1" applyBorder="1" applyAlignment="1">
      <alignment horizontal="center"/>
    </xf>
    <xf numFmtId="0" fontId="60" fillId="27" borderId="113" xfId="0" applyFont="1" applyFill="1" applyBorder="1" applyAlignment="1">
      <alignment horizontal="center"/>
    </xf>
    <xf numFmtId="0" fontId="60" fillId="27" borderId="146" xfId="0" applyFont="1" applyFill="1" applyBorder="1" applyAlignment="1">
      <alignment horizontal="center"/>
    </xf>
    <xf numFmtId="0" fontId="33" fillId="27" borderId="0" xfId="0" applyFont="1" applyFill="1"/>
    <xf numFmtId="0" fontId="61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60" fillId="27" borderId="55" xfId="0" applyFont="1" applyFill="1" applyBorder="1"/>
    <xf numFmtId="0" fontId="60" fillId="27" borderId="56" xfId="0" applyFont="1" applyFill="1" applyBorder="1"/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20" fillId="24" borderId="61" xfId="0" applyFont="1" applyFill="1" applyBorder="1"/>
    <xf numFmtId="0" fontId="20" fillId="24" borderId="11" xfId="0" applyFont="1" applyFill="1" applyBorder="1"/>
    <xf numFmtId="0" fontId="20" fillId="24" borderId="60" xfId="0" applyFont="1" applyFill="1" applyBorder="1"/>
    <xf numFmtId="0" fontId="60" fillId="27" borderId="12" xfId="0" applyFont="1" applyFill="1" applyBorder="1"/>
    <xf numFmtId="0" fontId="60" fillId="27" borderId="17" xfId="0" applyFont="1" applyFill="1" applyBorder="1"/>
    <xf numFmtId="0" fontId="60" fillId="27" borderId="0" xfId="0" applyFont="1" applyFill="1"/>
    <xf numFmtId="0" fontId="60" fillId="27" borderId="88" xfId="0" applyFont="1" applyFill="1" applyBorder="1" applyAlignment="1">
      <alignment horizontal="center"/>
    </xf>
    <xf numFmtId="0" fontId="60" fillId="25" borderId="20" xfId="0" applyFont="1" applyFill="1" applyBorder="1"/>
    <xf numFmtId="0" fontId="59" fillId="26" borderId="1" xfId="0" applyFont="1" applyFill="1" applyBorder="1" applyAlignment="1">
      <alignment horizontal="right"/>
    </xf>
    <xf numFmtId="0" fontId="59" fillId="0" borderId="1" xfId="0" applyFont="1" applyBorder="1" applyAlignment="1">
      <alignment horizontal="right" vertical="top"/>
    </xf>
    <xf numFmtId="0" fontId="59" fillId="26" borderId="1" xfId="0" applyFont="1" applyFill="1" applyBorder="1" applyAlignment="1">
      <alignment horizontal="right" vertical="top"/>
    </xf>
    <xf numFmtId="0" fontId="60" fillId="25" borderId="7" xfId="0" applyFont="1" applyFill="1" applyBorder="1" applyAlignment="1">
      <alignment horizontal="right"/>
    </xf>
    <xf numFmtId="0" fontId="61" fillId="26" borderId="154" xfId="0" applyFont="1" applyFill="1" applyBorder="1" applyAlignment="1">
      <alignment horizontal="right"/>
    </xf>
    <xf numFmtId="0" fontId="61" fillId="0" borderId="154" xfId="0" applyFont="1" applyBorder="1" applyAlignment="1">
      <alignment horizontal="right" vertical="top"/>
    </xf>
    <xf numFmtId="0" fontId="61" fillId="26" borderId="154" xfId="0" applyFont="1" applyFill="1" applyBorder="1" applyAlignment="1">
      <alignment horizontal="right" vertical="top"/>
    </xf>
    <xf numFmtId="0" fontId="61" fillId="0" borderId="142" xfId="0" applyFont="1" applyBorder="1" applyAlignment="1">
      <alignment horizontal="right" vertical="top"/>
    </xf>
    <xf numFmtId="0" fontId="60" fillId="27" borderId="7" xfId="0" applyFont="1" applyFill="1" applyBorder="1"/>
    <xf numFmtId="0" fontId="59" fillId="26" borderId="154" xfId="0" applyFont="1" applyFill="1" applyBorder="1" applyAlignment="1">
      <alignment horizontal="right"/>
    </xf>
    <xf numFmtId="0" fontId="60" fillId="27" borderId="54" xfId="0" applyFont="1" applyFill="1" applyBorder="1"/>
    <xf numFmtId="0" fontId="59" fillId="26" borderId="136" xfId="0" applyFont="1" applyFill="1" applyBorder="1" applyAlignment="1">
      <alignment horizontal="right"/>
    </xf>
    <xf numFmtId="0" fontId="59" fillId="26" borderId="140" xfId="0" applyFont="1" applyFill="1" applyBorder="1" applyAlignment="1">
      <alignment horizontal="right"/>
    </xf>
    <xf numFmtId="0" fontId="59" fillId="0" borderId="136" xfId="0" applyFont="1" applyBorder="1" applyAlignment="1">
      <alignment horizontal="right" vertical="top"/>
    </xf>
    <xf numFmtId="0" fontId="59" fillId="26" borderId="136" xfId="0" applyFont="1" applyFill="1" applyBorder="1" applyAlignment="1">
      <alignment horizontal="right" vertical="top"/>
    </xf>
    <xf numFmtId="0" fontId="61" fillId="0" borderId="140" xfId="0" applyFont="1" applyBorder="1" applyAlignment="1">
      <alignment horizontal="right" vertical="top"/>
    </xf>
    <xf numFmtId="0" fontId="61" fillId="0" borderId="160" xfId="0" applyFont="1" applyBorder="1" applyAlignment="1">
      <alignment horizontal="right" vertical="top"/>
    </xf>
    <xf numFmtId="0" fontId="61" fillId="0" borderId="95" xfId="0" applyFont="1" applyBorder="1" applyAlignment="1">
      <alignment horizontal="right" vertical="top"/>
    </xf>
    <xf numFmtId="0" fontId="62" fillId="0" borderId="93" xfId="0" applyFont="1" applyBorder="1" applyAlignment="1">
      <alignment vertical="center"/>
    </xf>
    <xf numFmtId="168" fontId="62" fillId="0" borderId="0" xfId="0" applyNumberFormat="1" applyFont="1" applyAlignment="1">
      <alignment vertical="center"/>
    </xf>
    <xf numFmtId="1" fontId="62" fillId="0" borderId="145" xfId="0" applyNumberFormat="1" applyFont="1" applyBorder="1" applyAlignment="1">
      <alignment vertical="center"/>
    </xf>
    <xf numFmtId="0" fontId="63" fillId="0" borderId="26" xfId="0" applyFont="1" applyBorder="1" applyAlignment="1">
      <alignment vertical="center"/>
    </xf>
    <xf numFmtId="0" fontId="63" fillId="0" borderId="2" xfId="0" applyFont="1" applyBorder="1" applyAlignment="1">
      <alignment vertical="center"/>
    </xf>
    <xf numFmtId="1" fontId="62" fillId="0" borderId="93" xfId="0" applyNumberFormat="1" applyFont="1" applyBorder="1" applyAlignment="1">
      <alignment vertical="center"/>
    </xf>
    <xf numFmtId="1" fontId="63" fillId="0" borderId="26" xfId="0" applyNumberFormat="1" applyFont="1" applyBorder="1" applyAlignment="1">
      <alignment vertical="center"/>
    </xf>
    <xf numFmtId="1" fontId="63" fillId="0" borderId="144" xfId="0" applyNumberFormat="1" applyFont="1" applyBorder="1" applyAlignment="1">
      <alignment vertical="center"/>
    </xf>
    <xf numFmtId="0" fontId="62" fillId="0" borderId="9" xfId="0" applyFont="1" applyBorder="1" applyAlignment="1">
      <alignment vertical="center"/>
    </xf>
    <xf numFmtId="0" fontId="63" fillId="29" borderId="8" xfId="0" applyFont="1" applyFill="1" applyBorder="1" applyAlignment="1">
      <alignment vertical="center"/>
    </xf>
    <xf numFmtId="0" fontId="63" fillId="0" borderId="113" xfId="0" quotePrefix="1" applyFont="1" applyBorder="1" applyAlignment="1">
      <alignment horizontal="center"/>
    </xf>
    <xf numFmtId="0" fontId="63" fillId="0" borderId="106" xfId="0" quotePrefix="1" applyFont="1" applyBorder="1" applyAlignment="1">
      <alignment horizontal="center"/>
    </xf>
    <xf numFmtId="0" fontId="63" fillId="0" borderId="151" xfId="0" applyFont="1" applyBorder="1" applyAlignment="1">
      <alignment horizontal="center"/>
    </xf>
    <xf numFmtId="0" fontId="32" fillId="24" borderId="0" xfId="0" applyFont="1" applyFill="1"/>
    <xf numFmtId="168" fontId="61" fillId="0" borderId="160" xfId="0" applyNumberFormat="1" applyFont="1" applyBorder="1" applyAlignment="1">
      <alignment horizontal="right" vertical="top"/>
    </xf>
    <xf numFmtId="168" fontId="61" fillId="0" borderId="140" xfId="0" applyNumberFormat="1" applyFont="1" applyBorder="1" applyAlignment="1">
      <alignment horizontal="right" vertical="top"/>
    </xf>
    <xf numFmtId="168" fontId="61" fillId="0" borderId="95" xfId="0" applyNumberFormat="1" applyFont="1" applyBorder="1" applyAlignment="1">
      <alignment horizontal="right" vertical="top"/>
    </xf>
    <xf numFmtId="0" fontId="32" fillId="27" borderId="161" xfId="0" applyFont="1" applyFill="1" applyBorder="1"/>
    <xf numFmtId="0" fontId="32" fillId="27" borderId="24" xfId="0" applyFont="1" applyFill="1" applyBorder="1"/>
    <xf numFmtId="0" fontId="32" fillId="27" borderId="25" xfId="0" applyFont="1" applyFill="1" applyBorder="1"/>
    <xf numFmtId="0" fontId="32" fillId="27" borderId="8" xfId="0" applyFont="1" applyFill="1" applyBorder="1" applyAlignment="1">
      <alignment horizontal="right"/>
    </xf>
    <xf numFmtId="2" fontId="63" fillId="0" borderId="2" xfId="0" applyNumberFormat="1" applyFont="1" applyBorder="1" applyAlignment="1">
      <alignment vertical="center"/>
    </xf>
    <xf numFmtId="3" fontId="20" fillId="0" borderId="0" xfId="0" applyNumberFormat="1" applyFont="1"/>
    <xf numFmtId="0" fontId="65" fillId="11" borderId="12" xfId="0" applyFont="1" applyFill="1" applyBorder="1" applyAlignment="1">
      <alignment vertical="center"/>
    </xf>
    <xf numFmtId="0" fontId="32" fillId="10" borderId="113" xfId="0" applyFont="1" applyFill="1" applyBorder="1" applyAlignment="1">
      <alignment horizontal="center" vertical="center"/>
    </xf>
    <xf numFmtId="0" fontId="32" fillId="10" borderId="141" xfId="0" applyFont="1" applyFill="1" applyBorder="1" applyAlignment="1">
      <alignment horizontal="center" vertical="center"/>
    </xf>
    <xf numFmtId="0" fontId="32" fillId="10" borderId="107" xfId="0" applyFont="1" applyFill="1" applyBorder="1" applyAlignment="1">
      <alignment horizontal="center" vertical="center"/>
    </xf>
    <xf numFmtId="0" fontId="65" fillId="10" borderId="12" xfId="0" applyFont="1" applyFill="1" applyBorder="1" applyAlignment="1">
      <alignment vertical="center"/>
    </xf>
    <xf numFmtId="0" fontId="32" fillId="28" borderId="115" xfId="0" quotePrefix="1" applyFont="1" applyFill="1" applyBorder="1" applyAlignment="1">
      <alignment horizontal="right" vertical="top"/>
    </xf>
    <xf numFmtId="0" fontId="32" fillId="28" borderId="114" xfId="0" quotePrefix="1" applyFont="1" applyFill="1" applyBorder="1" applyAlignment="1">
      <alignment horizontal="right" vertical="top"/>
    </xf>
    <xf numFmtId="0" fontId="32" fillId="26" borderId="136" xfId="0" quotePrefix="1" applyFont="1" applyFill="1" applyBorder="1" applyAlignment="1">
      <alignment horizontal="right" vertical="top"/>
    </xf>
    <xf numFmtId="0" fontId="32" fillId="26" borderId="140" xfId="0" quotePrefix="1" applyFont="1" applyFill="1" applyBorder="1" applyAlignment="1">
      <alignment horizontal="right" vertical="top"/>
    </xf>
    <xf numFmtId="0" fontId="32" fillId="28" borderId="136" xfId="0" quotePrefix="1" applyFont="1" applyFill="1" applyBorder="1" applyAlignment="1">
      <alignment horizontal="right" vertical="top"/>
    </xf>
    <xf numFmtId="0" fontId="32" fillId="28" borderId="140" xfId="0" quotePrefix="1" applyFont="1" applyFill="1" applyBorder="1" applyAlignment="1">
      <alignment horizontal="right" vertical="top"/>
    </xf>
    <xf numFmtId="0" fontId="32" fillId="26" borderId="108" xfId="0" quotePrefix="1" applyFont="1" applyFill="1" applyBorder="1" applyAlignment="1">
      <alignment horizontal="right" vertical="top"/>
    </xf>
    <xf numFmtId="0" fontId="66" fillId="26" borderId="111" xfId="0" applyFont="1" applyFill="1" applyBorder="1" applyAlignment="1">
      <alignment vertical="center"/>
    </xf>
    <xf numFmtId="0" fontId="31" fillId="30" borderId="151" xfId="0" applyFont="1" applyFill="1" applyBorder="1" applyAlignment="1">
      <alignment vertical="center"/>
    </xf>
    <xf numFmtId="0" fontId="32" fillId="0" borderId="59" xfId="0" applyFont="1" applyBorder="1" applyAlignment="1">
      <alignment horizontal="right"/>
    </xf>
    <xf numFmtId="0" fontId="32" fillId="0" borderId="143" xfId="0" applyFont="1" applyBorder="1" applyAlignment="1">
      <alignment horizontal="right"/>
    </xf>
    <xf numFmtId="0" fontId="32" fillId="0" borderId="93" xfId="0" applyFont="1" applyBorder="1" applyAlignment="1">
      <alignment horizontal="right"/>
    </xf>
    <xf numFmtId="0" fontId="32" fillId="0" borderId="145" xfId="0" applyFont="1" applyBorder="1" applyAlignment="1">
      <alignment horizontal="right"/>
    </xf>
    <xf numFmtId="1" fontId="32" fillId="32" borderId="136" xfId="0" quotePrefix="1" applyNumberFormat="1" applyFont="1" applyFill="1" applyBorder="1" applyAlignment="1">
      <alignment horizontal="right" vertical="top"/>
    </xf>
    <xf numFmtId="0" fontId="59" fillId="11" borderId="12" xfId="0" applyFont="1" applyFill="1" applyBorder="1" applyAlignment="1">
      <alignment vertical="center"/>
    </xf>
    <xf numFmtId="0" fontId="36" fillId="6" borderId="152" xfId="0" applyFont="1" applyFill="1" applyBorder="1" applyAlignment="1">
      <alignment horizontal="center" vertical="center" wrapText="1"/>
    </xf>
    <xf numFmtId="1" fontId="32" fillId="16" borderId="115" xfId="0" applyNumberFormat="1" applyFont="1" applyFill="1" applyBorder="1" applyAlignment="1">
      <alignment horizontal="right" vertical="center"/>
    </xf>
    <xf numFmtId="1" fontId="32" fillId="16" borderId="136" xfId="0" applyNumberFormat="1" applyFont="1" applyFill="1" applyBorder="1" applyAlignment="1">
      <alignment horizontal="right" vertical="center"/>
    </xf>
    <xf numFmtId="0" fontId="32" fillId="28" borderId="96" xfId="0" quotePrefix="1" applyFont="1" applyFill="1" applyBorder="1" applyAlignment="1">
      <alignment horizontal="right" vertical="top"/>
    </xf>
    <xf numFmtId="0" fontId="32" fillId="28" borderId="95" xfId="0" quotePrefix="1" applyFont="1" applyFill="1" applyBorder="1" applyAlignment="1">
      <alignment horizontal="right" vertical="top"/>
    </xf>
    <xf numFmtId="0" fontId="32" fillId="28" borderId="61" xfId="0" quotePrefix="1" applyFont="1" applyFill="1" applyBorder="1" applyAlignment="1">
      <alignment horizontal="right" vertical="top"/>
    </xf>
    <xf numFmtId="0" fontId="32" fillId="28" borderId="60" xfId="0" quotePrefix="1" applyFont="1" applyFill="1" applyBorder="1" applyAlignment="1">
      <alignment horizontal="right" vertical="top"/>
    </xf>
    <xf numFmtId="3" fontId="31" fillId="30" borderId="151" xfId="0" applyNumberFormat="1" applyFont="1" applyFill="1" applyBorder="1" applyAlignment="1">
      <alignment horizontal="right" vertical="center"/>
    </xf>
    <xf numFmtId="0" fontId="32" fillId="0" borderId="113" xfId="0" applyFont="1" applyBorder="1" applyAlignment="1">
      <alignment horizontal="right"/>
    </xf>
    <xf numFmtId="3" fontId="32" fillId="0" borderId="106" xfId="0" applyNumberFormat="1" applyFont="1" applyBorder="1" applyAlignment="1">
      <alignment horizontal="right"/>
    </xf>
    <xf numFmtId="0" fontId="32" fillId="0" borderId="106" xfId="0" applyFont="1" applyBorder="1" applyAlignment="1">
      <alignment horizontal="right"/>
    </xf>
    <xf numFmtId="0" fontId="32" fillId="11" borderId="59" xfId="0" applyFont="1" applyFill="1" applyBorder="1" applyAlignment="1">
      <alignment vertical="center"/>
    </xf>
    <xf numFmtId="0" fontId="32" fillId="11" borderId="67" xfId="0" applyFont="1" applyFill="1" applyBorder="1" applyAlignment="1">
      <alignment vertical="center"/>
    </xf>
    <xf numFmtId="0" fontId="32" fillId="11" borderId="54" xfId="0" applyFont="1" applyFill="1" applyBorder="1" applyAlignment="1">
      <alignment vertical="center"/>
    </xf>
    <xf numFmtId="1" fontId="32" fillId="16" borderId="96" xfId="0" applyNumberFormat="1" applyFont="1" applyFill="1" applyBorder="1" applyAlignment="1">
      <alignment horizontal="right" vertical="center"/>
    </xf>
    <xf numFmtId="1" fontId="32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4" fillId="25" borderId="162" xfId="0" quotePrefix="1" applyFont="1" applyFill="1" applyBorder="1" applyAlignment="1">
      <alignment horizontal="center"/>
    </xf>
    <xf numFmtId="0" fontId="17" fillId="28" borderId="164" xfId="0" applyFont="1" applyFill="1" applyBorder="1"/>
    <xf numFmtId="0" fontId="17" fillId="26" borderId="164" xfId="0" applyFont="1" applyFill="1" applyBorder="1"/>
    <xf numFmtId="3" fontId="17" fillId="26" borderId="164" xfId="0" applyNumberFormat="1" applyFont="1" applyFill="1" applyBorder="1"/>
    <xf numFmtId="3" fontId="17" fillId="28" borderId="164" xfId="0" applyNumberFormat="1" applyFont="1" applyFill="1" applyBorder="1"/>
    <xf numFmtId="49" fontId="68" fillId="0" borderId="0" xfId="0" applyNumberFormat="1" applyFont="1"/>
    <xf numFmtId="0" fontId="68" fillId="0" borderId="0" xfId="0" applyFont="1"/>
    <xf numFmtId="0" fontId="24" fillId="0" borderId="0" xfId="0" applyFont="1"/>
    <xf numFmtId="0" fontId="24" fillId="0" borderId="0" xfId="0" quotePrefix="1" applyFont="1"/>
    <xf numFmtId="0" fontId="36" fillId="0" borderId="18" xfId="0" applyFont="1" applyBorder="1"/>
    <xf numFmtId="0" fontId="36" fillId="0" borderId="2" xfId="0" applyFont="1" applyBorder="1"/>
    <xf numFmtId="0" fontId="36" fillId="0" borderId="2" xfId="0" quotePrefix="1" applyFont="1" applyBorder="1"/>
    <xf numFmtId="0" fontId="67" fillId="10" borderId="59" xfId="0" applyFont="1" applyFill="1" applyBorder="1" applyAlignment="1">
      <alignment vertical="center"/>
    </xf>
    <xf numFmtId="0" fontId="67" fillId="10" borderId="18" xfId="0" applyFont="1" applyFill="1" applyBorder="1" applyAlignment="1">
      <alignment vertical="center"/>
    </xf>
    <xf numFmtId="0" fontId="67" fillId="10" borderId="143" xfId="0" applyFont="1" applyFill="1" applyBorder="1" applyAlignment="1">
      <alignment vertical="center"/>
    </xf>
    <xf numFmtId="0" fontId="67" fillId="10" borderId="26" xfId="0" applyFont="1" applyFill="1" applyBorder="1" applyAlignment="1">
      <alignment vertical="center"/>
    </xf>
    <xf numFmtId="0" fontId="67" fillId="10" borderId="2" xfId="0" applyFont="1" applyFill="1" applyBorder="1" applyAlignment="1">
      <alignment vertical="center"/>
    </xf>
    <xf numFmtId="0" fontId="67" fillId="10" borderId="144" xfId="0" applyFont="1" applyFill="1" applyBorder="1" applyAlignment="1">
      <alignment vertical="center"/>
    </xf>
    <xf numFmtId="0" fontId="49" fillId="0" borderId="165" xfId="0" applyFont="1" applyBorder="1"/>
    <xf numFmtId="0" fontId="49" fillId="33" borderId="165" xfId="0" applyFont="1" applyFill="1" applyBorder="1"/>
    <xf numFmtId="0" fontId="31" fillId="29" borderId="8" xfId="0" applyFont="1" applyFill="1" applyBorder="1" applyProtection="1">
      <protection locked="0"/>
    </xf>
    <xf numFmtId="38" fontId="31" fillId="29" borderId="8" xfId="0" applyNumberFormat="1" applyFont="1" applyFill="1" applyBorder="1" applyAlignment="1">
      <alignment vertical="center" wrapText="1"/>
    </xf>
    <xf numFmtId="2" fontId="31" fillId="29" borderId="144" xfId="0" applyNumberFormat="1" applyFont="1" applyFill="1" applyBorder="1" applyAlignment="1" applyProtection="1">
      <alignment horizontal="right"/>
      <protection locked="0"/>
    </xf>
    <xf numFmtId="49" fontId="24" fillId="0" borderId="0" xfId="0" applyNumberFormat="1" applyFont="1"/>
    <xf numFmtId="2" fontId="49" fillId="0" borderId="165" xfId="0" applyNumberFormat="1" applyFont="1" applyBorder="1"/>
    <xf numFmtId="2" fontId="49" fillId="33" borderId="165" xfId="0" applyNumberFormat="1" applyFont="1" applyFill="1" applyBorder="1"/>
    <xf numFmtId="0" fontId="0" fillId="0" borderId="0" xfId="0" applyAlignment="1">
      <alignment horizontal="right"/>
    </xf>
    <xf numFmtId="0" fontId="36" fillId="0" borderId="0" xfId="0" applyFont="1" applyAlignment="1">
      <alignment horizontal="right"/>
    </xf>
    <xf numFmtId="170" fontId="21" fillId="6" borderId="2" xfId="0" applyNumberFormat="1" applyFont="1" applyFill="1" applyBorder="1" applyAlignment="1">
      <alignment horizontal="center" vertical="center" wrapText="1"/>
    </xf>
    <xf numFmtId="170" fontId="21" fillId="6" borderId="4" xfId="0" applyNumberFormat="1" applyFont="1" applyFill="1" applyBorder="1" applyAlignment="1">
      <alignment horizontal="center" vertical="center" wrapText="1"/>
    </xf>
    <xf numFmtId="0" fontId="35" fillId="12" borderId="3" xfId="0" applyFont="1" applyFill="1" applyBorder="1" applyAlignment="1">
      <alignment vertical="center"/>
    </xf>
    <xf numFmtId="170" fontId="17" fillId="0" borderId="0" xfId="0" applyNumberFormat="1" applyFont="1"/>
    <xf numFmtId="0" fontId="17" fillId="0" borderId="0" xfId="0" applyFont="1"/>
    <xf numFmtId="3" fontId="17" fillId="0" borderId="0" xfId="0" applyNumberFormat="1" applyFont="1"/>
    <xf numFmtId="0" fontId="17" fillId="28" borderId="118" xfId="0" quotePrefix="1" applyFont="1" applyFill="1" applyBorder="1" applyAlignment="1">
      <alignment horizontal="right" vertical="top"/>
    </xf>
    <xf numFmtId="0" fontId="17" fillId="26" borderId="1" xfId="0" quotePrefix="1" applyFont="1" applyFill="1" applyBorder="1" applyAlignment="1">
      <alignment horizontal="right" vertical="top"/>
    </xf>
    <xf numFmtId="0" fontId="17" fillId="28" borderId="1" xfId="0" quotePrefix="1" applyFont="1" applyFill="1" applyBorder="1" applyAlignment="1">
      <alignment horizontal="right" vertical="top"/>
    </xf>
    <xf numFmtId="0" fontId="17" fillId="28" borderId="14" xfId="0" quotePrefix="1" applyFont="1" applyFill="1" applyBorder="1" applyAlignment="1">
      <alignment horizontal="right" vertical="top"/>
    </xf>
    <xf numFmtId="0" fontId="17" fillId="28" borderId="11" xfId="0" quotePrefix="1" applyFont="1" applyFill="1" applyBorder="1" applyAlignment="1">
      <alignment horizontal="right" vertical="top"/>
    </xf>
    <xf numFmtId="0" fontId="17" fillId="7" borderId="0" xfId="0" applyFont="1" applyFill="1"/>
    <xf numFmtId="0" fontId="17" fillId="0" borderId="59" xfId="0" applyFont="1" applyBorder="1"/>
    <xf numFmtId="0" fontId="17" fillId="0" borderId="93" xfId="0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140" xfId="0" applyNumberFormat="1" applyFont="1" applyBorder="1"/>
    <xf numFmtId="4" fontId="17" fillId="0" borderId="107" xfId="0" applyNumberFormat="1" applyFont="1" applyBorder="1"/>
    <xf numFmtId="0" fontId="17" fillId="14" borderId="0" xfId="0" applyFont="1" applyFill="1"/>
    <xf numFmtId="0" fontId="49" fillId="33" borderId="0" xfId="0" applyFont="1" applyFill="1"/>
    <xf numFmtId="2" fontId="49" fillId="33" borderId="0" xfId="0" applyNumberFormat="1" applyFont="1" applyFill="1"/>
    <xf numFmtId="0" fontId="49" fillId="0" borderId="0" xfId="0" applyFont="1"/>
    <xf numFmtId="2" fontId="49" fillId="0" borderId="0" xfId="0" applyNumberFormat="1" applyFont="1"/>
    <xf numFmtId="0" fontId="39" fillId="2" borderId="7" xfId="0" applyFont="1" applyFill="1" applyBorder="1" applyAlignment="1">
      <alignment horizontal="left" vertical="center" wrapText="1"/>
    </xf>
    <xf numFmtId="2" fontId="49" fillId="33" borderId="59" xfId="0" applyNumberFormat="1" applyFont="1" applyFill="1" applyBorder="1"/>
    <xf numFmtId="2" fontId="49" fillId="33" borderId="18" xfId="0" applyNumberFormat="1" applyFont="1" applyFill="1" applyBorder="1"/>
    <xf numFmtId="0" fontId="49" fillId="33" borderId="18" xfId="0" applyFont="1" applyFill="1" applyBorder="1"/>
    <xf numFmtId="2" fontId="49" fillId="0" borderId="93" xfId="0" applyNumberFormat="1" applyFont="1" applyBorder="1"/>
    <xf numFmtId="2" fontId="49" fillId="33" borderId="93" xfId="0" applyNumberFormat="1" applyFont="1" applyFill="1" applyBorder="1"/>
    <xf numFmtId="2" fontId="49" fillId="0" borderId="2" xfId="0" applyNumberFormat="1" applyFont="1" applyBorder="1"/>
    <xf numFmtId="0" fontId="49" fillId="0" borderId="2" xfId="0" applyFont="1" applyBorder="1"/>
    <xf numFmtId="0" fontId="0" fillId="35" borderId="0" xfId="0" applyFill="1"/>
    <xf numFmtId="0" fontId="39" fillId="35" borderId="0" xfId="0" applyFont="1" applyFill="1"/>
    <xf numFmtId="0" fontId="64" fillId="25" borderId="162" xfId="0" quotePrefix="1" applyFont="1" applyFill="1" applyBorder="1" applyAlignment="1">
      <alignment horizontal="center" wrapText="1"/>
    </xf>
    <xf numFmtId="0" fontId="64" fillId="25" borderId="163" xfId="0" quotePrefix="1" applyFont="1" applyFill="1" applyBorder="1" applyAlignment="1">
      <alignment horizontal="center" wrapText="1"/>
    </xf>
    <xf numFmtId="166" fontId="32" fillId="13" borderId="0" xfId="0" applyNumberFormat="1" applyFont="1" applyFill="1"/>
    <xf numFmtId="0" fontId="16" fillId="28" borderId="164" xfId="0" applyFont="1" applyFill="1" applyBorder="1"/>
    <xf numFmtId="0" fontId="16" fillId="26" borderId="164" xfId="0" applyFont="1" applyFill="1" applyBorder="1"/>
    <xf numFmtId="4" fontId="36" fillId="0" borderId="0" xfId="0" applyNumberFormat="1" applyFont="1"/>
    <xf numFmtId="4" fontId="43" fillId="0" borderId="0" xfId="0" applyNumberFormat="1" applyFont="1"/>
    <xf numFmtId="0" fontId="36" fillId="0" borderId="2" xfId="0" applyFont="1" applyBorder="1" applyProtection="1">
      <protection locked="0"/>
    </xf>
    <xf numFmtId="0" fontId="36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70" fillId="0" borderId="0" xfId="0" applyFont="1"/>
    <xf numFmtId="0" fontId="19" fillId="34" borderId="0" xfId="0" applyFont="1" applyFill="1"/>
    <xf numFmtId="10" fontId="0" fillId="0" borderId="0" xfId="0" applyNumberFormat="1"/>
    <xf numFmtId="3" fontId="17" fillId="16" borderId="118" xfId="0" applyNumberFormat="1" applyFont="1" applyFill="1" applyBorder="1" applyAlignment="1">
      <alignment vertical="center"/>
    </xf>
    <xf numFmtId="3" fontId="32" fillId="16" borderId="114" xfId="0" applyNumberFormat="1" applyFont="1" applyFill="1" applyBorder="1" applyAlignment="1">
      <alignment vertical="center"/>
    </xf>
    <xf numFmtId="3" fontId="17" fillId="32" borderId="1" xfId="0" quotePrefix="1" applyNumberFormat="1" applyFont="1" applyFill="1" applyBorder="1" applyAlignment="1">
      <alignment horizontal="right" vertical="top"/>
    </xf>
    <xf numFmtId="3" fontId="32" fillId="32" borderId="140" xfId="0" quotePrefix="1" applyNumberFormat="1" applyFont="1" applyFill="1" applyBorder="1" applyAlignment="1">
      <alignment horizontal="right" vertical="top"/>
    </xf>
    <xf numFmtId="3" fontId="17" fillId="16" borderId="1" xfId="0" applyNumberFormat="1" applyFont="1" applyFill="1" applyBorder="1" applyAlignment="1">
      <alignment vertical="center"/>
    </xf>
    <xf numFmtId="3" fontId="32" fillId="16" borderId="140" xfId="0" applyNumberFormat="1" applyFont="1" applyFill="1" applyBorder="1" applyAlignment="1">
      <alignment vertical="center"/>
    </xf>
    <xf numFmtId="3" fontId="17" fillId="16" borderId="14" xfId="0" applyNumberFormat="1" applyFont="1" applyFill="1" applyBorder="1" applyAlignment="1">
      <alignment vertical="center"/>
    </xf>
    <xf numFmtId="3" fontId="17" fillId="32" borderId="111" xfId="0" quotePrefix="1" applyNumberFormat="1" applyFont="1" applyFill="1" applyBorder="1" applyAlignment="1">
      <alignment horizontal="right" vertical="top"/>
    </xf>
    <xf numFmtId="3" fontId="31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9" fillId="16" borderId="1" xfId="0" applyNumberFormat="1" applyFont="1" applyFill="1" applyBorder="1" applyAlignment="1">
      <alignment horizontal="left" vertical="center"/>
    </xf>
    <xf numFmtId="3" fontId="59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60" fillId="29" borderId="144" xfId="0" applyNumberFormat="1" applyFont="1" applyFill="1" applyBorder="1"/>
    <xf numFmtId="0" fontId="19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9" fillId="0" borderId="145" xfId="0" applyFont="1" applyBorder="1"/>
    <xf numFmtId="10" fontId="19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60" fillId="29" borderId="2" xfId="0" applyNumberFormat="1" applyFont="1" applyFill="1" applyBorder="1"/>
    <xf numFmtId="0" fontId="0" fillId="0" borderId="144" xfId="0" applyBorder="1"/>
    <xf numFmtId="2" fontId="61" fillId="16" borderId="136" xfId="0" applyNumberFormat="1" applyFont="1" applyFill="1" applyBorder="1" applyAlignment="1">
      <alignment horizontal="left" vertical="center"/>
    </xf>
    <xf numFmtId="2" fontId="61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5" fillId="0" borderId="0" xfId="0" applyFont="1"/>
    <xf numFmtId="3" fontId="59" fillId="16" borderId="15" xfId="0" applyNumberFormat="1" applyFont="1" applyFill="1" applyBorder="1" applyAlignment="1">
      <alignment horizontal="left" vertical="center"/>
    </xf>
    <xf numFmtId="3" fontId="59" fillId="32" borderId="15" xfId="0" quotePrefix="1" applyNumberFormat="1" applyFont="1" applyFill="1" applyBorder="1" applyAlignment="1">
      <alignment horizontal="left" vertical="top"/>
    </xf>
    <xf numFmtId="0" fontId="36" fillId="13" borderId="65" xfId="0" applyFont="1" applyFill="1" applyBorder="1"/>
    <xf numFmtId="1" fontId="39" fillId="18" borderId="106" xfId="0" applyNumberFormat="1" applyFont="1" applyFill="1" applyBorder="1" applyAlignment="1">
      <alignment horizontal="center"/>
    </xf>
    <xf numFmtId="2" fontId="49" fillId="0" borderId="18" xfId="0" applyNumberFormat="1" applyFont="1" applyBorder="1"/>
    <xf numFmtId="0" fontId="49" fillId="0" borderId="18" xfId="0" applyFont="1" applyBorder="1"/>
    <xf numFmtId="0" fontId="65" fillId="5" borderId="0" xfId="0" applyFont="1" applyFill="1" applyAlignment="1">
      <alignment vertical="center"/>
    </xf>
    <xf numFmtId="0" fontId="35" fillId="12" borderId="3" xfId="0" applyFont="1" applyFill="1" applyBorder="1" applyAlignment="1">
      <alignment horizontal="center" vertical="center"/>
    </xf>
    <xf numFmtId="0" fontId="65" fillId="11" borderId="0" xfId="0" applyFont="1" applyFill="1" applyAlignment="1">
      <alignment vertical="center"/>
    </xf>
    <xf numFmtId="0" fontId="46" fillId="0" borderId="0" xfId="0" applyFont="1" applyAlignment="1">
      <alignment horizontal="center"/>
    </xf>
    <xf numFmtId="168" fontId="65" fillId="11" borderId="0" xfId="0" applyNumberFormat="1" applyFont="1" applyFill="1" applyAlignment="1">
      <alignment vertical="center"/>
    </xf>
    <xf numFmtId="168" fontId="65" fillId="5" borderId="0" xfId="0" applyNumberFormat="1" applyFont="1" applyFill="1" applyAlignment="1">
      <alignment vertical="center"/>
    </xf>
    <xf numFmtId="173" fontId="17" fillId="16" borderId="118" xfId="0" applyNumberFormat="1" applyFont="1" applyFill="1" applyBorder="1" applyAlignment="1">
      <alignment vertical="center"/>
    </xf>
    <xf numFmtId="173" fontId="17" fillId="32" borderId="1" xfId="0" quotePrefix="1" applyNumberFormat="1" applyFont="1" applyFill="1" applyBorder="1" applyAlignment="1">
      <alignment horizontal="right" vertical="top"/>
    </xf>
    <xf numFmtId="173" fontId="17" fillId="16" borderId="1" xfId="0" applyNumberFormat="1" applyFont="1" applyFill="1" applyBorder="1" applyAlignment="1">
      <alignment vertical="center"/>
    </xf>
    <xf numFmtId="3" fontId="17" fillId="16" borderId="114" xfId="0" applyNumberFormat="1" applyFont="1" applyFill="1" applyBorder="1" applyAlignment="1">
      <alignment vertical="center"/>
    </xf>
    <xf numFmtId="3" fontId="17" fillId="32" borderId="140" xfId="0" quotePrefix="1" applyNumberFormat="1" applyFont="1" applyFill="1" applyBorder="1" applyAlignment="1">
      <alignment horizontal="right" vertical="top"/>
    </xf>
    <xf numFmtId="3" fontId="17" fillId="16" borderId="140" xfId="0" applyNumberFormat="1" applyFont="1" applyFill="1" applyBorder="1" applyAlignment="1">
      <alignment vertical="center"/>
    </xf>
    <xf numFmtId="1" fontId="32" fillId="16" borderId="61" xfId="0" applyNumberFormat="1" applyFont="1" applyFill="1" applyBorder="1" applyAlignment="1">
      <alignment horizontal="right" vertical="center"/>
    </xf>
    <xf numFmtId="173" fontId="17" fillId="16" borderId="11" xfId="0" applyNumberFormat="1" applyFont="1" applyFill="1" applyBorder="1" applyAlignment="1">
      <alignment vertical="center"/>
    </xf>
    <xf numFmtId="3" fontId="17" fillId="16" borderId="11" xfId="0" applyNumberFormat="1" applyFont="1" applyFill="1" applyBorder="1" applyAlignment="1">
      <alignment vertical="center"/>
    </xf>
    <xf numFmtId="3" fontId="17" fillId="16" borderId="60" xfId="0" applyNumberFormat="1" applyFont="1" applyFill="1" applyBorder="1" applyAlignment="1">
      <alignment vertical="center"/>
    </xf>
    <xf numFmtId="173" fontId="31" fillId="30" borderId="158" xfId="0" applyNumberFormat="1" applyFont="1" applyFill="1" applyBorder="1" applyAlignment="1">
      <alignment vertical="center"/>
    </xf>
    <xf numFmtId="0" fontId="19" fillId="35" borderId="0" xfId="0" applyFont="1" applyFill="1"/>
    <xf numFmtId="0" fontId="32" fillId="15" borderId="0" xfId="0" applyFont="1" applyFill="1"/>
    <xf numFmtId="11" fontId="32" fillId="15" borderId="0" xfId="0" applyNumberFormat="1" applyFont="1" applyFill="1"/>
    <xf numFmtId="167" fontId="31" fillId="29" borderId="0" xfId="0" applyNumberFormat="1" applyFont="1" applyFill="1"/>
    <xf numFmtId="0" fontId="60" fillId="25" borderId="169" xfId="0" applyFont="1" applyFill="1" applyBorder="1" applyAlignment="1">
      <alignment wrapText="1"/>
    </xf>
    <xf numFmtId="168" fontId="31" fillId="29" borderId="0" xfId="0" applyNumberFormat="1" applyFont="1" applyFill="1"/>
    <xf numFmtId="0" fontId="49" fillId="0" borderId="171" xfId="0" applyFont="1" applyBorder="1"/>
    <xf numFmtId="2" fontId="49" fillId="0" borderId="171" xfId="0" applyNumberFormat="1" applyFont="1" applyBorder="1"/>
    <xf numFmtId="0" fontId="14" fillId="0" borderId="0" xfId="0" applyFont="1"/>
    <xf numFmtId="0" fontId="13" fillId="0" borderId="0" xfId="0" applyFont="1"/>
    <xf numFmtId="10" fontId="13" fillId="35" borderId="0" xfId="1" applyNumberFormat="1" applyFont="1" applyFill="1"/>
    <xf numFmtId="168" fontId="39" fillId="35" borderId="0" xfId="0" applyNumberFormat="1" applyFont="1" applyFill="1"/>
    <xf numFmtId="2" fontId="39" fillId="35" borderId="0" xfId="0" applyNumberFormat="1" applyFont="1" applyFill="1"/>
    <xf numFmtId="167" fontId="39" fillId="35" borderId="0" xfId="0" applyNumberFormat="1" applyFont="1" applyFill="1"/>
    <xf numFmtId="1" fontId="39" fillId="35" borderId="0" xfId="0" applyNumberFormat="1" applyFont="1" applyFill="1"/>
    <xf numFmtId="169" fontId="39" fillId="35" borderId="0" xfId="0" applyNumberFormat="1" applyFont="1" applyFill="1"/>
    <xf numFmtId="0" fontId="39" fillId="5" borderId="0" xfId="0" applyFont="1" applyFill="1"/>
    <xf numFmtId="10" fontId="13" fillId="5" borderId="0" xfId="1" applyNumberFormat="1" applyFont="1" applyFill="1"/>
    <xf numFmtId="168" fontId="39" fillId="5" borderId="0" xfId="0" applyNumberFormat="1" applyFont="1" applyFill="1"/>
    <xf numFmtId="2" fontId="39" fillId="0" borderId="0" xfId="0" applyNumberFormat="1" applyFont="1"/>
    <xf numFmtId="0" fontId="13" fillId="5" borderId="0" xfId="0" applyFont="1" applyFill="1"/>
    <xf numFmtId="169" fontId="13" fillId="5" borderId="0" xfId="0" applyNumberFormat="1" applyFont="1" applyFill="1"/>
    <xf numFmtId="169" fontId="39" fillId="0" borderId="0" xfId="0" applyNumberFormat="1" applyFont="1"/>
    <xf numFmtId="0" fontId="13" fillId="34" borderId="0" xfId="0" applyFont="1" applyFill="1"/>
    <xf numFmtId="10" fontId="13" fillId="34" borderId="0" xfId="0" applyNumberFormat="1" applyFont="1" applyFill="1"/>
    <xf numFmtId="168" fontId="13" fillId="34" borderId="0" xfId="0" applyNumberFormat="1" applyFont="1" applyFill="1"/>
    <xf numFmtId="0" fontId="39" fillId="34" borderId="0" xfId="0" applyFont="1" applyFill="1"/>
    <xf numFmtId="0" fontId="13" fillId="35" borderId="0" xfId="0" applyFont="1" applyFill="1"/>
    <xf numFmtId="0" fontId="39" fillId="6" borderId="2" xfId="0" applyFont="1" applyFill="1" applyBorder="1" applyAlignment="1">
      <alignment horizontal="left" vertical="center" wrapText="1"/>
    </xf>
    <xf numFmtId="0" fontId="39" fillId="6" borderId="4" xfId="0" applyFont="1" applyFill="1" applyBorder="1" applyAlignment="1">
      <alignment horizontal="left" vertical="center" wrapText="1"/>
    </xf>
    <xf numFmtId="0" fontId="35" fillId="13" borderId="0" xfId="0" applyFont="1" applyFill="1"/>
    <xf numFmtId="0" fontId="39" fillId="13" borderId="0" xfId="0" applyFont="1" applyFill="1"/>
    <xf numFmtId="2" fontId="36" fillId="0" borderId="26" xfId="0" applyNumberFormat="1" applyFont="1" applyBorder="1" applyProtection="1">
      <protection locked="0"/>
    </xf>
    <xf numFmtId="166" fontId="43" fillId="0" borderId="2" xfId="0" applyNumberFormat="1" applyFont="1" applyBorder="1" applyProtection="1">
      <protection locked="0"/>
    </xf>
    <xf numFmtId="2" fontId="36" fillId="0" borderId="2" xfId="0" applyNumberFormat="1" applyFont="1" applyBorder="1" applyProtection="1">
      <protection locked="0"/>
    </xf>
    <xf numFmtId="166" fontId="36" fillId="0" borderId="2" xfId="0" applyNumberFormat="1" applyFont="1" applyBorder="1" applyProtection="1">
      <protection locked="0"/>
    </xf>
    <xf numFmtId="0" fontId="32" fillId="36" borderId="6" xfId="0" applyFont="1" applyFill="1" applyBorder="1" applyAlignment="1">
      <alignment horizontal="left" vertical="center"/>
    </xf>
    <xf numFmtId="0" fontId="32" fillId="36" borderId="6" xfId="0" applyFont="1" applyFill="1" applyBorder="1" applyAlignment="1" applyProtection="1">
      <alignment horizontal="left" vertical="center"/>
      <protection locked="0"/>
    </xf>
    <xf numFmtId="0" fontId="32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5" fillId="0" borderId="0" xfId="0" applyFont="1" applyAlignment="1">
      <alignment horizontal="left"/>
    </xf>
    <xf numFmtId="170" fontId="75" fillId="0" borderId="0" xfId="0" applyNumberFormat="1" applyFont="1"/>
    <xf numFmtId="170" fontId="0" fillId="0" borderId="0" xfId="0" applyNumberFormat="1"/>
    <xf numFmtId="0" fontId="20" fillId="2" borderId="3" xfId="0" applyFont="1" applyFill="1" applyBorder="1" applyAlignment="1">
      <alignment horizontal="left"/>
    </xf>
    <xf numFmtId="0" fontId="20" fillId="2" borderId="5" xfId="0" applyFont="1" applyFill="1" applyBorder="1" applyAlignment="1">
      <alignment horizontal="left"/>
    </xf>
    <xf numFmtId="0" fontId="20" fillId="2" borderId="3" xfId="0" applyFont="1" applyFill="1" applyBorder="1" applyAlignment="1">
      <alignment horizontal="center"/>
    </xf>
    <xf numFmtId="170" fontId="20" fillId="2" borderId="3" xfId="0" applyNumberFormat="1" applyFont="1" applyFill="1" applyBorder="1" applyAlignment="1">
      <alignment horizontal="left"/>
    </xf>
    <xf numFmtId="0" fontId="76" fillId="37" borderId="4" xfId="4" applyFont="1" applyBorder="1" applyAlignment="1">
      <alignment horizontal="left" wrapText="1"/>
    </xf>
    <xf numFmtId="170" fontId="76" fillId="37" borderId="4" xfId="4" applyNumberFormat="1" applyFont="1" applyBorder="1" applyAlignment="1">
      <alignment horizontal="left" wrapText="1"/>
    </xf>
    <xf numFmtId="0" fontId="76" fillId="37" borderId="4" xfId="4" applyFont="1" applyBorder="1" applyAlignment="1">
      <alignment horizontal="center" wrapText="1"/>
    </xf>
    <xf numFmtId="170" fontId="76" fillId="37" borderId="4" xfId="4" applyNumberFormat="1" applyFont="1" applyBorder="1" applyAlignment="1">
      <alignment horizontal="center" wrapText="1"/>
    </xf>
    <xf numFmtId="170" fontId="19" fillId="0" borderId="0" xfId="0" applyNumberFormat="1" applyFont="1"/>
    <xf numFmtId="0" fontId="59" fillId="0" borderId="0" xfId="0" applyFont="1"/>
    <xf numFmtId="170" fontId="59" fillId="0" borderId="0" xfId="0" applyNumberFormat="1" applyFont="1"/>
    <xf numFmtId="170" fontId="59" fillId="0" borderId="0" xfId="0" applyNumberFormat="1" applyFont="1" applyAlignment="1">
      <alignment wrapText="1"/>
    </xf>
    <xf numFmtId="167" fontId="49" fillId="0" borderId="154" xfId="0" applyNumberFormat="1" applyFont="1" applyBorder="1" applyAlignment="1">
      <alignment horizontal="left"/>
    </xf>
    <xf numFmtId="0" fontId="19" fillId="0" borderId="0" xfId="0" applyFont="1" applyAlignment="1">
      <alignment horizontal="right"/>
    </xf>
    <xf numFmtId="0" fontId="49" fillId="0" borderId="139" xfId="0" applyFont="1" applyBorder="1"/>
    <xf numFmtId="167" fontId="49" fillId="0" borderId="1" xfId="0" applyNumberFormat="1" applyFont="1" applyBorder="1" applyAlignment="1">
      <alignment horizontal="left"/>
    </xf>
    <xf numFmtId="167" fontId="49" fillId="0" borderId="136" xfId="0" applyNumberFormat="1" applyFont="1" applyBorder="1" applyAlignment="1">
      <alignment horizontal="left"/>
    </xf>
    <xf numFmtId="167" fontId="49" fillId="0" borderId="140" xfId="0" applyNumberFormat="1" applyFont="1" applyBorder="1" applyAlignment="1">
      <alignment horizontal="left"/>
    </xf>
    <xf numFmtId="167" fontId="49" fillId="0" borderId="136" xfId="0" applyNumberFormat="1" applyFont="1" applyBorder="1"/>
    <xf numFmtId="167" fontId="17" fillId="0" borderId="0" xfId="0" applyNumberFormat="1" applyFont="1"/>
    <xf numFmtId="2" fontId="73" fillId="35" borderId="0" xfId="0" applyNumberFormat="1" applyFont="1" applyFill="1"/>
    <xf numFmtId="0" fontId="0" fillId="5" borderId="0" xfId="0" applyFill="1"/>
    <xf numFmtId="2" fontId="0" fillId="5" borderId="0" xfId="0" applyNumberFormat="1" applyFill="1"/>
    <xf numFmtId="1" fontId="41" fillId="18" borderId="106" xfId="0" applyNumberFormat="1" applyFont="1" applyFill="1" applyBorder="1" applyAlignment="1">
      <alignment horizontal="center"/>
    </xf>
    <xf numFmtId="0" fontId="11" fillId="0" borderId="0" xfId="0" applyFont="1"/>
    <xf numFmtId="10" fontId="78" fillId="35" borderId="0" xfId="1" applyNumberFormat="1" applyFont="1" applyFill="1"/>
    <xf numFmtId="0" fontId="79" fillId="0" borderId="0" xfId="0" applyFont="1"/>
    <xf numFmtId="0" fontId="80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81" fillId="0" borderId="1" xfId="0" applyFont="1" applyBorder="1" applyAlignment="1">
      <alignment vertical="center"/>
    </xf>
    <xf numFmtId="0" fontId="80" fillId="10" borderId="153" xfId="0" applyFont="1" applyFill="1" applyBorder="1" applyAlignment="1">
      <alignment vertical="center"/>
    </xf>
    <xf numFmtId="0" fontId="19" fillId="0" borderId="1" xfId="0" applyFont="1" applyBorder="1" applyAlignment="1">
      <alignment vertical="center"/>
    </xf>
    <xf numFmtId="17" fontId="79" fillId="0" borderId="1" xfId="0" applyNumberFormat="1" applyFont="1" applyBorder="1"/>
    <xf numFmtId="0" fontId="79" fillId="0" borderId="1" xfId="0" applyFont="1" applyBorder="1"/>
    <xf numFmtId="0" fontId="80" fillId="11" borderId="154" xfId="0" applyFont="1" applyFill="1" applyBorder="1" applyAlignment="1">
      <alignment vertical="center"/>
    </xf>
    <xf numFmtId="15" fontId="79" fillId="0" borderId="1" xfId="0" applyNumberFormat="1" applyFont="1" applyBorder="1"/>
    <xf numFmtId="165" fontId="19" fillId="12" borderId="154" xfId="0" applyNumberFormat="1" applyFont="1" applyFill="1" applyBorder="1" applyAlignment="1">
      <alignment vertical="center"/>
    </xf>
    <xf numFmtId="0" fontId="82" fillId="24" borderId="154" xfId="0" applyFont="1" applyFill="1" applyBorder="1" applyAlignment="1">
      <alignment vertical="center"/>
    </xf>
    <xf numFmtId="0" fontId="79" fillId="31" borderId="142" xfId="0" applyFont="1" applyFill="1" applyBorder="1"/>
    <xf numFmtId="0" fontId="83" fillId="0" borderId="14" xfId="0" applyFont="1" applyBorder="1"/>
    <xf numFmtId="0" fontId="79" fillId="0" borderId="149" xfId="0" quotePrefix="1" applyFont="1" applyBorder="1"/>
    <xf numFmtId="0" fontId="83" fillId="0" borderId="13" xfId="0" applyFont="1" applyBorder="1"/>
    <xf numFmtId="0" fontId="79" fillId="0" borderId="17" xfId="0" applyFont="1" applyBorder="1"/>
    <xf numFmtId="0" fontId="83" fillId="0" borderId="148" xfId="0" applyFont="1" applyBorder="1"/>
    <xf numFmtId="0" fontId="79" fillId="0" borderId="147" xfId="0" applyFont="1" applyBorder="1" applyAlignment="1">
      <alignment horizontal="left"/>
    </xf>
    <xf numFmtId="0" fontId="81" fillId="0" borderId="14" xfId="0" applyFont="1" applyBorder="1" applyAlignment="1">
      <alignment vertical="center"/>
    </xf>
    <xf numFmtId="0" fontId="81" fillId="0" borderId="149" xfId="0" applyFont="1" applyBorder="1" applyAlignment="1">
      <alignment vertical="center"/>
    </xf>
    <xf numFmtId="0" fontId="83" fillId="0" borderId="0" xfId="0" applyFont="1"/>
    <xf numFmtId="0" fontId="81" fillId="0" borderId="108" xfId="0" applyFont="1" applyBorder="1" applyAlignment="1">
      <alignment vertical="center"/>
    </xf>
    <xf numFmtId="0" fontId="81" fillId="0" borderId="111" xfId="0" applyFont="1" applyBorder="1" applyAlignment="1">
      <alignment vertical="center"/>
    </xf>
    <xf numFmtId="0" fontId="81" fillId="0" borderId="107" xfId="0" applyFont="1" applyBorder="1" applyAlignment="1">
      <alignment vertical="center"/>
    </xf>
    <xf numFmtId="0" fontId="19" fillId="0" borderId="115" xfId="0" applyFont="1" applyBorder="1" applyAlignment="1">
      <alignment vertical="center"/>
    </xf>
    <xf numFmtId="0" fontId="19" fillId="0" borderId="118" xfId="0" applyFont="1" applyBorder="1" applyAlignment="1">
      <alignment vertical="center"/>
    </xf>
    <xf numFmtId="17" fontId="79" fillId="0" borderId="118" xfId="0" applyNumberFormat="1" applyFont="1" applyBorder="1"/>
    <xf numFmtId="0" fontId="79" fillId="0" borderId="114" xfId="0" applyFont="1" applyBorder="1"/>
    <xf numFmtId="0" fontId="19" fillId="0" borderId="136" xfId="0" applyFont="1" applyBorder="1" applyAlignment="1">
      <alignment vertical="center"/>
    </xf>
    <xf numFmtId="0" fontId="79" fillId="0" borderId="140" xfId="0" applyFont="1" applyBorder="1"/>
    <xf numFmtId="0" fontId="19" fillId="0" borderId="61" xfId="0" applyFont="1" applyBorder="1" applyAlignment="1">
      <alignment vertical="center"/>
    </xf>
    <xf numFmtId="0" fontId="19" fillId="0" borderId="11" xfId="0" applyFont="1" applyBorder="1" applyAlignment="1">
      <alignment vertical="center"/>
    </xf>
    <xf numFmtId="17" fontId="79" fillId="0" borderId="11" xfId="0" applyNumberFormat="1" applyFont="1" applyBorder="1"/>
    <xf numFmtId="0" fontId="79" fillId="0" borderId="60" xfId="0" applyFont="1" applyBorder="1"/>
    <xf numFmtId="17" fontId="79" fillId="0" borderId="0" xfId="0" applyNumberFormat="1" applyFont="1" applyAlignment="1">
      <alignment horizontal="right"/>
    </xf>
    <xf numFmtId="0" fontId="81" fillId="0" borderId="55" xfId="0" applyFont="1" applyBorder="1" applyAlignment="1">
      <alignment vertical="center"/>
    </xf>
    <xf numFmtId="0" fontId="81" fillId="0" borderId="58" xfId="0" applyFont="1" applyBorder="1" applyAlignment="1">
      <alignment vertical="center"/>
    </xf>
    <xf numFmtId="0" fontId="81" fillId="0" borderId="56" xfId="0" applyFont="1" applyBorder="1" applyAlignment="1">
      <alignment vertical="center"/>
    </xf>
    <xf numFmtId="0" fontId="81" fillId="0" borderId="54" xfId="0" applyFont="1" applyBorder="1" applyAlignment="1">
      <alignment vertical="center"/>
    </xf>
    <xf numFmtId="0" fontId="83" fillId="0" borderId="1" xfId="0" applyFont="1" applyBorder="1"/>
    <xf numFmtId="0" fontId="79" fillId="0" borderId="1" xfId="0" quotePrefix="1" applyFont="1" applyBorder="1"/>
    <xf numFmtId="0" fontId="79" fillId="0" borderId="1" xfId="0" applyFont="1" applyBorder="1" applyAlignment="1">
      <alignment horizontal="right"/>
    </xf>
    <xf numFmtId="17" fontId="79" fillId="0" borderId="1" xfId="0" applyNumberFormat="1" applyFont="1" applyBorder="1" applyAlignment="1">
      <alignment horizontal="right"/>
    </xf>
    <xf numFmtId="0" fontId="58" fillId="0" borderId="1" xfId="3" applyBorder="1" applyAlignment="1">
      <alignment horizontal="left"/>
    </xf>
    <xf numFmtId="0" fontId="83" fillId="0" borderId="136" xfId="0" applyFont="1" applyBorder="1"/>
    <xf numFmtId="0" fontId="79" fillId="0" borderId="140" xfId="0" applyFont="1" applyBorder="1" applyAlignment="1">
      <alignment horizontal="right"/>
    </xf>
    <xf numFmtId="0" fontId="79" fillId="0" borderId="0" xfId="0" applyFont="1" applyAlignment="1">
      <alignment horizontal="right"/>
    </xf>
    <xf numFmtId="0" fontId="79" fillId="0" borderId="0" xfId="0" applyFont="1" applyAlignment="1">
      <alignment horizontal="left"/>
    </xf>
    <xf numFmtId="17" fontId="79" fillId="0" borderId="1" xfId="0" quotePrefix="1" applyNumberFormat="1" applyFont="1" applyBorder="1"/>
    <xf numFmtId="0" fontId="59" fillId="0" borderId="166" xfId="0" applyFont="1" applyBorder="1" applyAlignment="1">
      <alignment vertical="center"/>
    </xf>
    <xf numFmtId="0" fontId="59" fillId="0" borderId="167" xfId="0" applyFont="1" applyBorder="1" applyAlignment="1">
      <alignment vertical="center"/>
    </xf>
    <xf numFmtId="0" fontId="59" fillId="0" borderId="168" xfId="0" applyFont="1" applyBorder="1" applyAlignment="1">
      <alignment vertical="center"/>
    </xf>
    <xf numFmtId="170" fontId="33" fillId="9" borderId="0" xfId="2" applyNumberFormat="1" applyAlignment="1">
      <alignment vertical="center"/>
    </xf>
    <xf numFmtId="0" fontId="10" fillId="34" borderId="0" xfId="0" applyFont="1" applyFill="1"/>
    <xf numFmtId="170" fontId="17" fillId="14" borderId="0" xfId="0" applyNumberFormat="1" applyFont="1" applyFill="1"/>
    <xf numFmtId="0" fontId="86" fillId="0" borderId="0" xfId="0" applyFont="1"/>
    <xf numFmtId="0" fontId="37" fillId="0" borderId="0" xfId="0" applyFont="1"/>
    <xf numFmtId="0" fontId="33" fillId="9" borderId="0" xfId="2"/>
    <xf numFmtId="170" fontId="33" fillId="9" borderId="0" xfId="2" applyNumberFormat="1" applyBorder="1" applyAlignment="1" applyProtection="1"/>
    <xf numFmtId="2" fontId="59" fillId="5" borderId="0" xfId="0" applyNumberFormat="1" applyFont="1" applyFill="1"/>
    <xf numFmtId="166" fontId="13" fillId="5" borderId="0" xfId="0" applyNumberFormat="1" applyFont="1" applyFill="1"/>
    <xf numFmtId="166" fontId="39" fillId="35" borderId="0" xfId="0" applyNumberFormat="1" applyFont="1" applyFill="1"/>
    <xf numFmtId="169" fontId="17" fillId="0" borderId="0" xfId="0" applyNumberFormat="1" applyFont="1"/>
    <xf numFmtId="2" fontId="49" fillId="40" borderId="0" xfId="0" applyNumberFormat="1" applyFont="1" applyFill="1" applyAlignment="1">
      <alignment horizontal="left"/>
    </xf>
    <xf numFmtId="2" fontId="36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6" fillId="0" borderId="2" xfId="0" applyNumberFormat="1" applyFont="1" applyBorder="1" applyProtection="1">
      <protection locked="0"/>
    </xf>
    <xf numFmtId="167" fontId="36" fillId="0" borderId="2" xfId="0" applyNumberFormat="1" applyFont="1" applyBorder="1" applyProtection="1">
      <protection locked="0"/>
    </xf>
    <xf numFmtId="0" fontId="9" fillId="0" borderId="0" xfId="0" applyFont="1"/>
    <xf numFmtId="38" fontId="26" fillId="0" borderId="0" xfId="0" applyNumberFormat="1" applyFont="1" applyAlignment="1">
      <alignment horizontal="left" wrapText="1"/>
    </xf>
    <xf numFmtId="38" fontId="27" fillId="0" borderId="20" xfId="0" applyNumberFormat="1" applyFont="1" applyBorder="1" applyAlignment="1">
      <alignment horizontal="center" wrapText="1"/>
    </xf>
    <xf numFmtId="38" fontId="27" fillId="0" borderId="26" xfId="0" applyNumberFormat="1" applyFont="1" applyBorder="1" applyAlignment="1">
      <alignment horizontal="center" textRotation="90" wrapText="1"/>
    </xf>
    <xf numFmtId="38" fontId="25" fillId="0" borderId="27" xfId="0" applyNumberFormat="1" applyFont="1" applyBorder="1" applyAlignment="1">
      <alignment horizontal="left"/>
    </xf>
    <xf numFmtId="38" fontId="25" fillId="0" borderId="37" xfId="0" applyNumberFormat="1" applyFont="1" applyBorder="1" applyAlignment="1">
      <alignment horizontal="left"/>
    </xf>
    <xf numFmtId="38" fontId="25" fillId="0" borderId="46" xfId="0" applyNumberFormat="1" applyFont="1" applyBorder="1" applyAlignment="1">
      <alignment horizontal="left"/>
    </xf>
    <xf numFmtId="38" fontId="27" fillId="0" borderId="18" xfId="0" applyNumberFormat="1" applyFont="1" applyBorder="1" applyAlignment="1">
      <alignment horizontal="left"/>
    </xf>
    <xf numFmtId="38" fontId="27" fillId="0" borderId="4" xfId="0" applyNumberFormat="1" applyFont="1" applyBorder="1" applyAlignment="1">
      <alignment horizontal="left"/>
    </xf>
    <xf numFmtId="38" fontId="25" fillId="0" borderId="69" xfId="0" applyNumberFormat="1" applyFont="1" applyBorder="1" applyAlignment="1">
      <alignment horizontal="left"/>
    </xf>
    <xf numFmtId="38" fontId="25" fillId="0" borderId="79" xfId="0" applyNumberFormat="1" applyFont="1" applyBorder="1" applyAlignment="1">
      <alignment horizontal="left"/>
    </xf>
    <xf numFmtId="38" fontId="27" fillId="0" borderId="0" xfId="0" applyNumberFormat="1" applyFont="1" applyAlignment="1">
      <alignment horizontal="left"/>
    </xf>
    <xf numFmtId="38" fontId="27" fillId="0" borderId="3" xfId="0" applyNumberFormat="1" applyFont="1" applyBorder="1" applyAlignment="1">
      <alignment horizontal="left"/>
    </xf>
    <xf numFmtId="38" fontId="27" fillId="0" borderId="106" xfId="0" applyNumberFormat="1" applyFont="1" applyBorder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21" xfId="0" applyNumberFormat="1" applyFont="1" applyBorder="1" applyAlignment="1">
      <alignment horizontal="left" vertical="top" wrapText="1"/>
    </xf>
    <xf numFmtId="38" fontId="25" fillId="0" borderId="37" xfId="0" applyNumberFormat="1" applyFont="1" applyBorder="1" applyAlignment="1">
      <alignment horizontal="left" vertical="top" wrapText="1"/>
    </xf>
    <xf numFmtId="38" fontId="25" fillId="0" borderId="79" xfId="0" applyNumberFormat="1" applyFont="1" applyBorder="1" applyAlignment="1">
      <alignment horizontal="left" vertical="top" wrapText="1"/>
    </xf>
    <xf numFmtId="38" fontId="25" fillId="0" borderId="69" xfId="0" applyNumberFormat="1" applyFont="1" applyBorder="1" applyAlignment="1">
      <alignment horizontal="left" vertical="top" wrapText="1"/>
    </xf>
    <xf numFmtId="38" fontId="27" fillId="0" borderId="5" xfId="0" applyNumberFormat="1" applyFont="1" applyBorder="1" applyAlignment="1">
      <alignment horizontal="left"/>
    </xf>
    <xf numFmtId="38" fontId="88" fillId="0" borderId="37" xfId="0" applyNumberFormat="1" applyFont="1" applyBorder="1" applyAlignment="1">
      <alignment horizontal="left"/>
    </xf>
    <xf numFmtId="38" fontId="88" fillId="0" borderId="79" xfId="0" applyNumberFormat="1" applyFont="1" applyBorder="1" applyAlignment="1">
      <alignment horizontal="left"/>
    </xf>
    <xf numFmtId="38" fontId="88" fillId="0" borderId="69" xfId="0" applyNumberFormat="1" applyFont="1" applyBorder="1" applyAlignment="1">
      <alignment horizontal="left"/>
    </xf>
    <xf numFmtId="38" fontId="88" fillId="0" borderId="121" xfId="0" applyNumberFormat="1" applyFont="1" applyBorder="1" applyAlignment="1">
      <alignment horizontal="left"/>
    </xf>
    <xf numFmtId="164" fontId="27" fillId="0" borderId="98" xfId="5" applyFont="1" applyFill="1" applyBorder="1" applyAlignment="1">
      <alignment horizontal="center"/>
    </xf>
    <xf numFmtId="171" fontId="27" fillId="0" borderId="0" xfId="0" applyNumberFormat="1" applyFont="1" applyAlignment="1">
      <alignment horizontal="left"/>
    </xf>
    <xf numFmtId="171" fontId="27" fillId="8" borderId="0" xfId="0" applyNumberFormat="1" applyFont="1" applyFill="1" applyAlignment="1">
      <alignment horizontal="left"/>
    </xf>
    <xf numFmtId="38" fontId="27" fillId="8" borderId="0" xfId="0" applyNumberFormat="1" applyFont="1" applyFill="1"/>
    <xf numFmtId="38" fontId="27" fillId="24" borderId="161" xfId="0" applyNumberFormat="1" applyFont="1" applyFill="1" applyBorder="1" applyAlignment="1">
      <alignment horizontal="center" textRotation="90" wrapText="1"/>
    </xf>
    <xf numFmtId="38" fontId="27" fillId="24" borderId="24" xfId="0" applyNumberFormat="1" applyFont="1" applyFill="1" applyBorder="1" applyAlignment="1">
      <alignment horizontal="center" textRotation="90" wrapText="1"/>
    </xf>
    <xf numFmtId="38" fontId="27" fillId="24" borderId="2" xfId="0" applyNumberFormat="1" applyFont="1" applyFill="1" applyBorder="1" applyAlignment="1">
      <alignment horizontal="center" textRotation="90" wrapText="1"/>
    </xf>
    <xf numFmtId="38" fontId="27" fillId="20" borderId="21" xfId="0" applyNumberFormat="1" applyFont="1" applyFill="1" applyBorder="1" applyAlignment="1">
      <alignment horizontal="center" textRotation="90" wrapText="1"/>
    </xf>
    <xf numFmtId="38" fontId="27" fillId="20" borderId="22" xfId="0" applyNumberFormat="1" applyFont="1" applyFill="1" applyBorder="1" applyAlignment="1">
      <alignment horizontal="center" textRotation="90" wrapText="1"/>
    </xf>
    <xf numFmtId="38" fontId="27" fillId="20" borderId="23" xfId="0" applyNumberFormat="1" applyFont="1" applyFill="1" applyBorder="1" applyAlignment="1">
      <alignment horizontal="center" textRotation="90" wrapText="1"/>
    </xf>
    <xf numFmtId="38" fontId="27" fillId="20" borderId="25" xfId="0" applyNumberFormat="1" applyFont="1" applyFill="1" applyBorder="1" applyAlignment="1">
      <alignment horizontal="center" textRotation="90" wrapText="1"/>
    </xf>
    <xf numFmtId="169" fontId="18" fillId="0" borderId="0" xfId="0" applyNumberFormat="1" applyFont="1"/>
    <xf numFmtId="0" fontId="8" fillId="0" borderId="0" xfId="0" applyFont="1"/>
    <xf numFmtId="168" fontId="39" fillId="0" borderId="0" xfId="0" applyNumberFormat="1" applyFont="1"/>
    <xf numFmtId="1" fontId="39" fillId="0" borderId="0" xfId="0" applyNumberFormat="1" applyFont="1"/>
    <xf numFmtId="2" fontId="13" fillId="34" borderId="0" xfId="0" applyNumberFormat="1" applyFont="1" applyFill="1"/>
    <xf numFmtId="1" fontId="13" fillId="34" borderId="0" xfId="0" applyNumberFormat="1" applyFont="1" applyFill="1"/>
    <xf numFmtId="168" fontId="17" fillId="0" borderId="0" xfId="1" applyNumberFormat="1" applyFont="1"/>
    <xf numFmtId="2" fontId="13" fillId="5" borderId="0" xfId="0" applyNumberFormat="1" applyFont="1" applyFill="1"/>
    <xf numFmtId="2" fontId="18" fillId="0" borderId="0" xfId="0" applyNumberFormat="1" applyFont="1"/>
    <xf numFmtId="9" fontId="39" fillId="35" borderId="0" xfId="1" applyFont="1" applyFill="1"/>
    <xf numFmtId="9" fontId="73" fillId="0" borderId="0" xfId="1" applyFont="1"/>
    <xf numFmtId="9" fontId="39" fillId="0" borderId="0" xfId="1" applyFont="1"/>
    <xf numFmtId="9" fontId="73" fillId="35" borderId="0" xfId="1" applyFont="1" applyFill="1"/>
    <xf numFmtId="9" fontId="13" fillId="34" borderId="0" xfId="1" applyFont="1" applyFill="1" applyBorder="1"/>
    <xf numFmtId="9" fontId="18" fillId="0" borderId="0" xfId="1" applyFont="1"/>
    <xf numFmtId="2" fontId="39" fillId="5" borderId="0" xfId="0" applyNumberFormat="1" applyFont="1" applyFill="1"/>
    <xf numFmtId="9" fontId="39" fillId="5" borderId="0" xfId="1" applyFont="1" applyFill="1"/>
    <xf numFmtId="0" fontId="8" fillId="5" borderId="0" xfId="0" applyFont="1" applyFill="1"/>
    <xf numFmtId="168" fontId="8" fillId="5" borderId="0" xfId="0" applyNumberFormat="1" applyFont="1" applyFill="1"/>
    <xf numFmtId="169" fontId="8" fillId="5" borderId="0" xfId="0" applyNumberFormat="1" applyFont="1" applyFill="1"/>
    <xf numFmtId="4" fontId="39" fillId="5" borderId="0" xfId="0" applyNumberFormat="1" applyFont="1" applyFill="1" applyAlignment="1">
      <alignment horizontal="right"/>
    </xf>
    <xf numFmtId="4" fontId="39" fillId="35" borderId="0" xfId="0" applyNumberFormat="1" applyFont="1" applyFill="1" applyAlignment="1">
      <alignment horizontal="right"/>
    </xf>
    <xf numFmtId="0" fontId="39" fillId="35" borderId="0" xfId="0" applyFont="1" applyFill="1" applyAlignment="1">
      <alignment horizontal="right"/>
    </xf>
    <xf numFmtId="168" fontId="39" fillId="35" borderId="0" xfId="0" applyNumberFormat="1" applyFont="1" applyFill="1" applyAlignment="1">
      <alignment horizontal="right"/>
    </xf>
    <xf numFmtId="174" fontId="39" fillId="35" borderId="0" xfId="0" applyNumberFormat="1" applyFont="1" applyFill="1" applyAlignment="1">
      <alignment horizontal="right"/>
    </xf>
    <xf numFmtId="3" fontId="39" fillId="35" borderId="0" xfId="0" applyNumberFormat="1" applyFont="1" applyFill="1" applyAlignment="1">
      <alignment horizontal="right"/>
    </xf>
    <xf numFmtId="173" fontId="39" fillId="35" borderId="0" xfId="0" applyNumberFormat="1" applyFont="1" applyFill="1" applyAlignment="1">
      <alignment horizontal="right"/>
    </xf>
    <xf numFmtId="2" fontId="39" fillId="5" borderId="0" xfId="0" applyNumberFormat="1" applyFont="1" applyFill="1" applyAlignment="1">
      <alignment horizontal="right"/>
    </xf>
    <xf numFmtId="0" fontId="39" fillId="5" borderId="0" xfId="0" applyFont="1" applyFill="1" applyAlignment="1">
      <alignment horizontal="right"/>
    </xf>
    <xf numFmtId="174" fontId="39" fillId="5" borderId="0" xfId="0" applyNumberFormat="1" applyFont="1" applyFill="1" applyAlignment="1">
      <alignment horizontal="right"/>
    </xf>
    <xf numFmtId="173" fontId="39" fillId="5" borderId="0" xfId="0" applyNumberFormat="1" applyFont="1" applyFill="1" applyAlignment="1">
      <alignment horizontal="right"/>
    </xf>
    <xf numFmtId="0" fontId="39" fillId="0" borderId="0" xfId="0" applyFont="1" applyAlignment="1">
      <alignment horizontal="center"/>
    </xf>
    <xf numFmtId="2" fontId="39" fillId="35" borderId="0" xfId="0" applyNumberFormat="1" applyFont="1" applyFill="1" applyAlignment="1">
      <alignment horizontal="right"/>
    </xf>
    <xf numFmtId="2" fontId="69" fillId="29" borderId="146" xfId="0" applyNumberFormat="1" applyFont="1" applyFill="1" applyBorder="1" applyProtection="1">
      <protection locked="0"/>
    </xf>
    <xf numFmtId="2" fontId="69" fillId="29" borderId="106" xfId="0" applyNumberFormat="1" applyFont="1" applyFill="1" applyBorder="1" applyProtection="1">
      <protection locked="0"/>
    </xf>
    <xf numFmtId="10" fontId="13" fillId="5" borderId="0" xfId="1" applyNumberFormat="1" applyFont="1" applyFill="1" applyBorder="1"/>
    <xf numFmtId="0" fontId="36" fillId="0" borderId="0" xfId="0" applyFont="1" applyAlignment="1">
      <alignment wrapText="1"/>
    </xf>
    <xf numFmtId="0" fontId="74" fillId="27" borderId="108" xfId="0" applyFont="1" applyFill="1" applyBorder="1"/>
    <xf numFmtId="0" fontId="74" fillId="27" borderId="111" xfId="0" applyFont="1" applyFill="1" applyBorder="1"/>
    <xf numFmtId="0" fontId="74" fillId="27" borderId="187" xfId="0" applyFont="1" applyFill="1" applyBorder="1"/>
    <xf numFmtId="0" fontId="74" fillId="28" borderId="115" xfId="0" quotePrefix="1" applyFont="1" applyFill="1" applyBorder="1" applyAlignment="1">
      <alignment horizontal="right" vertical="top"/>
    </xf>
    <xf numFmtId="9" fontId="49" fillId="28" borderId="118" xfId="1" quotePrefix="1" applyFont="1" applyFill="1" applyBorder="1" applyAlignment="1">
      <alignment horizontal="right" vertical="top"/>
    </xf>
    <xf numFmtId="9" fontId="74" fillId="28" borderId="115" xfId="1" quotePrefix="1" applyFont="1" applyFill="1" applyBorder="1" applyAlignment="1">
      <alignment horizontal="right" vertical="top"/>
    </xf>
    <xf numFmtId="0" fontId="74" fillId="26" borderId="136" xfId="0" quotePrefix="1" applyFont="1" applyFill="1" applyBorder="1" applyAlignment="1">
      <alignment horizontal="right" vertical="top"/>
    </xf>
    <xf numFmtId="9" fontId="49" fillId="26" borderId="1" xfId="1" quotePrefix="1" applyFont="1" applyFill="1" applyBorder="1" applyAlignment="1">
      <alignment horizontal="right" vertical="top"/>
    </xf>
    <xf numFmtId="9" fontId="74" fillId="26" borderId="136" xfId="1" quotePrefix="1" applyFont="1" applyFill="1" applyBorder="1" applyAlignment="1">
      <alignment horizontal="right" vertical="top"/>
    </xf>
    <xf numFmtId="0" fontId="74" fillId="28" borderId="136" xfId="0" quotePrefix="1" applyFont="1" applyFill="1" applyBorder="1" applyAlignment="1">
      <alignment horizontal="right" vertical="top"/>
    </xf>
    <xf numFmtId="9" fontId="49" fillId="28" borderId="1" xfId="1" quotePrefix="1" applyFont="1" applyFill="1" applyBorder="1" applyAlignment="1">
      <alignment horizontal="right" vertical="top"/>
    </xf>
    <xf numFmtId="9" fontId="74" fillId="28" borderId="136" xfId="1" quotePrefix="1" applyFont="1" applyFill="1" applyBorder="1" applyAlignment="1">
      <alignment horizontal="right" vertical="top"/>
    </xf>
    <xf numFmtId="175" fontId="49" fillId="28" borderId="118" xfId="5" quotePrefix="1" applyNumberFormat="1" applyFont="1" applyFill="1" applyBorder="1" applyAlignment="1">
      <alignment horizontal="right" vertical="top"/>
    </xf>
    <xf numFmtId="175" fontId="49" fillId="26" borderId="1" xfId="5" quotePrefix="1" applyNumberFormat="1" applyFont="1" applyFill="1" applyBorder="1" applyAlignment="1">
      <alignment horizontal="right" vertical="top"/>
    </xf>
    <xf numFmtId="175" fontId="49" fillId="28" borderId="1" xfId="5" quotePrefix="1" applyNumberFormat="1" applyFont="1" applyFill="1" applyBorder="1" applyAlignment="1">
      <alignment horizontal="right" vertical="top"/>
    </xf>
    <xf numFmtId="168" fontId="18" fillId="7" borderId="0" xfId="0" applyNumberFormat="1" applyFont="1" applyFill="1"/>
    <xf numFmtId="0" fontId="36" fillId="6" borderId="3" xfId="0" applyFont="1" applyFill="1" applyBorder="1" applyAlignment="1">
      <alignment horizontal="left" vertical="center" wrapText="1"/>
    </xf>
    <xf numFmtId="0" fontId="36" fillId="6" borderId="3" xfId="0" quotePrefix="1" applyFont="1" applyFill="1" applyBorder="1" applyAlignment="1">
      <alignment horizontal="center" vertical="center" wrapText="1"/>
    </xf>
    <xf numFmtId="0" fontId="36" fillId="6" borderId="3" xfId="0" applyFont="1" applyFill="1" applyBorder="1" applyAlignment="1">
      <alignment horizontal="center" vertical="center" wrapText="1"/>
    </xf>
    <xf numFmtId="0" fontId="19" fillId="35" borderId="18" xfId="0" applyFont="1" applyFill="1" applyBorder="1"/>
    <xf numFmtId="0" fontId="0" fillId="35" borderId="18" xfId="0" applyFill="1" applyBorder="1"/>
    <xf numFmtId="0" fontId="39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9" fillId="35" borderId="2" xfId="0" applyFont="1" applyFill="1" applyBorder="1"/>
    <xf numFmtId="168" fontId="0" fillId="35" borderId="2" xfId="0" applyNumberFormat="1" applyFill="1" applyBorder="1"/>
    <xf numFmtId="2" fontId="43" fillId="0" borderId="0" xfId="0" applyNumberFormat="1" applyFont="1" applyProtection="1">
      <protection locked="0"/>
    </xf>
    <xf numFmtId="2" fontId="36" fillId="0" borderId="0" xfId="0" applyNumberFormat="1" applyFont="1"/>
    <xf numFmtId="165" fontId="20" fillId="39" borderId="1" xfId="0" applyNumberFormat="1" applyFont="1" applyFill="1" applyBorder="1" applyAlignment="1">
      <alignment vertical="center"/>
    </xf>
    <xf numFmtId="0" fontId="91" fillId="11" borderId="154" xfId="0" applyFont="1" applyFill="1" applyBorder="1" applyAlignment="1">
      <alignment vertical="center"/>
    </xf>
    <xf numFmtId="166" fontId="91" fillId="11" borderId="154" xfId="1" applyNumberFormat="1" applyFont="1" applyFill="1" applyBorder="1" applyAlignment="1">
      <alignment vertical="center"/>
    </xf>
    <xf numFmtId="0" fontId="36" fillId="11" borderId="151" xfId="0" applyFont="1" applyFill="1" applyBorder="1" applyAlignment="1" applyProtection="1">
      <alignment horizontal="left" vertical="center" wrapText="1"/>
      <protection locked="0"/>
    </xf>
    <xf numFmtId="0" fontId="43" fillId="11" borderId="113" xfId="0" applyFont="1" applyFill="1" applyBorder="1" applyAlignment="1" applyProtection="1">
      <alignment horizontal="center"/>
      <protection locked="0"/>
    </xf>
    <xf numFmtId="0" fontId="43" fillId="11" borderId="106" xfId="0" applyFont="1" applyFill="1" applyBorder="1" applyAlignment="1" applyProtection="1">
      <alignment horizontal="center"/>
      <protection locked="0"/>
    </xf>
    <xf numFmtId="0" fontId="43" fillId="11" borderId="146" xfId="0" applyFont="1" applyFill="1" applyBorder="1" applyAlignment="1" applyProtection="1">
      <alignment horizontal="center"/>
      <protection locked="0"/>
    </xf>
    <xf numFmtId="0" fontId="36" fillId="11" borderId="170" xfId="0" applyFont="1" applyFill="1" applyBorder="1" applyAlignment="1" applyProtection="1">
      <alignment horizontal="left" vertical="center" wrapText="1"/>
      <protection locked="0"/>
    </xf>
    <xf numFmtId="167" fontId="36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9" fillId="34" borderId="139" xfId="0" applyFont="1" applyFill="1" applyBorder="1"/>
    <xf numFmtId="0" fontId="36" fillId="34" borderId="170" xfId="0" applyFont="1" applyFill="1" applyBorder="1" applyAlignment="1" applyProtection="1">
      <alignment horizontal="left" vertical="center" wrapText="1"/>
      <protection locked="0"/>
    </xf>
    <xf numFmtId="165" fontId="36" fillId="12" borderId="154" xfId="0" applyNumberFormat="1" applyFont="1" applyFill="1" applyBorder="1" applyAlignment="1">
      <alignment vertical="center"/>
    </xf>
    <xf numFmtId="0" fontId="36" fillId="0" borderId="170" xfId="0" applyFont="1" applyBorder="1" applyAlignment="1" applyProtection="1">
      <alignment horizontal="left" vertical="center" wrapText="1"/>
      <protection locked="0"/>
    </xf>
    <xf numFmtId="0" fontId="43" fillId="0" borderId="55" xfId="0" applyFont="1" applyBorder="1" applyProtection="1">
      <protection locked="0"/>
    </xf>
    <xf numFmtId="0" fontId="43" fillId="0" borderId="56" xfId="0" applyFont="1" applyBorder="1" applyAlignment="1" applyProtection="1">
      <alignment horizontal="center"/>
      <protection locked="0"/>
    </xf>
    <xf numFmtId="0" fontId="43" fillId="0" borderId="54" xfId="0" applyFont="1" applyBorder="1" applyAlignment="1" applyProtection="1">
      <alignment horizontal="center"/>
      <protection locked="0"/>
    </xf>
    <xf numFmtId="0" fontId="43" fillId="0" borderId="59" xfId="0" applyFont="1" applyBorder="1" applyProtection="1">
      <protection locked="0"/>
    </xf>
    <xf numFmtId="0" fontId="43" fillId="0" borderId="18" xfId="0" applyFont="1" applyBorder="1" applyAlignment="1" applyProtection="1">
      <alignment horizontal="center"/>
      <protection locked="0"/>
    </xf>
    <xf numFmtId="0" fontId="43" fillId="0" borderId="143" xfId="0" applyFont="1" applyBorder="1" applyAlignment="1" applyProtection="1">
      <alignment horizontal="center"/>
      <protection locked="0"/>
    </xf>
    <xf numFmtId="0" fontId="43" fillId="0" borderId="18" xfId="0" applyFont="1" applyBorder="1" applyProtection="1">
      <protection locked="0"/>
    </xf>
    <xf numFmtId="0" fontId="43" fillId="0" borderId="0" xfId="0" applyFont="1" applyAlignment="1" applyProtection="1">
      <alignment horizontal="center"/>
      <protection locked="0"/>
    </xf>
    <xf numFmtId="0" fontId="43" fillId="0" borderId="145" xfId="0" applyFont="1" applyBorder="1" applyAlignment="1" applyProtection="1">
      <alignment horizontal="center"/>
      <protection locked="0"/>
    </xf>
    <xf numFmtId="0" fontId="57" fillId="29" borderId="59" xfId="0" applyFont="1" applyFill="1" applyBorder="1" applyProtection="1">
      <protection locked="0"/>
    </xf>
    <xf numFmtId="0" fontId="69" fillId="29" borderId="18" xfId="0" applyFont="1" applyFill="1" applyBorder="1" applyProtection="1">
      <protection locked="0"/>
    </xf>
    <xf numFmtId="0" fontId="69" fillId="29" borderId="143" xfId="0" applyFont="1" applyFill="1" applyBorder="1" applyProtection="1">
      <protection locked="0"/>
    </xf>
    <xf numFmtId="0" fontId="36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2" fillId="10" borderId="93" xfId="0" applyFont="1" applyFill="1" applyBorder="1" applyAlignment="1">
      <alignment horizontal="center" vertical="center"/>
    </xf>
    <xf numFmtId="0" fontId="49" fillId="33" borderId="59" xfId="0" applyFont="1" applyFill="1" applyBorder="1"/>
    <xf numFmtId="0" fontId="49" fillId="0" borderId="93" xfId="0" applyFont="1" applyBorder="1"/>
    <xf numFmtId="0" fontId="49" fillId="33" borderId="93" xfId="0" applyFont="1" applyFill="1" applyBorder="1"/>
    <xf numFmtId="0" fontId="49" fillId="0" borderId="59" xfId="0" applyFont="1" applyBorder="1"/>
    <xf numFmtId="0" fontId="49" fillId="0" borderId="26" xfId="0" applyFont="1" applyBorder="1"/>
    <xf numFmtId="0" fontId="36" fillId="13" borderId="56" xfId="0" applyFont="1" applyFill="1" applyBorder="1" applyAlignment="1">
      <alignment horizontal="center"/>
    </xf>
    <xf numFmtId="0" fontId="49" fillId="33" borderId="143" xfId="0" applyFont="1" applyFill="1" applyBorder="1"/>
    <xf numFmtId="0" fontId="49" fillId="0" borderId="145" xfId="0" applyFont="1" applyBorder="1"/>
    <xf numFmtId="2" fontId="49" fillId="33" borderId="26" xfId="0" applyNumberFormat="1" applyFont="1" applyFill="1" applyBorder="1"/>
    <xf numFmtId="2" fontId="49" fillId="33" borderId="2" xfId="0" applyNumberFormat="1" applyFont="1" applyFill="1" applyBorder="1"/>
    <xf numFmtId="0" fontId="49" fillId="33" borderId="2" xfId="0" applyFont="1" applyFill="1" applyBorder="1"/>
    <xf numFmtId="0" fontId="49" fillId="33" borderId="144" xfId="0" applyFont="1" applyFill="1" applyBorder="1"/>
    <xf numFmtId="2" fontId="49" fillId="0" borderId="59" xfId="0" applyNumberFormat="1" applyFont="1" applyBorder="1"/>
    <xf numFmtId="0" fontId="49" fillId="0" borderId="143" xfId="0" applyFont="1" applyBorder="1"/>
    <xf numFmtId="0" fontId="49" fillId="33" borderId="145" xfId="0" applyFont="1" applyFill="1" applyBorder="1"/>
    <xf numFmtId="2" fontId="49" fillId="0" borderId="26" xfId="0" applyNumberFormat="1" applyFont="1" applyBorder="1"/>
    <xf numFmtId="0" fontId="49" fillId="0" borderId="144" xfId="0" applyFont="1" applyBorder="1"/>
    <xf numFmtId="166" fontId="49" fillId="0" borderId="68" xfId="1" applyNumberFormat="1" applyFont="1" applyBorder="1" applyAlignment="1">
      <alignment horizontal="center"/>
    </xf>
    <xf numFmtId="166" fontId="91" fillId="11" borderId="139" xfId="1" applyNumberFormat="1" applyFont="1" applyFill="1" applyBorder="1" applyAlignment="1">
      <alignment horizontal="center" vertical="center"/>
    </xf>
    <xf numFmtId="166" fontId="49" fillId="0" borderId="65" xfId="1" applyNumberFormat="1" applyFont="1" applyBorder="1" applyAlignment="1">
      <alignment horizontal="center"/>
    </xf>
    <xf numFmtId="166" fontId="91" fillId="11" borderId="154" xfId="1" applyNumberFormat="1" applyFont="1" applyFill="1" applyBorder="1" applyAlignment="1">
      <alignment horizontal="center" vertical="center"/>
    </xf>
    <xf numFmtId="166" fontId="49" fillId="0" borderId="153" xfId="1" applyNumberFormat="1" applyFont="1" applyBorder="1" applyAlignment="1">
      <alignment horizontal="center"/>
    </xf>
    <xf numFmtId="166" fontId="49" fillId="0" borderId="142" xfId="1" applyNumberFormat="1" applyFont="1" applyBorder="1" applyAlignment="1">
      <alignment horizontal="center"/>
    </xf>
    <xf numFmtId="3" fontId="81" fillId="0" borderId="147" xfId="0" applyNumberFormat="1" applyFont="1" applyBorder="1"/>
    <xf numFmtId="3" fontId="81" fillId="0" borderId="15" xfId="0" applyNumberFormat="1" applyFont="1" applyBorder="1"/>
    <xf numFmtId="175" fontId="74" fillId="11" borderId="0" xfId="5" applyNumberFormat="1" applyFont="1" applyFill="1" applyBorder="1" applyAlignment="1">
      <alignment vertical="center"/>
    </xf>
    <xf numFmtId="175" fontId="74" fillId="5" borderId="0" xfId="5" applyNumberFormat="1" applyFont="1" applyFill="1" applyBorder="1" applyAlignment="1">
      <alignment vertical="center"/>
    </xf>
    <xf numFmtId="175" fontId="81" fillId="24" borderId="142" xfId="5" applyNumberFormat="1" applyFont="1" applyFill="1" applyBorder="1"/>
    <xf numFmtId="17" fontId="79" fillId="0" borderId="0" xfId="0" applyNumberFormat="1" applyFont="1"/>
    <xf numFmtId="0" fontId="83" fillId="19" borderId="136" xfId="0" applyFont="1" applyFill="1" applyBorder="1"/>
    <xf numFmtId="0" fontId="58" fillId="19" borderId="1" xfId="3" applyFill="1" applyBorder="1" applyAlignment="1">
      <alignment horizontal="left"/>
    </xf>
    <xf numFmtId="17" fontId="79" fillId="19" borderId="1" xfId="0" applyNumberFormat="1" applyFont="1" applyFill="1" applyBorder="1" applyAlignment="1">
      <alignment horizontal="right"/>
    </xf>
    <xf numFmtId="0" fontId="79" fillId="19" borderId="140" xfId="0" applyFont="1" applyFill="1" applyBorder="1"/>
    <xf numFmtId="0" fontId="83" fillId="19" borderId="61" xfId="0" applyFont="1" applyFill="1" applyBorder="1"/>
    <xf numFmtId="0" fontId="58" fillId="19" borderId="11" xfId="3" applyFill="1" applyBorder="1" applyAlignment="1">
      <alignment horizontal="left"/>
    </xf>
    <xf numFmtId="17" fontId="79" fillId="19" borderId="11" xfId="0" applyNumberFormat="1" applyFont="1" applyFill="1" applyBorder="1" applyAlignment="1">
      <alignment horizontal="right"/>
    </xf>
    <xf numFmtId="0" fontId="79" fillId="19" borderId="60" xfId="0" applyFont="1" applyFill="1" applyBorder="1"/>
    <xf numFmtId="0" fontId="79" fillId="19" borderId="1" xfId="0" applyFont="1" applyFill="1" applyBorder="1"/>
    <xf numFmtId="0" fontId="79" fillId="19" borderId="140" xfId="0" applyFont="1" applyFill="1" applyBorder="1" applyAlignment="1">
      <alignment horizontal="right"/>
    </xf>
    <xf numFmtId="0" fontId="94" fillId="0" borderId="140" xfId="0" applyFont="1" applyBorder="1" applyAlignment="1">
      <alignment horizontal="center"/>
    </xf>
    <xf numFmtId="0" fontId="94" fillId="4" borderId="140" xfId="0" applyFont="1" applyFill="1" applyBorder="1" applyAlignment="1">
      <alignment horizontal="center"/>
    </xf>
    <xf numFmtId="0" fontId="83" fillId="5" borderId="0" xfId="0" applyFont="1" applyFill="1"/>
    <xf numFmtId="0" fontId="58" fillId="5" borderId="0" xfId="3" applyFill="1" applyBorder="1" applyAlignment="1">
      <alignment horizontal="left"/>
    </xf>
    <xf numFmtId="0" fontId="7" fillId="5" borderId="0" xfId="6" applyFont="1" applyFill="1" applyAlignment="1">
      <alignment vertical="center"/>
    </xf>
    <xf numFmtId="0" fontId="7" fillId="19" borderId="0" xfId="6" applyFont="1" applyFill="1" applyAlignment="1">
      <alignment vertical="center"/>
    </xf>
    <xf numFmtId="0" fontId="7" fillId="0" borderId="0" xfId="7"/>
    <xf numFmtId="0" fontId="53" fillId="19" borderId="0" xfId="6" applyFont="1" applyFill="1" applyAlignment="1">
      <alignment vertical="center"/>
    </xf>
    <xf numFmtId="0" fontId="48" fillId="19" borderId="0" xfId="6" applyFont="1" applyFill="1" applyAlignment="1">
      <alignment vertical="center"/>
    </xf>
    <xf numFmtId="0" fontId="7" fillId="8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4" fillId="19" borderId="0" xfId="6" applyFont="1" applyFill="1" applyAlignment="1">
      <alignment vertical="center"/>
    </xf>
    <xf numFmtId="0" fontId="42" fillId="5" borderId="0" xfId="6" applyFont="1" applyFill="1" applyAlignment="1">
      <alignment vertical="center"/>
    </xf>
    <xf numFmtId="0" fontId="39" fillId="19" borderId="0" xfId="6" applyFont="1" applyFill="1" applyAlignment="1">
      <alignment vertical="center"/>
    </xf>
    <xf numFmtId="0" fontId="55" fillId="19" borderId="0" xfId="6" applyFont="1" applyFill="1" applyAlignment="1">
      <alignment vertical="center"/>
    </xf>
    <xf numFmtId="0" fontId="39" fillId="5" borderId="0" xfId="6" applyFont="1" applyFill="1" applyAlignment="1">
      <alignment vertical="center"/>
    </xf>
    <xf numFmtId="165" fontId="39" fillId="5" borderId="0" xfId="6" applyNumberFormat="1" applyFont="1" applyFill="1" applyAlignment="1">
      <alignment horizontal="left" vertical="center"/>
    </xf>
    <xf numFmtId="0" fontId="56" fillId="19" borderId="0" xfId="6" applyFont="1" applyFill="1" applyAlignment="1">
      <alignment vertical="center"/>
    </xf>
    <xf numFmtId="0" fontId="49" fillId="5" borderId="0" xfId="6" applyFont="1" applyFill="1" applyAlignment="1">
      <alignment vertical="center"/>
    </xf>
    <xf numFmtId="0" fontId="48" fillId="5" borderId="0" xfId="8" applyFill="1" applyAlignment="1">
      <alignment vertical="center"/>
    </xf>
    <xf numFmtId="170" fontId="33" fillId="14" borderId="0" xfId="2" applyNumberFormat="1" applyFill="1" applyAlignment="1">
      <alignment vertical="center"/>
    </xf>
    <xf numFmtId="170" fontId="6" fillId="0" borderId="0" xfId="0" applyNumberFormat="1" applyFont="1"/>
    <xf numFmtId="169" fontId="0" fillId="35" borderId="143" xfId="0" applyNumberFormat="1" applyFill="1" applyBorder="1"/>
    <xf numFmtId="2" fontId="19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9" fillId="5" borderId="0" xfId="0" applyFont="1" applyFill="1"/>
    <xf numFmtId="2" fontId="19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9" fillId="35" borderId="2" xfId="0" applyFont="1" applyFill="1" applyBorder="1"/>
    <xf numFmtId="2" fontId="19" fillId="35" borderId="2" xfId="0" applyNumberFormat="1" applyFont="1" applyFill="1" applyBorder="1"/>
    <xf numFmtId="1" fontId="32" fillId="16" borderId="88" xfId="0" applyNumberFormat="1" applyFont="1" applyFill="1" applyBorder="1" applyAlignment="1">
      <alignment horizontal="right" vertical="center"/>
    </xf>
    <xf numFmtId="0" fontId="19" fillId="5" borderId="2" xfId="0" applyFont="1" applyFill="1" applyBorder="1"/>
    <xf numFmtId="2" fontId="19" fillId="5" borderId="2" xfId="0" applyNumberFormat="1" applyFont="1" applyFill="1" applyBorder="1"/>
    <xf numFmtId="9" fontId="0" fillId="0" borderId="0" xfId="0" applyNumberFormat="1"/>
    <xf numFmtId="176" fontId="39" fillId="35" borderId="0" xfId="0" applyNumberFormat="1" applyFont="1" applyFill="1"/>
    <xf numFmtId="167" fontId="36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9" fillId="0" borderId="167" xfId="0" applyNumberFormat="1" applyFont="1" applyBorder="1" applyAlignment="1">
      <alignment horizontal="left"/>
    </xf>
    <xf numFmtId="167" fontId="36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6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9" fillId="38" borderId="167" xfId="0" applyNumberFormat="1" applyFont="1" applyFill="1" applyBorder="1" applyAlignment="1">
      <alignment horizontal="left"/>
    </xf>
    <xf numFmtId="167" fontId="49" fillId="38" borderId="154" xfId="0" applyNumberFormat="1" applyFont="1" applyFill="1" applyBorder="1" applyAlignment="1">
      <alignment horizontal="left"/>
    </xf>
    <xf numFmtId="167" fontId="49" fillId="23" borderId="167" xfId="0" applyNumberFormat="1" applyFont="1" applyFill="1" applyBorder="1" applyAlignment="1">
      <alignment horizontal="left"/>
    </xf>
    <xf numFmtId="167" fontId="49" fillId="23" borderId="154" xfId="0" applyNumberFormat="1" applyFont="1" applyFill="1" applyBorder="1" applyAlignment="1">
      <alignment horizontal="left"/>
    </xf>
    <xf numFmtId="167" fontId="49" fillId="23" borderId="173" xfId="0" applyNumberFormat="1" applyFont="1" applyFill="1" applyBorder="1" applyAlignment="1">
      <alignment horizontal="left"/>
    </xf>
    <xf numFmtId="167" fontId="36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2" fillId="11" borderId="0" xfId="0" applyFont="1" applyFill="1" applyAlignment="1">
      <alignment vertical="center"/>
    </xf>
    <xf numFmtId="0" fontId="32" fillId="11" borderId="12" xfId="0" applyFont="1" applyFill="1" applyBorder="1" applyAlignment="1">
      <alignment vertical="center"/>
    </xf>
    <xf numFmtId="1" fontId="32" fillId="16" borderId="68" xfId="0" applyNumberFormat="1" applyFont="1" applyFill="1" applyBorder="1" applyAlignment="1">
      <alignment horizontal="right" vertical="center"/>
    </xf>
    <xf numFmtId="1" fontId="32" fillId="32" borderId="139" xfId="0" quotePrefix="1" applyNumberFormat="1" applyFont="1" applyFill="1" applyBorder="1" applyAlignment="1">
      <alignment horizontal="right" vertical="top"/>
    </xf>
    <xf numFmtId="1" fontId="32" fillId="16" borderId="139" xfId="0" applyNumberFormat="1" applyFont="1" applyFill="1" applyBorder="1" applyAlignment="1">
      <alignment horizontal="right" vertical="center"/>
    </xf>
    <xf numFmtId="1" fontId="32" fillId="16" borderId="100" xfId="0" applyNumberFormat="1" applyFont="1" applyFill="1" applyBorder="1" applyAlignment="1">
      <alignment horizontal="right" vertical="center"/>
    </xf>
    <xf numFmtId="1" fontId="32" fillId="32" borderId="113" xfId="0" quotePrefix="1" applyNumberFormat="1" applyFont="1" applyFill="1" applyBorder="1" applyAlignment="1">
      <alignment horizontal="right" vertical="top"/>
    </xf>
    <xf numFmtId="0" fontId="32" fillId="11" borderId="18" xfId="0" applyFont="1" applyFill="1" applyBorder="1" applyAlignment="1">
      <alignment vertical="center"/>
    </xf>
    <xf numFmtId="3" fontId="17" fillId="32" borderId="159" xfId="0" quotePrefix="1" applyNumberFormat="1" applyFont="1" applyFill="1" applyBorder="1" applyAlignment="1">
      <alignment horizontal="right" vertical="top"/>
    </xf>
    <xf numFmtId="0" fontId="32" fillId="11" borderId="143" xfId="0" applyFont="1" applyFill="1" applyBorder="1" applyAlignment="1">
      <alignment vertical="center"/>
    </xf>
    <xf numFmtId="0" fontId="32" fillId="11" borderId="93" xfId="0" applyFont="1" applyFill="1" applyBorder="1" applyAlignment="1">
      <alignment vertical="center"/>
    </xf>
    <xf numFmtId="0" fontId="32" fillId="11" borderId="145" xfId="0" applyFont="1" applyFill="1" applyBorder="1" applyAlignment="1">
      <alignment vertical="center"/>
    </xf>
    <xf numFmtId="3" fontId="17" fillId="32" borderId="26" xfId="0" quotePrefix="1" applyNumberFormat="1" applyFont="1" applyFill="1" applyBorder="1" applyAlignment="1">
      <alignment horizontal="right" vertical="top"/>
    </xf>
    <xf numFmtId="3" fontId="17" fillId="32" borderId="2" xfId="0" quotePrefix="1" applyNumberFormat="1" applyFont="1" applyFill="1" applyBorder="1" applyAlignment="1">
      <alignment horizontal="right" vertical="top"/>
    </xf>
    <xf numFmtId="3" fontId="17" fillId="32" borderId="144" xfId="0" quotePrefix="1" applyNumberFormat="1" applyFont="1" applyFill="1" applyBorder="1" applyAlignment="1">
      <alignment horizontal="right" vertical="top"/>
    </xf>
    <xf numFmtId="3" fontId="17" fillId="32" borderId="107" xfId="0" quotePrefix="1" applyNumberFormat="1" applyFont="1" applyFill="1" applyBorder="1" applyAlignment="1">
      <alignment horizontal="right" vertical="top"/>
    </xf>
    <xf numFmtId="3" fontId="17" fillId="16" borderId="115" xfId="0" applyNumberFormat="1" applyFont="1" applyFill="1" applyBorder="1" applyAlignment="1">
      <alignment vertical="center"/>
    </xf>
    <xf numFmtId="3" fontId="17" fillId="32" borderId="136" xfId="0" quotePrefix="1" applyNumberFormat="1" applyFont="1" applyFill="1" applyBorder="1" applyAlignment="1">
      <alignment horizontal="right" vertical="top"/>
    </xf>
    <xf numFmtId="3" fontId="17" fillId="16" borderId="136" xfId="0" applyNumberFormat="1" applyFont="1" applyFill="1" applyBorder="1" applyAlignment="1">
      <alignment vertical="center"/>
    </xf>
    <xf numFmtId="3" fontId="17" fillId="16" borderId="61" xfId="0" applyNumberFormat="1" applyFont="1" applyFill="1" applyBorder="1" applyAlignment="1">
      <alignment vertical="center"/>
    </xf>
    <xf numFmtId="3" fontId="5" fillId="16" borderId="148" xfId="0" applyNumberFormat="1" applyFont="1" applyFill="1" applyBorder="1" applyAlignment="1">
      <alignment horizontal="left" vertical="center"/>
    </xf>
    <xf numFmtId="3" fontId="17" fillId="16" borderId="120" xfId="0" applyNumberFormat="1" applyFont="1" applyFill="1" applyBorder="1" applyAlignment="1">
      <alignment vertical="center"/>
    </xf>
    <xf numFmtId="3" fontId="17" fillId="32" borderId="19" xfId="0" quotePrefix="1" applyNumberFormat="1" applyFont="1" applyFill="1" applyBorder="1" applyAlignment="1">
      <alignment horizontal="right" vertical="top"/>
    </xf>
    <xf numFmtId="3" fontId="17" fillId="16" borderId="19" xfId="0" applyNumberFormat="1" applyFont="1" applyFill="1" applyBorder="1" applyAlignment="1">
      <alignment vertical="center"/>
    </xf>
    <xf numFmtId="3" fontId="17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9" fillId="0" borderId="93" xfId="0" applyFont="1" applyBorder="1"/>
    <xf numFmtId="0" fontId="20" fillId="0" borderId="93" xfId="0" applyFont="1" applyBorder="1"/>
    <xf numFmtId="166" fontId="20" fillId="0" borderId="0" xfId="1" applyNumberFormat="1" applyFont="1" applyBorder="1"/>
    <xf numFmtId="177" fontId="0" fillId="0" borderId="0" xfId="0" applyNumberFormat="1"/>
    <xf numFmtId="0" fontId="20" fillId="40" borderId="26" xfId="0" applyFont="1" applyFill="1" applyBorder="1"/>
    <xf numFmtId="166" fontId="20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20" fillId="0" borderId="93" xfId="5" applyNumberFormat="1" applyFont="1" applyBorder="1"/>
    <xf numFmtId="179" fontId="20" fillId="0" borderId="145" xfId="5" applyNumberFormat="1" applyFont="1" applyBorder="1"/>
    <xf numFmtId="43" fontId="20" fillId="0" borderId="26" xfId="0" applyNumberFormat="1" applyFont="1" applyBorder="1"/>
    <xf numFmtId="43" fontId="20" fillId="0" borderId="144" xfId="0" applyNumberFormat="1" applyFont="1" applyBorder="1"/>
    <xf numFmtId="166" fontId="20" fillId="0" borderId="145" xfId="1" applyNumberFormat="1" applyFont="1" applyBorder="1"/>
    <xf numFmtId="166" fontId="20" fillId="40" borderId="144" xfId="1" applyNumberFormat="1" applyFont="1" applyFill="1" applyBorder="1"/>
    <xf numFmtId="0" fontId="96" fillId="12" borderId="139" xfId="0" applyFont="1" applyFill="1" applyBorder="1" applyAlignment="1">
      <alignment vertical="center"/>
    </xf>
    <xf numFmtId="0" fontId="96" fillId="12" borderId="5" xfId="0" applyFont="1" applyFill="1" applyBorder="1" applyAlignment="1">
      <alignment vertical="center"/>
    </xf>
    <xf numFmtId="0" fontId="96" fillId="12" borderId="0" xfId="0" applyFont="1" applyFill="1" applyAlignment="1">
      <alignment vertical="center"/>
    </xf>
    <xf numFmtId="0" fontId="96" fillId="12" borderId="145" xfId="0" applyFont="1" applyFill="1" applyBorder="1" applyAlignment="1">
      <alignment vertical="center"/>
    </xf>
    <xf numFmtId="0" fontId="95" fillId="17" borderId="113" xfId="0" applyFont="1" applyFill="1" applyBorder="1" applyAlignment="1">
      <alignment vertical="center"/>
    </xf>
    <xf numFmtId="0" fontId="95" fillId="17" borderId="106" xfId="0" applyFont="1" applyFill="1" applyBorder="1" applyAlignment="1">
      <alignment vertical="center"/>
    </xf>
    <xf numFmtId="0" fontId="95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7" fillId="42" borderId="189" xfId="0" applyFont="1" applyFill="1" applyBorder="1" applyAlignment="1">
      <alignment vertical="top" wrapText="1"/>
    </xf>
    <xf numFmtId="0" fontId="97" fillId="43" borderId="189" xfId="0" applyFont="1" applyFill="1" applyBorder="1" applyAlignment="1">
      <alignment vertical="top" wrapText="1"/>
    </xf>
    <xf numFmtId="3" fontId="97" fillId="42" borderId="189" xfId="0" applyNumberFormat="1" applyFont="1" applyFill="1" applyBorder="1" applyAlignment="1">
      <alignment vertical="top" wrapText="1"/>
    </xf>
    <xf numFmtId="3" fontId="97" fillId="43" borderId="189" xfId="0" applyNumberFormat="1" applyFont="1" applyFill="1" applyBorder="1" applyAlignment="1">
      <alignment vertical="top" wrapText="1"/>
    </xf>
    <xf numFmtId="0" fontId="0" fillId="44" borderId="189" xfId="0" applyFill="1" applyBorder="1" applyAlignment="1">
      <alignment vertical="top" wrapText="1"/>
    </xf>
    <xf numFmtId="0" fontId="98" fillId="44" borderId="189" xfId="0" applyFont="1" applyFill="1" applyBorder="1" applyAlignment="1">
      <alignment vertical="top" wrapText="1"/>
    </xf>
    <xf numFmtId="0" fontId="99" fillId="43" borderId="189" xfId="0" applyFont="1" applyFill="1" applyBorder="1" applyAlignment="1">
      <alignment vertical="top" wrapText="1"/>
    </xf>
    <xf numFmtId="3" fontId="99" fillId="43" borderId="189" xfId="0" applyNumberFormat="1" applyFont="1" applyFill="1" applyBorder="1" applyAlignment="1">
      <alignment vertical="top" wrapText="1"/>
    </xf>
    <xf numFmtId="0" fontId="43" fillId="12" borderId="5" xfId="0" applyFont="1" applyFill="1" applyBorder="1" applyAlignment="1">
      <alignment horizontal="center" vertical="center"/>
    </xf>
    <xf numFmtId="0" fontId="100" fillId="0" borderId="0" xfId="0" quotePrefix="1" applyFont="1" applyAlignment="1">
      <alignment horizontal="left" vertical="top"/>
    </xf>
    <xf numFmtId="0" fontId="62" fillId="0" borderId="0" xfId="0" applyFont="1" applyAlignment="1">
      <alignment vertical="center"/>
    </xf>
    <xf numFmtId="3" fontId="32" fillId="16" borderId="118" xfId="0" applyNumberFormat="1" applyFont="1" applyFill="1" applyBorder="1" applyAlignment="1">
      <alignment horizontal="left" vertical="center"/>
    </xf>
    <xf numFmtId="0" fontId="32" fillId="11" borderId="188" xfId="0" applyFont="1" applyFill="1" applyBorder="1" applyAlignment="1">
      <alignment vertical="center"/>
    </xf>
    <xf numFmtId="3" fontId="17" fillId="32" borderId="141" xfId="0" quotePrefix="1" applyNumberFormat="1" applyFont="1" applyFill="1" applyBorder="1" applyAlignment="1">
      <alignment horizontal="right" vertical="top"/>
    </xf>
    <xf numFmtId="0" fontId="31" fillId="17" borderId="106" xfId="0" applyFont="1" applyFill="1" applyBorder="1" applyAlignment="1">
      <alignment vertical="center"/>
    </xf>
    <xf numFmtId="9" fontId="97" fillId="42" borderId="189" xfId="1" applyFont="1" applyFill="1" applyBorder="1" applyAlignment="1">
      <alignment vertical="top" wrapText="1"/>
    </xf>
    <xf numFmtId="9" fontId="97" fillId="43" borderId="189" xfId="1" applyFont="1" applyFill="1" applyBorder="1" applyAlignment="1">
      <alignment vertical="top" wrapText="1"/>
    </xf>
    <xf numFmtId="166" fontId="97" fillId="42" borderId="189" xfId="1" applyNumberFormat="1" applyFont="1" applyFill="1" applyBorder="1" applyAlignment="1">
      <alignment vertical="top" wrapText="1"/>
    </xf>
    <xf numFmtId="166" fontId="97" fillId="43" borderId="189" xfId="1" applyNumberFormat="1" applyFont="1" applyFill="1" applyBorder="1" applyAlignment="1">
      <alignment vertical="top" wrapText="1"/>
    </xf>
    <xf numFmtId="1" fontId="97" fillId="42" borderId="189" xfId="0" applyNumberFormat="1" applyFont="1" applyFill="1" applyBorder="1" applyAlignment="1">
      <alignment vertical="top" wrapText="1"/>
    </xf>
    <xf numFmtId="1" fontId="97" fillId="43" borderId="189" xfId="0" applyNumberFormat="1" applyFont="1" applyFill="1" applyBorder="1" applyAlignment="1">
      <alignment vertical="top" wrapText="1"/>
    </xf>
    <xf numFmtId="3" fontId="32" fillId="16" borderId="153" xfId="0" applyNumberFormat="1" applyFont="1" applyFill="1" applyBorder="1" applyAlignment="1">
      <alignment vertical="center"/>
    </xf>
    <xf numFmtId="3" fontId="32" fillId="32" borderId="154" xfId="0" quotePrefix="1" applyNumberFormat="1" applyFont="1" applyFill="1" applyBorder="1" applyAlignment="1">
      <alignment horizontal="right" vertical="top"/>
    </xf>
    <xf numFmtId="3" fontId="32" fillId="16" borderId="154" xfId="0" applyNumberFormat="1" applyFont="1" applyFill="1" applyBorder="1" applyAlignment="1">
      <alignment vertical="center"/>
    </xf>
    <xf numFmtId="3" fontId="31" fillId="30" borderId="151" xfId="0" applyNumberFormat="1" applyFont="1" applyFill="1" applyBorder="1" applyAlignment="1">
      <alignment vertical="center"/>
    </xf>
    <xf numFmtId="0" fontId="31" fillId="17" borderId="113" xfId="0" applyFont="1" applyFill="1" applyBorder="1" applyAlignment="1">
      <alignment vertical="center"/>
    </xf>
    <xf numFmtId="0" fontId="31" fillId="17" borderId="146" xfId="0" applyFont="1" applyFill="1" applyBorder="1" applyAlignment="1">
      <alignment vertical="center"/>
    </xf>
    <xf numFmtId="0" fontId="98" fillId="44" borderId="191" xfId="0" applyFont="1" applyFill="1" applyBorder="1" applyAlignment="1">
      <alignment vertical="top" wrapText="1"/>
    </xf>
    <xf numFmtId="1" fontId="97" fillId="42" borderId="192" xfId="0" applyNumberFormat="1" applyFont="1" applyFill="1" applyBorder="1" applyAlignment="1">
      <alignment vertical="top" wrapText="1"/>
    </xf>
    <xf numFmtId="1" fontId="97" fillId="43" borderId="192" xfId="0" applyNumberFormat="1" applyFont="1" applyFill="1" applyBorder="1" applyAlignment="1">
      <alignment vertical="top" wrapText="1"/>
    </xf>
    <xf numFmtId="1" fontId="97" fillId="42" borderId="193" xfId="0" applyNumberFormat="1" applyFont="1" applyFill="1" applyBorder="1" applyAlignment="1">
      <alignment vertical="top" wrapText="1"/>
    </xf>
    <xf numFmtId="1" fontId="97" fillId="42" borderId="194" xfId="0" applyNumberFormat="1" applyFont="1" applyFill="1" applyBorder="1" applyAlignment="1">
      <alignment vertical="top" wrapText="1"/>
    </xf>
    <xf numFmtId="1" fontId="97" fillId="42" borderId="195" xfId="0" applyNumberFormat="1" applyFont="1" applyFill="1" applyBorder="1" applyAlignment="1">
      <alignment vertical="top" wrapText="1"/>
    </xf>
    <xf numFmtId="1" fontId="97" fillId="43" borderId="195" xfId="0" applyNumberFormat="1" applyFont="1" applyFill="1" applyBorder="1" applyAlignment="1">
      <alignment vertical="top" wrapText="1"/>
    </xf>
    <xf numFmtId="1" fontId="97" fillId="42" borderId="196" xfId="0" applyNumberFormat="1" applyFont="1" applyFill="1" applyBorder="1" applyAlignment="1">
      <alignment vertical="top" wrapText="1"/>
    </xf>
    <xf numFmtId="0" fontId="60" fillId="29" borderId="0" xfId="0" applyFont="1" applyFill="1" applyAlignment="1">
      <alignment horizontal="right"/>
    </xf>
    <xf numFmtId="175" fontId="60" fillId="29" borderId="0" xfId="0" applyNumberFormat="1" applyFont="1" applyFill="1"/>
    <xf numFmtId="0" fontId="74" fillId="26" borderId="0" xfId="0" quotePrefix="1" applyFont="1" applyFill="1" applyAlignment="1">
      <alignment horizontal="right" vertical="top"/>
    </xf>
    <xf numFmtId="175" fontId="49" fillId="26" borderId="0" xfId="5" quotePrefix="1" applyNumberFormat="1" applyFont="1" applyFill="1" applyBorder="1" applyAlignment="1">
      <alignment horizontal="right" vertical="top"/>
    </xf>
    <xf numFmtId="175" fontId="74" fillId="26" borderId="0" xfId="5" quotePrefix="1" applyNumberFormat="1" applyFont="1" applyFill="1" applyBorder="1" applyAlignment="1">
      <alignment horizontal="right" vertical="top"/>
    </xf>
    <xf numFmtId="180" fontId="49" fillId="26" borderId="0" xfId="5" quotePrefix="1" applyNumberFormat="1" applyFont="1" applyFill="1" applyBorder="1" applyAlignment="1">
      <alignment horizontal="right" vertical="top"/>
    </xf>
    <xf numFmtId="0" fontId="74" fillId="28" borderId="0" xfId="0" quotePrefix="1" applyFont="1" applyFill="1" applyAlignment="1">
      <alignment horizontal="right" vertical="top"/>
    </xf>
    <xf numFmtId="175" fontId="49" fillId="28" borderId="0" xfId="5" quotePrefix="1" applyNumberFormat="1" applyFont="1" applyFill="1" applyBorder="1" applyAlignment="1">
      <alignment horizontal="right" vertical="top"/>
    </xf>
    <xf numFmtId="175" fontId="74" fillId="28" borderId="0" xfId="5" quotePrefix="1" applyNumberFormat="1" applyFont="1" applyFill="1" applyBorder="1" applyAlignment="1">
      <alignment horizontal="right" vertical="top"/>
    </xf>
    <xf numFmtId="180" fontId="49" fillId="28" borderId="0" xfId="5" quotePrefix="1" applyNumberFormat="1" applyFont="1" applyFill="1" applyBorder="1" applyAlignment="1">
      <alignment horizontal="right" vertical="top"/>
    </xf>
    <xf numFmtId="0" fontId="74" fillId="27" borderId="55" xfId="0" applyFont="1" applyFill="1" applyBorder="1"/>
    <xf numFmtId="0" fontId="74" fillId="27" borderId="56" xfId="0" applyFont="1" applyFill="1" applyBorder="1"/>
    <xf numFmtId="0" fontId="74" fillId="27" borderId="197" xfId="0" applyFont="1" applyFill="1" applyBorder="1"/>
    <xf numFmtId="0" fontId="74" fillId="27" borderId="67" xfId="0" applyFont="1" applyFill="1" applyBorder="1"/>
    <xf numFmtId="3" fontId="0" fillId="34" borderId="0" xfId="0" applyNumberFormat="1" applyFill="1"/>
    <xf numFmtId="0" fontId="74" fillId="11" borderId="67" xfId="0" applyFont="1" applyFill="1" applyBorder="1" applyAlignment="1">
      <alignment vertical="center"/>
    </xf>
    <xf numFmtId="1" fontId="32" fillId="16" borderId="0" xfId="0" applyNumberFormat="1" applyFont="1" applyFill="1" applyAlignment="1">
      <alignment horizontal="right" vertical="center"/>
    </xf>
    <xf numFmtId="10" fontId="60" fillId="29" borderId="26" xfId="1" applyNumberFormat="1" applyFont="1" applyFill="1" applyBorder="1" applyAlignment="1"/>
    <xf numFmtId="9" fontId="0" fillId="0" borderId="145" xfId="0" applyNumberFormat="1" applyBorder="1"/>
    <xf numFmtId="9" fontId="19" fillId="0" borderId="145" xfId="0" applyNumberFormat="1" applyFont="1" applyBorder="1"/>
    <xf numFmtId="9" fontId="0" fillId="0" borderId="144" xfId="0" applyNumberFormat="1" applyBorder="1"/>
    <xf numFmtId="0" fontId="19" fillId="0" borderId="144" xfId="0" applyFont="1" applyBorder="1"/>
    <xf numFmtId="0" fontId="0" fillId="0" borderId="9" xfId="0" applyBorder="1"/>
    <xf numFmtId="0" fontId="0" fillId="0" borderId="8" xfId="0" applyBorder="1"/>
    <xf numFmtId="1" fontId="32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2" fillId="11" borderId="201" xfId="0" applyFont="1" applyFill="1" applyBorder="1" applyAlignment="1">
      <alignment vertical="center"/>
    </xf>
    <xf numFmtId="0" fontId="32" fillId="11" borderId="202" xfId="0" applyFont="1" applyFill="1" applyBorder="1" applyAlignment="1">
      <alignment vertical="center"/>
    </xf>
    <xf numFmtId="1" fontId="32" fillId="16" borderId="203" xfId="0" applyNumberFormat="1" applyFont="1" applyFill="1" applyBorder="1" applyAlignment="1">
      <alignment horizontal="right" vertical="center"/>
    </xf>
    <xf numFmtId="3" fontId="32" fillId="16" borderId="204" xfId="0" applyNumberFormat="1" applyFont="1" applyFill="1" applyBorder="1" applyAlignment="1">
      <alignment vertical="center"/>
    </xf>
    <xf numFmtId="1" fontId="32" fillId="32" borderId="205" xfId="0" quotePrefix="1" applyNumberFormat="1" applyFont="1" applyFill="1" applyBorder="1" applyAlignment="1">
      <alignment horizontal="right" vertical="top"/>
    </xf>
    <xf numFmtId="3" fontId="32" fillId="32" borderId="206" xfId="0" quotePrefix="1" applyNumberFormat="1" applyFont="1" applyFill="1" applyBorder="1" applyAlignment="1">
      <alignment horizontal="right" vertical="top"/>
    </xf>
    <xf numFmtId="1" fontId="32" fillId="16" borderId="205" xfId="0" applyNumberFormat="1" applyFont="1" applyFill="1" applyBorder="1" applyAlignment="1">
      <alignment horizontal="right" vertical="center"/>
    </xf>
    <xf numFmtId="3" fontId="32" fillId="16" borderId="206" xfId="0" applyNumberFormat="1" applyFont="1" applyFill="1" applyBorder="1" applyAlignment="1">
      <alignment vertical="center"/>
    </xf>
    <xf numFmtId="1" fontId="32" fillId="32" borderId="207" xfId="0" quotePrefix="1" applyNumberFormat="1" applyFont="1" applyFill="1" applyBorder="1" applyAlignment="1">
      <alignment horizontal="right" vertical="top"/>
    </xf>
    <xf numFmtId="3" fontId="17" fillId="32" borderId="208" xfId="0" quotePrefix="1" applyNumberFormat="1" applyFont="1" applyFill="1" applyBorder="1" applyAlignment="1">
      <alignment horizontal="right" vertical="top"/>
    </xf>
    <xf numFmtId="3" fontId="17" fillId="32" borderId="209" xfId="0" quotePrefix="1" applyNumberFormat="1" applyFont="1" applyFill="1" applyBorder="1" applyAlignment="1">
      <alignment horizontal="right" vertical="top"/>
    </xf>
    <xf numFmtId="3" fontId="31" fillId="30" borderId="210" xfId="0" applyNumberFormat="1" applyFont="1" applyFill="1" applyBorder="1" applyAlignment="1">
      <alignment vertical="center"/>
    </xf>
    <xf numFmtId="1" fontId="97" fillId="42" borderId="211" xfId="0" applyNumberFormat="1" applyFont="1" applyFill="1" applyBorder="1" applyAlignment="1">
      <alignment vertical="top" wrapText="1"/>
    </xf>
    <xf numFmtId="1" fontId="97" fillId="42" borderId="212" xfId="0" applyNumberFormat="1" applyFont="1" applyFill="1" applyBorder="1" applyAlignment="1">
      <alignment vertical="top" wrapText="1"/>
    </xf>
    <xf numFmtId="1" fontId="97" fillId="42" borderId="213" xfId="0" applyNumberFormat="1" applyFont="1" applyFill="1" applyBorder="1" applyAlignment="1">
      <alignment vertical="top" wrapText="1"/>
    </xf>
    <xf numFmtId="1" fontId="97" fillId="43" borderId="193" xfId="0" applyNumberFormat="1" applyFont="1" applyFill="1" applyBorder="1" applyAlignment="1">
      <alignment vertical="top" wrapText="1"/>
    </xf>
    <xf numFmtId="1" fontId="97" fillId="43" borderId="194" xfId="0" applyNumberFormat="1" applyFont="1" applyFill="1" applyBorder="1" applyAlignment="1">
      <alignment vertical="top" wrapText="1"/>
    </xf>
    <xf numFmtId="1" fontId="97" fillId="43" borderId="196" xfId="0" applyNumberFormat="1" applyFont="1" applyFill="1" applyBorder="1" applyAlignment="1">
      <alignment vertical="top" wrapText="1"/>
    </xf>
    <xf numFmtId="0" fontId="31" fillId="17" borderId="0" xfId="0" applyFont="1" applyFill="1" applyAlignment="1">
      <alignment vertical="center"/>
    </xf>
    <xf numFmtId="166" fontId="0" fillId="0" borderId="0" xfId="1" applyNumberFormat="1" applyFont="1"/>
    <xf numFmtId="0" fontId="59" fillId="45" borderId="214" xfId="0" applyFont="1" applyFill="1" applyBorder="1"/>
    <xf numFmtId="0" fontId="59" fillId="0" borderId="214" xfId="0" applyFont="1" applyBorder="1"/>
    <xf numFmtId="0" fontId="61" fillId="26" borderId="154" xfId="0" applyFont="1" applyFill="1" applyBorder="1" applyAlignment="1">
      <alignment horizontal="left"/>
    </xf>
    <xf numFmtId="0" fontId="61" fillId="0" borderId="154" xfId="0" applyFont="1" applyBorder="1" applyAlignment="1">
      <alignment horizontal="left" vertical="top"/>
    </xf>
    <xf numFmtId="0" fontId="32" fillId="11" borderId="216" xfId="0" applyFont="1" applyFill="1" applyBorder="1" applyAlignment="1">
      <alignment vertical="center"/>
    </xf>
    <xf numFmtId="0" fontId="32" fillId="11" borderId="215" xfId="0" applyFont="1" applyFill="1" applyBorder="1" applyAlignment="1">
      <alignment vertical="center"/>
    </xf>
    <xf numFmtId="0" fontId="62" fillId="7" borderId="0" xfId="0" applyFont="1" applyFill="1" applyAlignment="1">
      <alignment vertical="center"/>
    </xf>
    <xf numFmtId="9" fontId="97" fillId="42" borderId="192" xfId="1" applyFont="1" applyFill="1" applyBorder="1" applyAlignment="1">
      <alignment vertical="top" wrapText="1"/>
    </xf>
    <xf numFmtId="9" fontId="97" fillId="43" borderId="192" xfId="1" applyFont="1" applyFill="1" applyBorder="1" applyAlignment="1">
      <alignment vertical="top" wrapText="1"/>
    </xf>
    <xf numFmtId="0" fontId="36" fillId="7" borderId="0" xfId="0" applyFont="1" applyFill="1"/>
    <xf numFmtId="0" fontId="36" fillId="7" borderId="0" xfId="0" quotePrefix="1" applyFont="1" applyFill="1"/>
    <xf numFmtId="0" fontId="33" fillId="9" borderId="6" xfId="2" applyBorder="1" applyAlignment="1"/>
    <xf numFmtId="168" fontId="19" fillId="35" borderId="18" xfId="0" applyNumberFormat="1" applyFont="1" applyFill="1" applyBorder="1"/>
    <xf numFmtId="0" fontId="36" fillId="35" borderId="0" xfId="0" applyFont="1" applyFill="1"/>
    <xf numFmtId="170" fontId="33" fillId="14" borderId="0" xfId="0" applyNumberFormat="1" applyFont="1" applyFill="1"/>
    <xf numFmtId="9" fontId="39" fillId="0" borderId="0" xfId="0" applyNumberFormat="1" applyFont="1"/>
    <xf numFmtId="38" fontId="27" fillId="0" borderId="28" xfId="9" applyNumberFormat="1" applyFont="1" applyBorder="1" applyAlignment="1">
      <alignment horizontal="center"/>
    </xf>
    <xf numFmtId="38" fontId="27" fillId="0" borderId="29" xfId="9" applyNumberFormat="1" applyFont="1" applyBorder="1" applyAlignment="1">
      <alignment horizontal="center"/>
    </xf>
    <xf numFmtId="38" fontId="27" fillId="0" borderId="30" xfId="9" applyNumberFormat="1" applyFont="1" applyBorder="1" applyAlignment="1">
      <alignment horizontal="center"/>
    </xf>
    <xf numFmtId="38" fontId="27" fillId="0" borderId="31" xfId="9" applyNumberFormat="1" applyFont="1" applyBorder="1" applyAlignment="1">
      <alignment horizontal="center"/>
    </xf>
    <xf numFmtId="38" fontId="25" fillId="0" borderId="32" xfId="9" applyNumberFormat="1" applyFont="1" applyBorder="1" applyAlignment="1">
      <alignment horizontal="center"/>
    </xf>
    <xf numFmtId="38" fontId="27" fillId="0" borderId="33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21" borderId="31" xfId="9" applyNumberFormat="1" applyFont="1" applyFill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7" fillId="0" borderId="27" xfId="9" applyNumberFormat="1" applyFont="1" applyBorder="1" applyAlignment="1">
      <alignment horizontal="center"/>
    </xf>
    <xf numFmtId="38" fontId="25" fillId="0" borderId="35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5" fillId="0" borderId="36" xfId="9" applyNumberFormat="1" applyFont="1" applyBorder="1" applyAlignment="1">
      <alignment horizontal="center"/>
    </xf>
    <xf numFmtId="38" fontId="27" fillId="0" borderId="38" xfId="9" applyNumberFormat="1" applyFont="1" applyBorder="1" applyAlignment="1">
      <alignment horizontal="center"/>
    </xf>
    <xf numFmtId="38" fontId="27" fillId="0" borderId="39" xfId="9" applyNumberFormat="1" applyFont="1" applyBorder="1" applyAlignment="1">
      <alignment horizontal="center"/>
    </xf>
    <xf numFmtId="38" fontId="27" fillId="0" borderId="40" xfId="9" applyNumberFormat="1" applyFont="1" applyBorder="1" applyAlignment="1">
      <alignment horizontal="center"/>
    </xf>
    <xf numFmtId="38" fontId="27" fillId="0" borderId="41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7" fillId="0" borderId="42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21" borderId="43" xfId="9" applyNumberFormat="1" applyFont="1" applyFill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7" fillId="0" borderId="37" xfId="9" applyNumberFormat="1" applyFont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5" fillId="0" borderId="45" xfId="9" applyNumberFormat="1" applyFont="1" applyBorder="1" applyAlignment="1">
      <alignment horizontal="center"/>
    </xf>
    <xf numFmtId="38" fontId="27" fillId="0" borderId="43" xfId="9" applyNumberFormat="1" applyFont="1" applyBorder="1" applyAlignment="1">
      <alignment horizontal="center"/>
    </xf>
    <xf numFmtId="38" fontId="27" fillId="0" borderId="47" xfId="9" applyNumberFormat="1" applyFont="1" applyBorder="1" applyAlignment="1">
      <alignment horizontal="center"/>
    </xf>
    <xf numFmtId="38" fontId="27" fillId="0" borderId="48" xfId="9" applyNumberFormat="1" applyFont="1" applyBorder="1" applyAlignment="1">
      <alignment horizontal="center"/>
    </xf>
    <xf numFmtId="38" fontId="25" fillId="0" borderId="49" xfId="9" applyNumberFormat="1" applyFont="1" applyBorder="1" applyAlignment="1">
      <alignment horizontal="center"/>
    </xf>
    <xf numFmtId="38" fontId="27" fillId="0" borderId="50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5" fillId="21" borderId="48" xfId="9" applyNumberFormat="1" applyFont="1" applyFill="1" applyBorder="1" applyAlignment="1">
      <alignment horizontal="center"/>
    </xf>
    <xf numFmtId="38" fontId="27" fillId="0" borderId="46" xfId="9" applyNumberFormat="1" applyFont="1" applyBorder="1" applyAlignment="1">
      <alignment horizontal="center"/>
    </xf>
    <xf numFmtId="38" fontId="25" fillId="0" borderId="51" xfId="9" applyNumberFormat="1" applyFont="1" applyBorder="1" applyAlignment="1">
      <alignment horizontal="center"/>
    </xf>
    <xf numFmtId="38" fontId="25" fillId="0" borderId="52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5" fillId="0" borderId="53" xfId="9" applyNumberFormat="1" applyFont="1" applyBorder="1" applyAlignment="1">
      <alignment horizontal="center"/>
    </xf>
    <xf numFmtId="38" fontId="27" fillId="0" borderId="54" xfId="9" applyNumberFormat="1" applyFont="1" applyBorder="1" applyAlignment="1">
      <alignment horizontal="center"/>
    </xf>
    <xf numFmtId="38" fontId="27" fillId="0" borderId="55" xfId="9" applyNumberFormat="1" applyFont="1" applyBorder="1" applyAlignment="1">
      <alignment horizontal="center"/>
    </xf>
    <xf numFmtId="38" fontId="27" fillId="0" borderId="18" xfId="9" applyNumberFormat="1" applyFont="1" applyBorder="1" applyAlignment="1">
      <alignment horizontal="center"/>
    </xf>
    <xf numFmtId="38" fontId="27" fillId="0" borderId="34" xfId="9" applyNumberFormat="1" applyFont="1" applyBorder="1" applyAlignment="1">
      <alignment horizontal="center"/>
    </xf>
    <xf numFmtId="38" fontId="27" fillId="0" borderId="56" xfId="9" applyNumberFormat="1" applyFont="1" applyBorder="1" applyAlignment="1">
      <alignment horizontal="center"/>
    </xf>
    <xf numFmtId="38" fontId="27" fillId="21" borderId="34" xfId="9" applyNumberFormat="1" applyFont="1" applyFill="1" applyBorder="1" applyAlignment="1">
      <alignment horizontal="center"/>
    </xf>
    <xf numFmtId="38" fontId="27" fillId="0" borderId="57" xfId="9" applyNumberFormat="1" applyFont="1" applyBorder="1" applyAlignment="1">
      <alignment horizontal="center"/>
    </xf>
    <xf numFmtId="38" fontId="27" fillId="0" borderId="58" xfId="9" applyNumberFormat="1" applyFont="1" applyBorder="1" applyAlignment="1">
      <alignment horizontal="center"/>
    </xf>
    <xf numFmtId="38" fontId="27" fillId="0" borderId="59" xfId="9" applyNumberFormat="1" applyFont="1" applyBorder="1" applyAlignment="1">
      <alignment horizontal="center"/>
    </xf>
    <xf numFmtId="38" fontId="27" fillId="0" borderId="60" xfId="9" applyNumberFormat="1" applyFont="1" applyBorder="1" applyAlignment="1">
      <alignment horizontal="center"/>
    </xf>
    <xf numFmtId="38" fontId="27" fillId="0" borderId="61" xfId="9" applyNumberFormat="1" applyFont="1" applyBorder="1" applyAlignment="1">
      <alignment horizontal="center"/>
    </xf>
    <xf numFmtId="38" fontId="27" fillId="0" borderId="4" xfId="9" applyNumberFormat="1" applyFont="1" applyBorder="1" applyAlignment="1">
      <alignment horizontal="center"/>
    </xf>
    <xf numFmtId="38" fontId="27" fillId="0" borderId="62" xfId="9" applyNumberFormat="1" applyFont="1" applyBorder="1" applyAlignment="1">
      <alignment horizontal="center"/>
    </xf>
    <xf numFmtId="38" fontId="27" fillId="0" borderId="63" xfId="9" applyNumberFormat="1" applyFont="1" applyBorder="1" applyAlignment="1">
      <alignment horizontal="center"/>
    </xf>
    <xf numFmtId="38" fontId="27" fillId="0" borderId="11" xfId="9" applyNumberFormat="1" applyFont="1" applyBorder="1" applyAlignment="1">
      <alignment horizontal="center"/>
    </xf>
    <xf numFmtId="38" fontId="27" fillId="21" borderId="62" xfId="9" applyNumberFormat="1" applyFont="1" applyFill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7" fillId="0" borderId="64" xfId="9" applyNumberFormat="1" applyFont="1" applyBorder="1" applyAlignment="1">
      <alignment horizontal="center"/>
    </xf>
    <xf numFmtId="38" fontId="27" fillId="0" borderId="65" xfId="9" applyNumberFormat="1" applyFont="1" applyBorder="1" applyAlignment="1">
      <alignment horizontal="center"/>
    </xf>
    <xf numFmtId="38" fontId="27" fillId="0" borderId="66" xfId="9" applyNumberFormat="1" applyFont="1" applyBorder="1" applyAlignment="1">
      <alignment horizontal="center"/>
    </xf>
    <xf numFmtId="38" fontId="27" fillId="0" borderId="67" xfId="9" applyNumberFormat="1" applyFont="1" applyBorder="1" applyAlignment="1">
      <alignment horizontal="center"/>
    </xf>
    <xf numFmtId="38" fontId="27" fillId="0" borderId="68" xfId="9" applyNumberFormat="1" applyFont="1" applyBorder="1" applyAlignment="1">
      <alignment horizontal="center"/>
    </xf>
    <xf numFmtId="38" fontId="27" fillId="0" borderId="70" xfId="9" applyNumberFormat="1" applyFont="1" applyBorder="1" applyAlignment="1">
      <alignment horizontal="center"/>
    </xf>
    <xf numFmtId="38" fontId="27" fillId="0" borderId="71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7" fillId="0" borderId="75" xfId="9" applyNumberFormat="1" applyFont="1" applyBorder="1" applyAlignment="1">
      <alignment horizontal="center"/>
    </xf>
    <xf numFmtId="38" fontId="25" fillId="21" borderId="73" xfId="9" applyNumberFormat="1" applyFont="1" applyFill="1" applyBorder="1" applyAlignment="1">
      <alignment horizontal="center"/>
    </xf>
    <xf numFmtId="38" fontId="27" fillId="0" borderId="69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5" fillId="0" borderId="77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7" fillId="0" borderId="80" xfId="9" applyNumberFormat="1" applyFont="1" applyBorder="1" applyAlignment="1">
      <alignment horizontal="center"/>
    </xf>
    <xf numFmtId="38" fontId="27" fillId="0" borderId="81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7" fillId="0" borderId="85" xfId="9" applyNumberFormat="1" applyFont="1" applyBorder="1" applyAlignment="1">
      <alignment horizontal="center"/>
    </xf>
    <xf numFmtId="38" fontId="25" fillId="21" borderId="83" xfId="9" applyNumberFormat="1" applyFont="1" applyFill="1" applyBorder="1" applyAlignment="1">
      <alignment horizontal="center"/>
    </xf>
    <xf numFmtId="38" fontId="27" fillId="0" borderId="79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7" fillId="0" borderId="20" xfId="9" applyNumberFormat="1" applyFont="1" applyBorder="1" applyAlignment="1">
      <alignment horizontal="center"/>
    </xf>
    <xf numFmtId="38" fontId="27" fillId="0" borderId="88" xfId="9" applyNumberFormat="1" applyFont="1" applyBorder="1" applyAlignment="1">
      <alignment horizontal="center"/>
    </xf>
    <xf numFmtId="38" fontId="27" fillId="0" borderId="89" xfId="9" applyNumberFormat="1" applyFont="1" applyBorder="1" applyAlignment="1">
      <alignment horizontal="center"/>
    </xf>
    <xf numFmtId="38" fontId="27" fillId="0" borderId="90" xfId="9" applyNumberFormat="1" applyFont="1" applyBorder="1" applyAlignment="1">
      <alignment horizontal="center"/>
    </xf>
    <xf numFmtId="38" fontId="27" fillId="0" borderId="91" xfId="9" applyNumberFormat="1" applyFont="1" applyBorder="1" applyAlignment="1">
      <alignment horizontal="center"/>
    </xf>
    <xf numFmtId="38" fontId="27" fillId="0" borderId="13" xfId="9" applyNumberFormat="1" applyFont="1" applyBorder="1" applyAlignment="1">
      <alignment horizontal="center"/>
    </xf>
    <xf numFmtId="38" fontId="27" fillId="21" borderId="90" xfId="9" applyNumberFormat="1" applyFont="1" applyFill="1" applyBorder="1" applyAlignment="1">
      <alignment horizontal="center"/>
    </xf>
    <xf numFmtId="38" fontId="27" fillId="0" borderId="0" xfId="9" applyNumberFormat="1" applyFont="1" applyAlignment="1">
      <alignment horizontal="center"/>
    </xf>
    <xf numFmtId="38" fontId="27" fillId="0" borderId="12" xfId="9" applyNumberFormat="1" applyFont="1" applyBorder="1" applyAlignment="1">
      <alignment horizontal="center"/>
    </xf>
    <xf numFmtId="38" fontId="27" fillId="0" borderId="92" xfId="9" applyNumberFormat="1" applyFont="1" applyBorder="1" applyAlignment="1">
      <alignment horizontal="center"/>
    </xf>
    <xf numFmtId="38" fontId="27" fillId="0" borderId="93" xfId="9" applyNumberFormat="1" applyFont="1" applyBorder="1" applyAlignment="1">
      <alignment horizontal="center"/>
    </xf>
    <xf numFmtId="38" fontId="25" fillId="0" borderId="94" xfId="9" applyNumberFormat="1" applyFont="1" applyBorder="1" applyAlignment="1">
      <alignment horizontal="center"/>
    </xf>
    <xf numFmtId="1" fontId="25" fillId="0" borderId="42" xfId="9" applyNumberFormat="1" applyFont="1" applyBorder="1" applyAlignment="1">
      <alignment horizontal="center"/>
    </xf>
    <xf numFmtId="38" fontId="27" fillId="0" borderId="95" xfId="9" applyNumberFormat="1" applyFont="1" applyBorder="1" applyAlignment="1">
      <alignment horizontal="center"/>
    </xf>
    <xf numFmtId="38" fontId="27" fillId="0" borderId="9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7" fillId="0" borderId="14" xfId="9" applyNumberFormat="1" applyFont="1" applyBorder="1" applyAlignment="1">
      <alignment horizontal="center"/>
    </xf>
    <xf numFmtId="38" fontId="27" fillId="0" borderId="3" xfId="9" applyNumberFormat="1" applyFont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100" xfId="9" applyNumberFormat="1" applyFont="1" applyBorder="1" applyAlignment="1">
      <alignment horizontal="center"/>
    </xf>
    <xf numFmtId="38" fontId="27" fillId="0" borderId="101" xfId="9" applyNumberFormat="1" applyFont="1" applyBorder="1" applyAlignment="1">
      <alignment horizontal="center"/>
    </xf>
    <xf numFmtId="38" fontId="25" fillId="0" borderId="102" xfId="9" applyNumberFormat="1" applyFont="1" applyBorder="1" applyAlignment="1">
      <alignment horizontal="center"/>
    </xf>
    <xf numFmtId="38" fontId="27" fillId="0" borderId="73" xfId="9" applyNumberFormat="1" applyFont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7" fillId="0" borderId="17" xfId="9" applyNumberFormat="1" applyFont="1" applyBorder="1" applyAlignment="1">
      <alignment horizontal="center"/>
    </xf>
    <xf numFmtId="38" fontId="27" fillId="0" borderId="103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7" fillId="0" borderId="104" xfId="9" applyNumberFormat="1" applyFont="1" applyBorder="1" applyAlignment="1">
      <alignment horizontal="center"/>
    </xf>
    <xf numFmtId="38" fontId="25" fillId="0" borderId="105" xfId="9" applyNumberFormat="1" applyFont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7" fillId="0" borderId="107" xfId="9" applyNumberFormat="1" applyFont="1" applyBorder="1" applyAlignment="1">
      <alignment horizontal="center"/>
    </xf>
    <xf numFmtId="38" fontId="27" fillId="0" borderId="108" xfId="9" applyNumberFormat="1" applyFont="1" applyBorder="1" applyAlignment="1">
      <alignment horizontal="center"/>
    </xf>
    <xf numFmtId="38" fontId="27" fillId="0" borderId="109" xfId="9" applyNumberFormat="1" applyFont="1" applyBorder="1" applyAlignment="1">
      <alignment horizontal="center"/>
    </xf>
    <xf numFmtId="38" fontId="27" fillId="0" borderId="110" xfId="9" applyNumberFormat="1" applyFont="1" applyBorder="1" applyAlignment="1">
      <alignment horizontal="center"/>
    </xf>
    <xf numFmtId="38" fontId="27" fillId="0" borderId="111" xfId="9" applyNumberFormat="1" applyFont="1" applyBorder="1" applyAlignment="1">
      <alignment horizontal="center"/>
    </xf>
    <xf numFmtId="38" fontId="27" fillId="21" borderId="110" xfId="9" applyNumberFormat="1" applyFont="1" applyFill="1" applyBorder="1" applyAlignment="1">
      <alignment horizontal="center"/>
    </xf>
    <xf numFmtId="38" fontId="27" fillId="0" borderId="106" xfId="9" applyNumberFormat="1" applyFont="1" applyBorder="1" applyAlignment="1">
      <alignment horizontal="center"/>
    </xf>
    <xf numFmtId="38" fontId="27" fillId="0" borderId="112" xfId="9" applyNumberFormat="1" applyFont="1" applyBorder="1" applyAlignment="1">
      <alignment horizontal="center"/>
    </xf>
    <xf numFmtId="38" fontId="27" fillId="0" borderId="113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7" fillId="21" borderId="57" xfId="9" applyNumberFormat="1" applyFont="1" applyFill="1" applyBorder="1" applyAlignment="1">
      <alignment horizontal="center"/>
    </xf>
    <xf numFmtId="38" fontId="27" fillId="0" borderId="114" xfId="9" applyNumberFormat="1" applyFont="1" applyBorder="1" applyAlignment="1">
      <alignment horizontal="center"/>
    </xf>
    <xf numFmtId="38" fontId="27" fillId="0" borderId="115" xfId="9" applyNumberFormat="1" applyFont="1" applyBorder="1" applyAlignment="1">
      <alignment horizontal="center"/>
    </xf>
    <xf numFmtId="38" fontId="27" fillId="0" borderId="116" xfId="9" applyNumberFormat="1" applyFont="1" applyBorder="1" applyAlignment="1">
      <alignment horizontal="center"/>
    </xf>
    <xf numFmtId="38" fontId="27" fillId="0" borderId="117" xfId="9" applyNumberFormat="1" applyFont="1" applyBorder="1" applyAlignment="1">
      <alignment horizontal="center"/>
    </xf>
    <xf numFmtId="38" fontId="27" fillId="0" borderId="118" xfId="9" applyNumberFormat="1" applyFont="1" applyBorder="1" applyAlignment="1">
      <alignment horizontal="center"/>
    </xf>
    <xf numFmtId="38" fontId="27" fillId="0" borderId="119" xfId="9" applyNumberFormat="1" applyFont="1" applyBorder="1" applyAlignment="1">
      <alignment horizontal="center"/>
    </xf>
    <xf numFmtId="38" fontId="27" fillId="0" borderId="10" xfId="9" applyNumberFormat="1" applyFont="1" applyBorder="1" applyAlignment="1">
      <alignment horizontal="center"/>
    </xf>
    <xf numFmtId="38" fontId="27" fillId="0" borderId="120" xfId="9" applyNumberFormat="1" applyFont="1" applyBorder="1" applyAlignment="1">
      <alignment horizontal="center"/>
    </xf>
    <xf numFmtId="38" fontId="27" fillId="0" borderId="174" xfId="9" applyNumberFormat="1" applyFont="1" applyBorder="1" applyAlignment="1">
      <alignment horizontal="center"/>
    </xf>
    <xf numFmtId="38" fontId="25" fillId="0" borderId="122" xfId="10" applyNumberFormat="1" applyFont="1" applyBorder="1" applyAlignment="1">
      <alignment vertical="top"/>
    </xf>
    <xf numFmtId="38" fontId="27" fillId="0" borderId="123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5" fillId="0" borderId="175" xfId="9" applyNumberFormat="1" applyFont="1" applyBorder="1" applyAlignment="1">
      <alignment horizontal="center"/>
    </xf>
    <xf numFmtId="38" fontId="27" fillId="0" borderId="125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21" borderId="78" xfId="9" applyNumberFormat="1" applyFont="1" applyFill="1" applyBorder="1" applyAlignment="1">
      <alignment horizontal="center"/>
    </xf>
    <xf numFmtId="38" fontId="25" fillId="0" borderId="124" xfId="9" applyNumberFormat="1" applyFont="1" applyBorder="1" applyAlignment="1">
      <alignment horizontal="center"/>
    </xf>
    <xf numFmtId="38" fontId="27" fillId="0" borderId="121" xfId="9" applyNumberFormat="1" applyFont="1" applyBorder="1" applyAlignment="1">
      <alignment horizontal="center"/>
    </xf>
    <xf numFmtId="38" fontId="25" fillId="0" borderId="127" xfId="9" applyNumberFormat="1" applyFont="1" applyBorder="1" applyAlignment="1">
      <alignment horizontal="center"/>
    </xf>
    <xf numFmtId="38" fontId="25" fillId="0" borderId="38" xfId="10" applyNumberFormat="1" applyFont="1" applyBorder="1" applyAlignment="1">
      <alignment horizontal="left" vertical="top"/>
    </xf>
    <xf numFmtId="38" fontId="25" fillId="0" borderId="37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0" borderId="38" xfId="10" applyNumberFormat="1" applyFont="1" applyBorder="1" applyAlignment="1">
      <alignment vertical="top"/>
    </xf>
    <xf numFmtId="38" fontId="25" fillId="0" borderId="125" xfId="9" applyNumberFormat="1" applyFont="1" applyBorder="1" applyAlignment="1">
      <alignment horizontal="center"/>
    </xf>
    <xf numFmtId="38" fontId="25" fillId="0" borderId="80" xfId="10" applyNumberFormat="1" applyFont="1" applyBorder="1" applyAlignment="1">
      <alignment vertical="top"/>
    </xf>
    <xf numFmtId="38" fontId="25" fillId="0" borderId="79" xfId="9" applyNumberFormat="1" applyFont="1" applyBorder="1" applyAlignment="1">
      <alignment horizontal="center"/>
    </xf>
    <xf numFmtId="38" fontId="25" fillId="0" borderId="177" xfId="9" applyNumberFormat="1" applyFont="1" applyBorder="1" applyAlignment="1">
      <alignment horizontal="center"/>
    </xf>
    <xf numFmtId="38" fontId="27" fillId="0" borderId="178" xfId="9" applyNumberFormat="1" applyFont="1" applyBorder="1" applyAlignment="1">
      <alignment horizontal="center"/>
    </xf>
    <xf numFmtId="38" fontId="27" fillId="0" borderId="179" xfId="9" applyNumberFormat="1" applyFont="1" applyBorder="1" applyAlignment="1">
      <alignment horizontal="center"/>
    </xf>
    <xf numFmtId="38" fontId="27" fillId="0" borderId="180" xfId="9" applyNumberFormat="1" applyFont="1" applyBorder="1" applyAlignment="1">
      <alignment horizontal="center"/>
    </xf>
    <xf numFmtId="38" fontId="27" fillId="0" borderId="148" xfId="9" applyNumberFormat="1" applyFont="1" applyBorder="1" applyAlignment="1">
      <alignment horizontal="center"/>
    </xf>
    <xf numFmtId="38" fontId="27" fillId="0" borderId="181" xfId="9" applyNumberFormat="1" applyFont="1" applyBorder="1" applyAlignment="1">
      <alignment horizontal="center"/>
    </xf>
    <xf numFmtId="38" fontId="27" fillId="21" borderId="179" xfId="9" applyNumberFormat="1" applyFont="1" applyFill="1" applyBorder="1" applyAlignment="1">
      <alignment horizontal="center"/>
    </xf>
    <xf numFmtId="38" fontId="27" fillId="0" borderId="6" xfId="9" applyNumberFormat="1" applyFont="1" applyBorder="1" applyAlignment="1">
      <alignment horizontal="center"/>
    </xf>
    <xf numFmtId="38" fontId="27" fillId="0" borderId="150" xfId="9" applyNumberFormat="1" applyFont="1" applyBorder="1" applyAlignment="1">
      <alignment horizontal="center"/>
    </xf>
    <xf numFmtId="38" fontId="27" fillId="0" borderId="170" xfId="9" applyNumberFormat="1" applyFont="1" applyBorder="1" applyAlignment="1">
      <alignment horizontal="center"/>
    </xf>
    <xf numFmtId="38" fontId="27" fillId="0" borderId="72" xfId="9" applyNumberFormat="1" applyFont="1" applyBorder="1" applyAlignment="1">
      <alignment horizontal="center"/>
    </xf>
    <xf numFmtId="38" fontId="27" fillId="0" borderId="122" xfId="9" applyNumberFormat="1" applyFont="1" applyBorder="1" applyAlignment="1">
      <alignment horizontal="center"/>
    </xf>
    <xf numFmtId="38" fontId="27" fillId="0" borderId="126" xfId="9" applyNumberFormat="1" applyFont="1" applyBorder="1" applyAlignment="1">
      <alignment horizontal="center"/>
    </xf>
    <xf numFmtId="38" fontId="27" fillId="0" borderId="78" xfId="9" applyNumberFormat="1" applyFont="1" applyBorder="1" applyAlignment="1">
      <alignment horizontal="center"/>
    </xf>
    <xf numFmtId="38" fontId="25" fillId="0" borderId="129" xfId="9" applyNumberFormat="1" applyFont="1" applyBorder="1" applyAlignment="1">
      <alignment horizontal="center"/>
    </xf>
    <xf numFmtId="38" fontId="27" fillId="0" borderId="128" xfId="9" applyNumberFormat="1" applyFont="1" applyBorder="1" applyAlignment="1">
      <alignment horizontal="center"/>
    </xf>
    <xf numFmtId="38" fontId="25" fillId="0" borderId="130" xfId="9" applyNumberFormat="1" applyFont="1" applyBorder="1" applyAlignment="1">
      <alignment horizontal="center"/>
    </xf>
    <xf numFmtId="38" fontId="27" fillId="0" borderId="131" xfId="9" applyNumberFormat="1" applyFont="1" applyBorder="1" applyAlignment="1">
      <alignment horizontal="center"/>
    </xf>
    <xf numFmtId="38" fontId="25" fillId="0" borderId="132" xfId="9" applyNumberFormat="1" applyFont="1" applyBorder="1" applyAlignment="1">
      <alignment horizontal="center"/>
    </xf>
    <xf numFmtId="38" fontId="25" fillId="21" borderId="129" xfId="9" applyNumberFormat="1" applyFont="1" applyFill="1" applyBorder="1" applyAlignment="1">
      <alignment horizontal="center"/>
    </xf>
    <xf numFmtId="38" fontId="27" fillId="0" borderId="133" xfId="9" applyNumberFormat="1" applyFont="1" applyBorder="1" applyAlignment="1">
      <alignment horizontal="center"/>
    </xf>
    <xf numFmtId="38" fontId="25" fillId="0" borderId="134" xfId="9" applyNumberFormat="1" applyFont="1" applyBorder="1" applyAlignment="1">
      <alignment horizontal="center"/>
    </xf>
    <xf numFmtId="38" fontId="25" fillId="0" borderId="135" xfId="9" applyNumberFormat="1" applyFont="1" applyBorder="1" applyAlignment="1">
      <alignment horizontal="center"/>
    </xf>
    <xf numFmtId="38" fontId="27" fillId="0" borderId="82" xfId="9" applyNumberFormat="1" applyFont="1" applyBorder="1" applyAlignment="1">
      <alignment horizontal="center"/>
    </xf>
    <xf numFmtId="38" fontId="27" fillId="0" borderId="83" xfId="9" applyNumberFormat="1" applyFont="1" applyBorder="1" applyAlignment="1">
      <alignment horizontal="center"/>
    </xf>
    <xf numFmtId="38" fontId="27" fillId="0" borderId="140" xfId="9" applyNumberFormat="1" applyFont="1" applyBorder="1" applyAlignment="1">
      <alignment horizontal="center"/>
    </xf>
    <xf numFmtId="38" fontId="27" fillId="0" borderId="136" xfId="9" applyNumberFormat="1" applyFont="1" applyBorder="1" applyAlignment="1">
      <alignment horizontal="center"/>
    </xf>
    <xf numFmtId="38" fontId="27" fillId="0" borderId="138" xfId="9" applyNumberFormat="1" applyFont="1" applyBorder="1" applyAlignment="1">
      <alignment horizontal="center"/>
    </xf>
    <xf numFmtId="38" fontId="27" fillId="0" borderId="137" xfId="9" applyNumberFormat="1" applyFont="1" applyBorder="1" applyAlignment="1">
      <alignment horizontal="center"/>
    </xf>
    <xf numFmtId="38" fontId="27" fillId="0" borderId="1" xfId="9" applyNumberFormat="1" applyFont="1" applyBorder="1" applyAlignment="1">
      <alignment horizontal="center"/>
    </xf>
    <xf numFmtId="38" fontId="27" fillId="21" borderId="92" xfId="9" applyNumberFormat="1" applyFont="1" applyFill="1" applyBorder="1" applyAlignment="1">
      <alignment horizontal="center"/>
    </xf>
    <xf numFmtId="38" fontId="27" fillId="0" borderId="5" xfId="9" applyNumberFormat="1" applyFont="1" applyBorder="1" applyAlignment="1">
      <alignment horizontal="center"/>
    </xf>
    <xf numFmtId="38" fontId="27" fillId="0" borderId="19" xfId="9" applyNumberFormat="1" applyFont="1" applyBorder="1" applyAlignment="1">
      <alignment horizontal="center"/>
    </xf>
    <xf numFmtId="38" fontId="27" fillId="0" borderId="139" xfId="9" applyNumberFormat="1" applyFont="1" applyBorder="1" applyAlignment="1">
      <alignment horizontal="center"/>
    </xf>
    <xf numFmtId="38" fontId="27" fillId="0" borderId="15" xfId="9" applyNumberFormat="1" applyFont="1" applyBorder="1" applyAlignment="1">
      <alignment horizontal="center"/>
    </xf>
    <xf numFmtId="38" fontId="27" fillId="21" borderId="138" xfId="9" applyNumberFormat="1" applyFont="1" applyFill="1" applyBorder="1" applyAlignment="1">
      <alignment horizontal="center"/>
    </xf>
    <xf numFmtId="38" fontId="25" fillId="0" borderId="38" xfId="9" applyNumberFormat="1" applyFont="1" applyBorder="1" applyAlignment="1">
      <alignment horizontal="left" vertical="top"/>
    </xf>
    <xf numFmtId="38" fontId="27" fillId="21" borderId="72" xfId="9" applyNumberFormat="1" applyFont="1" applyFill="1" applyBorder="1" applyAlignment="1">
      <alignment horizontal="center"/>
    </xf>
    <xf numFmtId="38" fontId="27" fillId="0" borderId="74" xfId="9" applyNumberFormat="1" applyFont="1" applyBorder="1" applyAlignment="1">
      <alignment horizontal="center"/>
    </xf>
    <xf numFmtId="38" fontId="27" fillId="0" borderId="76" xfId="9" applyNumberFormat="1" applyFont="1" applyBorder="1" applyAlignment="1">
      <alignment horizontal="center"/>
    </xf>
    <xf numFmtId="38" fontId="27" fillId="0" borderId="176" xfId="9" applyNumberFormat="1" applyFont="1" applyBorder="1" applyAlignment="1">
      <alignment horizontal="center"/>
    </xf>
    <xf numFmtId="38" fontId="27" fillId="21" borderId="40" xfId="9" applyNumberFormat="1" applyFont="1" applyFill="1" applyBorder="1" applyAlignment="1">
      <alignment horizontal="center"/>
    </xf>
    <xf numFmtId="38" fontId="27" fillId="0" borderId="44" xfId="9" applyNumberFormat="1" applyFont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left" vertical="top"/>
    </xf>
    <xf numFmtId="38" fontId="27" fillId="0" borderId="177" xfId="9" applyNumberFormat="1" applyFont="1" applyBorder="1" applyAlignment="1">
      <alignment horizontal="center"/>
    </xf>
    <xf numFmtId="38" fontId="27" fillId="21" borderId="82" xfId="9" applyNumberFormat="1" applyFont="1" applyFill="1" applyBorder="1" applyAlignment="1">
      <alignment horizontal="center"/>
    </xf>
    <xf numFmtId="38" fontId="27" fillId="0" borderId="84" xfId="9" applyNumberFormat="1" applyFont="1" applyBorder="1" applyAlignment="1">
      <alignment horizontal="center"/>
    </xf>
    <xf numFmtId="38" fontId="27" fillId="0" borderId="86" xfId="9" applyNumberFormat="1" applyFont="1" applyBorder="1" applyAlignment="1">
      <alignment horizontal="center"/>
    </xf>
    <xf numFmtId="38" fontId="27" fillId="0" borderId="87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left" vertical="top"/>
    </xf>
    <xf numFmtId="38" fontId="25" fillId="0" borderId="101" xfId="9" applyNumberFormat="1" applyFont="1" applyBorder="1" applyAlignment="1">
      <alignment horizontal="center"/>
    </xf>
    <xf numFmtId="38" fontId="25" fillId="0" borderId="18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left" vertical="top"/>
    </xf>
    <xf numFmtId="38" fontId="25" fillId="0" borderId="183" xfId="9" applyNumberFormat="1" applyFont="1" applyBorder="1" applyAlignment="1">
      <alignment horizontal="center"/>
    </xf>
    <xf numFmtId="38" fontId="25" fillId="0" borderId="184" xfId="9" applyNumberFormat="1" applyFont="1" applyBorder="1" applyAlignment="1">
      <alignment horizontal="center"/>
    </xf>
    <xf numFmtId="38" fontId="25" fillId="0" borderId="185" xfId="9" applyNumberFormat="1" applyFont="1" applyBorder="1" applyAlignment="1">
      <alignment horizontal="center"/>
    </xf>
    <xf numFmtId="38" fontId="25" fillId="0" borderId="186" xfId="9" applyNumberFormat="1" applyFont="1" applyBorder="1" applyAlignment="1">
      <alignment horizontal="center"/>
    </xf>
    <xf numFmtId="38" fontId="27" fillId="0" borderId="97" xfId="9" applyNumberFormat="1" applyFont="1" applyBorder="1" applyAlignment="1">
      <alignment horizontal="center"/>
    </xf>
    <xf numFmtId="38" fontId="27" fillId="0" borderId="98" xfId="9" applyNumberFormat="1" applyFont="1" applyBorder="1" applyAlignment="1">
      <alignment horizontal="center"/>
    </xf>
    <xf numFmtId="38" fontId="27" fillId="0" borderId="99" xfId="9" applyNumberFormat="1" applyFont="1" applyBorder="1" applyAlignment="1">
      <alignment horizontal="center"/>
    </xf>
    <xf numFmtId="38" fontId="27" fillId="21" borderId="98" xfId="9" applyNumberFormat="1" applyFont="1" applyFill="1" applyBorder="1" applyAlignment="1">
      <alignment horizontal="center"/>
    </xf>
    <xf numFmtId="38" fontId="27" fillId="0" borderId="16" xfId="9" applyNumberFormat="1" applyFont="1" applyBorder="1" applyAlignment="1">
      <alignment horizontal="center"/>
    </xf>
    <xf numFmtId="38" fontId="27" fillId="0" borderId="141" xfId="9" applyNumberFormat="1" applyFont="1" applyBorder="1" applyAlignment="1">
      <alignment horizontal="center"/>
    </xf>
    <xf numFmtId="38" fontId="25" fillId="0" borderId="0" xfId="9" applyNumberFormat="1" applyFont="1" applyAlignment="1">
      <alignment horizontal="left"/>
    </xf>
    <xf numFmtId="171" fontId="27" fillId="0" borderId="0" xfId="9" applyNumberFormat="1" applyFont="1" applyAlignment="1">
      <alignment horizontal="left"/>
    </xf>
    <xf numFmtId="171" fontId="25" fillId="22" borderId="0" xfId="9" applyNumberFormat="1" applyFont="1" applyFill="1" applyAlignment="1">
      <alignment horizontal="left"/>
    </xf>
    <xf numFmtId="171" fontId="25" fillId="6" borderId="0" xfId="9" applyNumberFormat="1" applyFont="1" applyFill="1" applyAlignment="1">
      <alignment horizontal="left"/>
    </xf>
    <xf numFmtId="171" fontId="25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5" fillId="2" borderId="3" xfId="0" applyFont="1" applyFill="1" applyBorder="1" applyAlignment="1">
      <alignment vertical="center"/>
    </xf>
    <xf numFmtId="0" fontId="35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9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2" fillId="46" borderId="0" xfId="0" applyFont="1" applyFill="1"/>
    <xf numFmtId="168" fontId="0" fillId="0" borderId="2" xfId="0" applyNumberFormat="1" applyBorder="1"/>
    <xf numFmtId="0" fontId="32" fillId="46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4" fillId="0" borderId="0" xfId="0" applyFont="1"/>
    <xf numFmtId="0" fontId="103" fillId="2" borderId="0" xfId="0" applyFont="1" applyFill="1" applyBorder="1" applyAlignment="1">
      <alignment horizontal="left" vertical="center"/>
    </xf>
    <xf numFmtId="168" fontId="19" fillId="20" borderId="0" xfId="0" applyNumberFormat="1" applyFont="1" applyFill="1" applyBorder="1"/>
    <xf numFmtId="168" fontId="19" fillId="0" borderId="0" xfId="0" applyNumberFormat="1" applyFont="1" applyBorder="1"/>
    <xf numFmtId="168" fontId="19" fillId="0" borderId="2" xfId="0" applyNumberFormat="1" applyFont="1" applyBorder="1"/>
    <xf numFmtId="0" fontId="103" fillId="47" borderId="0" xfId="0" applyFont="1" applyFill="1" applyBorder="1" applyAlignment="1">
      <alignment horizontal="left" vertical="center"/>
    </xf>
    <xf numFmtId="0" fontId="0" fillId="47" borderId="0" xfId="0" applyFill="1" applyBorder="1"/>
    <xf numFmtId="0" fontId="0" fillId="47" borderId="0" xfId="0" applyFill="1"/>
    <xf numFmtId="0" fontId="4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7" fillId="0" borderId="0" xfId="0" applyNumberFormat="1" applyFont="1"/>
    <xf numFmtId="0" fontId="3" fillId="0" borderId="0" xfId="0" applyFont="1"/>
    <xf numFmtId="0" fontId="0" fillId="0" borderId="0" xfId="0" applyFill="1" applyBorder="1"/>
    <xf numFmtId="168" fontId="3" fillId="46" borderId="0" xfId="0" applyNumberFormat="1" applyFont="1" applyFill="1"/>
    <xf numFmtId="0" fontId="31" fillId="48" borderId="0" xfId="0" applyFont="1" applyFill="1"/>
    <xf numFmtId="9" fontId="31" fillId="48" borderId="0" xfId="1" applyFont="1" applyFill="1"/>
    <xf numFmtId="166" fontId="31" fillId="48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9" fillId="35" borderId="106" xfId="0" applyNumberFormat="1" applyFont="1" applyFill="1" applyBorder="1"/>
    <xf numFmtId="0" fontId="0" fillId="0" borderId="0" xfId="0"/>
    <xf numFmtId="168" fontId="18" fillId="0" borderId="0" xfId="0" applyNumberFormat="1" applyFont="1" applyFill="1"/>
    <xf numFmtId="0" fontId="0" fillId="0" borderId="0" xfId="0"/>
    <xf numFmtId="0" fontId="35" fillId="2" borderId="7" xfId="0" applyFont="1" applyFill="1" applyBorder="1" applyAlignment="1">
      <alignment horizontal="left" vertical="center"/>
    </xf>
    <xf numFmtId="0" fontId="32" fillId="46" borderId="8" xfId="0" applyFont="1" applyFill="1" applyBorder="1"/>
    <xf numFmtId="168" fontId="19" fillId="20" borderId="9" xfId="0" applyNumberFormat="1" applyFont="1" applyFill="1" applyBorder="1"/>
    <xf numFmtId="168" fontId="19" fillId="0" borderId="9" xfId="0" applyNumberFormat="1" applyFont="1" applyBorder="1"/>
    <xf numFmtId="168" fontId="19" fillId="0" borderId="8" xfId="0" applyNumberFormat="1" applyFont="1" applyBorder="1"/>
    <xf numFmtId="168" fontId="19" fillId="35" borderId="151" xfId="0" applyNumberFormat="1" applyFont="1" applyFill="1" applyBorder="1"/>
    <xf numFmtId="0" fontId="32" fillId="46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5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9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9" fillId="19" borderId="0" xfId="0" applyFont="1" applyFill="1"/>
    <xf numFmtId="168" fontId="19" fillId="19" borderId="0" xfId="0" applyNumberFormat="1" applyFont="1" applyFill="1" applyBorder="1"/>
    <xf numFmtId="0" fontId="0" fillId="0" borderId="0" xfId="0"/>
    <xf numFmtId="168" fontId="47" fillId="0" borderId="0" xfId="0" applyNumberFormat="1" applyFont="1" applyBorder="1" applyAlignment="1">
      <alignment horizontal="center" vertical="center" wrapText="1"/>
    </xf>
    <xf numFmtId="168" fontId="47" fillId="0" borderId="0" xfId="0" applyNumberFormat="1" applyFont="1" applyBorder="1" applyAlignment="1">
      <alignment horizontal="center" vertical="center" wrapText="1"/>
    </xf>
    <xf numFmtId="0" fontId="59" fillId="7" borderId="0" xfId="0" applyFont="1" applyFill="1"/>
    <xf numFmtId="166" fontId="39" fillId="35" borderId="0" xfId="1" applyNumberFormat="1" applyFont="1" applyFill="1"/>
    <xf numFmtId="0" fontId="0" fillId="0" borderId="0" xfId="0"/>
    <xf numFmtId="0" fontId="0" fillId="0" borderId="0" xfId="0"/>
    <xf numFmtId="0" fontId="0" fillId="0" borderId="0" xfId="0"/>
    <xf numFmtId="168" fontId="47" fillId="0" borderId="0" xfId="0" applyNumberFormat="1" applyFont="1" applyBorder="1" applyAlignment="1">
      <alignment horizontal="center" vertical="center" wrapText="1"/>
    </xf>
    <xf numFmtId="0" fontId="0" fillId="0" borderId="0" xfId="0" applyFont="1"/>
    <xf numFmtId="181" fontId="39" fillId="35" borderId="0" xfId="0" applyNumberFormat="1" applyFont="1" applyFill="1"/>
    <xf numFmtId="181" fontId="8" fillId="5" borderId="0" xfId="0" applyNumberFormat="1" applyFont="1" applyFill="1"/>
    <xf numFmtId="168" fontId="47" fillId="0" borderId="0" xfId="0" applyNumberFormat="1" applyFont="1" applyBorder="1" applyAlignment="1">
      <alignment horizontal="center" vertical="center" wrapText="1"/>
    </xf>
    <xf numFmtId="0" fontId="32" fillId="46" borderId="0" xfId="0" applyFont="1" applyFill="1" applyBorder="1"/>
    <xf numFmtId="167" fontId="19" fillId="0" borderId="0" xfId="0" applyNumberFormat="1" applyFont="1" applyBorder="1" applyAlignment="1">
      <alignment horizontal="center"/>
    </xf>
    <xf numFmtId="167" fontId="19" fillId="35" borderId="0" xfId="0" applyNumberFormat="1" applyFont="1" applyFill="1" applyBorder="1" applyAlignment="1">
      <alignment horizontal="center"/>
    </xf>
    <xf numFmtId="167" fontId="36" fillId="19" borderId="0" xfId="0" applyNumberFormat="1" applyFont="1" applyFill="1" applyBorder="1" applyAlignment="1">
      <alignment horizontal="center"/>
    </xf>
    <xf numFmtId="167" fontId="19" fillId="19" borderId="0" xfId="0" applyNumberFormat="1" applyFont="1" applyFill="1" applyBorder="1" applyAlignment="1">
      <alignment horizontal="center"/>
    </xf>
    <xf numFmtId="167" fontId="19" fillId="0" borderId="0" xfId="0" applyNumberFormat="1" applyFont="1" applyBorder="1" applyAlignment="1">
      <alignment horizontal="center" vertical="center" wrapText="1"/>
    </xf>
    <xf numFmtId="167" fontId="19" fillId="7" borderId="0" xfId="0" applyNumberFormat="1" applyFont="1" applyFill="1" applyBorder="1" applyAlignment="1">
      <alignment horizontal="center" vertical="center" wrapText="1"/>
    </xf>
    <xf numFmtId="0" fontId="2" fillId="0" borderId="0" xfId="0" applyFont="1"/>
    <xf numFmtId="166" fontId="39" fillId="0" borderId="0" xfId="1" applyNumberFormat="1" applyFont="1"/>
    <xf numFmtId="166" fontId="18" fillId="0" borderId="0" xfId="1" applyNumberFormat="1" applyFont="1"/>
    <xf numFmtId="166" fontId="13" fillId="34" borderId="0" xfId="1" applyNumberFormat="1" applyFont="1" applyFill="1" applyBorder="1"/>
    <xf numFmtId="166" fontId="13" fillId="5" borderId="0" xfId="1" applyNumberFormat="1" applyFont="1" applyFill="1"/>
    <xf numFmtId="166" fontId="13" fillId="34" borderId="0" xfId="1" applyNumberFormat="1" applyFont="1" applyFill="1"/>
    <xf numFmtId="166" fontId="39" fillId="5" borderId="0" xfId="1" applyNumberFormat="1" applyFont="1" applyFill="1"/>
    <xf numFmtId="10" fontId="39" fillId="0" borderId="0" xfId="1" applyNumberFormat="1" applyFont="1"/>
    <xf numFmtId="10" fontId="13" fillId="34" borderId="0" xfId="1" applyNumberFormat="1" applyFont="1" applyFill="1" applyBorder="1"/>
    <xf numFmtId="10" fontId="39" fillId="35" borderId="0" xfId="1" applyNumberFormat="1" applyFont="1" applyFill="1"/>
    <xf numFmtId="0" fontId="0" fillId="0" borderId="0" xfId="0"/>
    <xf numFmtId="182" fontId="39" fillId="35" borderId="0" xfId="0" applyNumberFormat="1" applyFont="1" applyFill="1"/>
    <xf numFmtId="182" fontId="8" fillId="5" borderId="0" xfId="0" applyNumberFormat="1" applyFont="1" applyFill="1"/>
    <xf numFmtId="10" fontId="69" fillId="29" borderId="146" xfId="1" applyNumberFormat="1" applyFont="1" applyFill="1" applyBorder="1" applyAlignment="1" applyProtection="1">
      <alignment horizontal="right"/>
      <protection locked="0"/>
    </xf>
    <xf numFmtId="10" fontId="36" fillId="0" borderId="0" xfId="1" applyNumberFormat="1" applyFont="1" applyAlignment="1" applyProtection="1">
      <alignment horizontal="right"/>
      <protection locked="0"/>
    </xf>
    <xf numFmtId="10" fontId="36" fillId="11" borderId="157" xfId="1" applyNumberFormat="1" applyFont="1" applyFill="1" applyBorder="1" applyAlignment="1" applyProtection="1">
      <alignment horizontal="left" vertical="center" wrapText="1"/>
      <protection locked="0"/>
    </xf>
    <xf numFmtId="10" fontId="49" fillId="0" borderId="154" xfId="1" applyNumberFormat="1" applyFont="1" applyBorder="1" applyAlignment="1">
      <alignment horizontal="left"/>
    </xf>
    <xf numFmtId="10" fontId="36" fillId="38" borderId="157" xfId="1" applyNumberFormat="1" applyFont="1" applyFill="1" applyBorder="1" applyAlignment="1" applyProtection="1">
      <alignment horizontal="left" vertical="center" wrapText="1"/>
      <protection locked="0"/>
    </xf>
    <xf numFmtId="10" fontId="49" fillId="38" borderId="154" xfId="1" applyNumberFormat="1" applyFont="1" applyFill="1" applyBorder="1" applyAlignment="1">
      <alignment horizontal="left"/>
    </xf>
    <xf numFmtId="10" fontId="49" fillId="23" borderId="154" xfId="1" applyNumberFormat="1" applyFont="1" applyFill="1" applyBorder="1" applyAlignment="1">
      <alignment horizontal="left"/>
    </xf>
    <xf numFmtId="10" fontId="36" fillId="23" borderId="157" xfId="1" applyNumberFormat="1" applyFont="1" applyFill="1" applyBorder="1" applyAlignment="1" applyProtection="1">
      <alignment horizontal="left" vertical="center" wrapText="1"/>
      <protection locked="0"/>
    </xf>
    <xf numFmtId="166" fontId="74" fillId="0" borderId="153" xfId="0" applyNumberFormat="1" applyFont="1" applyBorder="1" applyAlignment="1"/>
    <xf numFmtId="49" fontId="90" fillId="49" borderId="217" xfId="11" applyNumberFormat="1" applyFont="1" applyFill="1" applyBorder="1" applyAlignment="1">
      <alignment horizontal="left" vertical="center"/>
    </xf>
    <xf numFmtId="2" fontId="90" fillId="41" borderId="217" xfId="11" applyNumberFormat="1" applyFont="1" applyFill="1" applyBorder="1" applyAlignment="1">
      <alignment horizontal="right" vertical="center"/>
    </xf>
    <xf numFmtId="0" fontId="90" fillId="41" borderId="217" xfId="11" applyFont="1" applyFill="1" applyBorder="1" applyAlignment="1">
      <alignment horizontal="right" vertical="center"/>
    </xf>
    <xf numFmtId="2" fontId="90" fillId="50" borderId="217" xfId="11" applyNumberFormat="1" applyFont="1" applyFill="1" applyBorder="1" applyAlignment="1">
      <alignment horizontal="right" vertical="center"/>
    </xf>
    <xf numFmtId="166" fontId="74" fillId="0" borderId="142" xfId="0" applyNumberFormat="1" applyFont="1" applyBorder="1" applyAlignment="1"/>
    <xf numFmtId="166" fontId="43" fillId="2" borderId="151" xfId="0" applyNumberFormat="1" applyFont="1" applyFill="1" applyBorder="1" applyAlignment="1" applyProtection="1">
      <alignment vertical="center" wrapText="1"/>
      <protection locked="0"/>
    </xf>
    <xf numFmtId="0" fontId="0" fillId="0" borderId="0" xfId="0"/>
    <xf numFmtId="0" fontId="39" fillId="5" borderId="0" xfId="6" applyFont="1" applyFill="1" applyAlignment="1">
      <alignment vertical="center"/>
    </xf>
    <xf numFmtId="0" fontId="53" fillId="5" borderId="0" xfId="6" applyFont="1" applyFill="1" applyAlignment="1">
      <alignment horizontal="center" vertical="center"/>
    </xf>
    <xf numFmtId="0" fontId="48" fillId="5" borderId="0" xfId="8" applyFill="1" applyAlignment="1">
      <alignment vertical="center"/>
    </xf>
    <xf numFmtId="165" fontId="85" fillId="39" borderId="113" xfId="0" applyNumberFormat="1" applyFont="1" applyFill="1" applyBorder="1" applyAlignment="1">
      <alignment horizontal="center" vertical="center"/>
    </xf>
    <xf numFmtId="165" fontId="85" fillId="39" borderId="106" xfId="0" applyNumberFormat="1" applyFont="1" applyFill="1" applyBorder="1" applyAlignment="1">
      <alignment horizontal="center" vertical="center"/>
    </xf>
    <xf numFmtId="165" fontId="85" fillId="39" borderId="146" xfId="0" applyNumberFormat="1" applyFont="1" applyFill="1" applyBorder="1" applyAlignment="1">
      <alignment horizontal="center" vertical="center"/>
    </xf>
    <xf numFmtId="165" fontId="85" fillId="12" borderId="68" xfId="0" applyNumberFormat="1" applyFont="1" applyFill="1" applyBorder="1" applyAlignment="1">
      <alignment horizontal="center" vertical="center"/>
    </xf>
    <xf numFmtId="165" fontId="85" fillId="12" borderId="166" xfId="0" applyNumberFormat="1" applyFont="1" applyFill="1" applyBorder="1" applyAlignment="1">
      <alignment horizontal="center" vertical="center"/>
    </xf>
    <xf numFmtId="0" fontId="81" fillId="0" borderId="93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10" borderId="93" xfId="0" applyFont="1" applyFill="1" applyBorder="1" applyAlignment="1">
      <alignment horizontal="center" vertical="center"/>
    </xf>
    <xf numFmtId="0" fontId="84" fillId="10" borderId="0" xfId="0" applyFont="1" applyFill="1" applyAlignment="1">
      <alignment horizontal="center" vertical="center"/>
    </xf>
    <xf numFmtId="165" fontId="20" fillId="39" borderId="12" xfId="0" applyNumberFormat="1" applyFont="1" applyFill="1" applyBorder="1" applyAlignment="1">
      <alignment horizontal="center" vertical="center"/>
    </xf>
    <xf numFmtId="165" fontId="20" fillId="39" borderId="0" xfId="0" applyNumberFormat="1" applyFont="1" applyFill="1" applyAlignment="1">
      <alignment horizontal="center" vertical="center"/>
    </xf>
    <xf numFmtId="165" fontId="20" fillId="39" borderId="19" xfId="0" applyNumberFormat="1" applyFont="1" applyFill="1" applyBorder="1" applyAlignment="1">
      <alignment horizontal="center" vertical="center"/>
    </xf>
    <xf numFmtId="165" fontId="20" fillId="39" borderId="5" xfId="0" applyNumberFormat="1" applyFont="1" applyFill="1" applyBorder="1" applyAlignment="1">
      <alignment horizontal="center" vertical="center"/>
    </xf>
    <xf numFmtId="165" fontId="20" fillId="39" borderId="15" xfId="0" applyNumberFormat="1" applyFont="1" applyFill="1" applyBorder="1" applyAlignment="1">
      <alignment horizontal="center" vertical="center"/>
    </xf>
    <xf numFmtId="0" fontId="43" fillId="11" borderId="113" xfId="0" applyFont="1" applyFill="1" applyBorder="1" applyAlignment="1" applyProtection="1">
      <alignment horizontal="center"/>
      <protection locked="0"/>
    </xf>
    <xf numFmtId="0" fontId="43" fillId="11" borderId="106" xfId="0" applyFont="1" applyFill="1" applyBorder="1" applyAlignment="1" applyProtection="1">
      <alignment horizontal="center"/>
      <protection locked="0"/>
    </xf>
    <xf numFmtId="0" fontId="43" fillId="11" borderId="146" xfId="0" applyFont="1" applyFill="1" applyBorder="1" applyAlignment="1" applyProtection="1">
      <alignment horizontal="center"/>
      <protection locked="0"/>
    </xf>
    <xf numFmtId="2" fontId="49" fillId="0" borderId="68" xfId="0" applyNumberFormat="1" applyFont="1" applyBorder="1" applyAlignment="1">
      <alignment horizontal="center"/>
    </xf>
    <xf numFmtId="2" fontId="49" fillId="0" borderId="166" xfId="0" applyNumberFormat="1" applyFont="1" applyBorder="1" applyAlignment="1">
      <alignment horizontal="center"/>
    </xf>
    <xf numFmtId="0" fontId="91" fillId="11" borderId="139" xfId="0" applyFont="1" applyFill="1" applyBorder="1" applyAlignment="1">
      <alignment horizontal="center" vertical="center"/>
    </xf>
    <xf numFmtId="0" fontId="91" fillId="11" borderId="167" xfId="0" applyFont="1" applyFill="1" applyBorder="1" applyAlignment="1">
      <alignment horizontal="center" vertical="center"/>
    </xf>
    <xf numFmtId="2" fontId="49" fillId="0" borderId="65" xfId="0" applyNumberFormat="1" applyFont="1" applyBorder="1" applyAlignment="1">
      <alignment horizontal="center"/>
    </xf>
    <xf numFmtId="2" fontId="49" fillId="0" borderId="168" xfId="0" applyNumberFormat="1" applyFont="1" applyBorder="1" applyAlignment="1">
      <alignment horizontal="center"/>
    </xf>
    <xf numFmtId="2" fontId="36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6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9" fillId="34" borderId="59" xfId="0" applyFont="1" applyFill="1" applyBorder="1" applyAlignment="1" applyProtection="1">
      <alignment horizontal="center" wrapText="1"/>
      <protection locked="0"/>
    </xf>
    <xf numFmtId="0" fontId="69" fillId="34" borderId="26" xfId="0" applyFont="1" applyFill="1" applyBorder="1" applyAlignment="1" applyProtection="1">
      <alignment horizontal="center" wrapText="1"/>
      <protection locked="0"/>
    </xf>
    <xf numFmtId="0" fontId="43" fillId="11" borderId="7" xfId="0" applyFont="1" applyFill="1" applyBorder="1" applyAlignment="1" applyProtection="1">
      <alignment horizontal="center" wrapText="1"/>
      <protection locked="0"/>
    </xf>
    <xf numFmtId="0" fontId="43" fillId="11" borderId="8" xfId="0" applyFont="1" applyFill="1" applyBorder="1" applyAlignment="1" applyProtection="1">
      <alignment horizontal="center" wrapText="1"/>
      <protection locked="0"/>
    </xf>
    <xf numFmtId="0" fontId="43" fillId="11" borderId="7" xfId="0" applyFont="1" applyFill="1" applyBorder="1" applyAlignment="1" applyProtection="1">
      <alignment horizontal="center" vertical="center"/>
      <protection locked="0"/>
    </xf>
    <xf numFmtId="0" fontId="43" fillId="11" borderId="8" xfId="0" applyFont="1" applyFill="1" applyBorder="1" applyAlignment="1" applyProtection="1">
      <alignment horizontal="center" vertical="center"/>
      <protection locked="0"/>
    </xf>
    <xf numFmtId="0" fontId="43" fillId="2" borderId="93" xfId="0" applyFont="1" applyFill="1" applyBorder="1" applyAlignment="1" applyProtection="1">
      <alignment horizontal="center"/>
      <protection locked="0"/>
    </xf>
    <xf numFmtId="0" fontId="43" fillId="2" borderId="0" xfId="0" applyFont="1" applyFill="1" applyAlignment="1" applyProtection="1">
      <alignment horizontal="center"/>
      <protection locked="0"/>
    </xf>
    <xf numFmtId="0" fontId="43" fillId="2" borderId="26" xfId="0" applyFont="1" applyFill="1" applyBorder="1" applyAlignment="1" applyProtection="1">
      <alignment horizontal="center"/>
      <protection locked="0"/>
    </xf>
    <xf numFmtId="0" fontId="43" fillId="2" borderId="2" xfId="0" applyFont="1" applyFill="1" applyBorder="1" applyAlignment="1" applyProtection="1">
      <alignment horizontal="center"/>
      <protection locked="0"/>
    </xf>
    <xf numFmtId="0" fontId="43" fillId="2" borderId="7" xfId="0" applyFont="1" applyFill="1" applyBorder="1" applyAlignment="1" applyProtection="1">
      <alignment horizontal="center" wrapText="1"/>
      <protection locked="0"/>
    </xf>
    <xf numFmtId="0" fontId="43" fillId="2" borderId="8" xfId="0" applyFont="1" applyFill="1" applyBorder="1" applyAlignment="1" applyProtection="1">
      <alignment horizontal="center" wrapText="1"/>
      <protection locked="0"/>
    </xf>
    <xf numFmtId="0" fontId="93" fillId="11" borderId="0" xfId="0" applyFont="1" applyFill="1" applyAlignment="1">
      <alignment horizontal="center" vertical="center"/>
    </xf>
    <xf numFmtId="0" fontId="92" fillId="10" borderId="93" xfId="0" applyFont="1" applyFill="1" applyBorder="1" applyAlignment="1">
      <alignment horizontal="center" vertical="center"/>
    </xf>
    <xf numFmtId="0" fontId="92" fillId="10" borderId="0" xfId="0" applyFont="1" applyFill="1" applyAlignment="1">
      <alignment horizontal="center" vertical="center"/>
    </xf>
    <xf numFmtId="0" fontId="92" fillId="11" borderId="93" xfId="0" applyFont="1" applyFill="1" applyBorder="1" applyAlignment="1">
      <alignment horizontal="center" vertical="center"/>
    </xf>
    <xf numFmtId="0" fontId="92" fillId="11" borderId="0" xfId="0" applyFont="1" applyFill="1" applyAlignment="1">
      <alignment horizontal="center" vertical="center"/>
    </xf>
    <xf numFmtId="0" fontId="50" fillId="14" borderId="0" xfId="0" applyFont="1" applyFill="1" applyAlignment="1">
      <alignment horizontal="center" vertical="center"/>
    </xf>
    <xf numFmtId="0" fontId="89" fillId="27" borderId="141" xfId="0" applyFont="1" applyFill="1" applyBorder="1" applyAlignment="1">
      <alignment horizontal="center"/>
    </xf>
    <xf numFmtId="0" fontId="89" fillId="27" borderId="106" xfId="0" applyFont="1" applyFill="1" applyBorder="1" applyAlignment="1">
      <alignment horizontal="center"/>
    </xf>
    <xf numFmtId="0" fontId="89" fillId="27" borderId="159" xfId="0" applyFont="1" applyFill="1" applyBorder="1" applyAlignment="1">
      <alignment horizontal="center"/>
    </xf>
    <xf numFmtId="0" fontId="95" fillId="17" borderId="113" xfId="0" applyFont="1" applyFill="1" applyBorder="1" applyAlignment="1">
      <alignment horizontal="center" vertical="center"/>
    </xf>
    <xf numFmtId="0" fontId="95" fillId="17" borderId="106" xfId="0" applyFont="1" applyFill="1" applyBorder="1" applyAlignment="1">
      <alignment horizontal="center" vertical="center"/>
    </xf>
    <xf numFmtId="0" fontId="50" fillId="17" borderId="113" xfId="0" applyFont="1" applyFill="1" applyBorder="1" applyAlignment="1">
      <alignment horizontal="center" vertical="center"/>
    </xf>
    <xf numFmtId="0" fontId="50" fillId="17" borderId="106" xfId="0" applyFont="1" applyFill="1" applyBorder="1" applyAlignment="1">
      <alignment horizontal="center" vertical="center"/>
    </xf>
    <xf numFmtId="0" fontId="32" fillId="11" borderId="59" xfId="0" applyFont="1" applyFill="1" applyBorder="1" applyAlignment="1">
      <alignment horizontal="center" vertical="center"/>
    </xf>
    <xf numFmtId="0" fontId="32" fillId="11" borderId="18" xfId="0" applyFont="1" applyFill="1" applyBorder="1" applyAlignment="1">
      <alignment horizontal="center" vertical="center"/>
    </xf>
    <xf numFmtId="10" fontId="61" fillId="5" borderId="93" xfId="1" applyNumberFormat="1" applyFont="1" applyFill="1" applyBorder="1" applyAlignment="1">
      <alignment horizontal="center" vertical="center"/>
    </xf>
    <xf numFmtId="10" fontId="61" fillId="5" borderId="0" xfId="1" applyNumberFormat="1" applyFont="1" applyFill="1" applyBorder="1" applyAlignment="1">
      <alignment horizontal="center" vertical="center"/>
    </xf>
    <xf numFmtId="10" fontId="61" fillId="5" borderId="145" xfId="1" applyNumberFormat="1" applyFont="1" applyFill="1" applyBorder="1" applyAlignment="1">
      <alignment horizontal="center" vertical="center"/>
    </xf>
    <xf numFmtId="10" fontId="60" fillId="29" borderId="26" xfId="1" applyNumberFormat="1" applyFont="1" applyFill="1" applyBorder="1" applyAlignment="1">
      <alignment horizontal="center" vertical="center"/>
    </xf>
    <xf numFmtId="10" fontId="60" fillId="29" borderId="2" xfId="1" applyNumberFormat="1" applyFont="1" applyFill="1" applyBorder="1" applyAlignment="1">
      <alignment horizontal="center" vertical="center"/>
    </xf>
    <xf numFmtId="10" fontId="60" fillId="29" borderId="144" xfId="1" applyNumberFormat="1" applyFont="1" applyFill="1" applyBorder="1" applyAlignment="1">
      <alignment horizontal="center" vertical="center"/>
    </xf>
    <xf numFmtId="0" fontId="67" fillId="11" borderId="7" xfId="0" applyFont="1" applyFill="1" applyBorder="1" applyAlignment="1">
      <alignment horizontal="center" vertical="center" wrapText="1"/>
    </xf>
    <xf numFmtId="0" fontId="67" fillId="11" borderId="8" xfId="0" applyFont="1" applyFill="1" applyBorder="1" applyAlignment="1">
      <alignment horizontal="center" vertical="center" wrapText="1"/>
    </xf>
    <xf numFmtId="0" fontId="67" fillId="11" borderId="59" xfId="0" applyFont="1" applyFill="1" applyBorder="1" applyAlignment="1">
      <alignment horizontal="center" vertical="center" wrapText="1"/>
    </xf>
    <xf numFmtId="0" fontId="67" fillId="11" borderId="143" xfId="0" applyFont="1" applyFill="1" applyBorder="1" applyAlignment="1">
      <alignment horizontal="center" vertical="center" wrapText="1"/>
    </xf>
    <xf numFmtId="0" fontId="67" fillId="11" borderId="26" xfId="0" applyFont="1" applyFill="1" applyBorder="1" applyAlignment="1">
      <alignment horizontal="center" vertical="center" wrapText="1"/>
    </xf>
    <xf numFmtId="0" fontId="67" fillId="11" borderId="144" xfId="0" applyFont="1" applyFill="1" applyBorder="1" applyAlignment="1">
      <alignment horizontal="center" vertical="center" wrapText="1"/>
    </xf>
    <xf numFmtId="0" fontId="50" fillId="17" borderId="146" xfId="0" applyFont="1" applyFill="1" applyBorder="1" applyAlignment="1">
      <alignment horizontal="center" vertical="center"/>
    </xf>
    <xf numFmtId="0" fontId="95" fillId="17" borderId="146" xfId="0" applyFont="1" applyFill="1" applyBorder="1" applyAlignment="1">
      <alignment horizontal="center" vertical="center"/>
    </xf>
    <xf numFmtId="0" fontId="44" fillId="3" borderId="0" xfId="0" applyFont="1" applyFill="1" applyAlignment="1">
      <alignment horizontal="center" vertical="center"/>
    </xf>
    <xf numFmtId="166" fontId="91" fillId="11" borderId="113" xfId="1" applyNumberFormat="1" applyFont="1" applyFill="1" applyBorder="1" applyAlignment="1">
      <alignment horizontal="center" vertical="center"/>
    </xf>
    <xf numFmtId="166" fontId="91" fillId="11" borderId="146" xfId="1" applyNumberFormat="1" applyFont="1" applyFill="1" applyBorder="1" applyAlignment="1">
      <alignment horizontal="center" vertical="center"/>
    </xf>
    <xf numFmtId="0" fontId="31" fillId="17" borderId="113" xfId="0" applyFont="1" applyFill="1" applyBorder="1" applyAlignment="1">
      <alignment horizontal="center" vertical="center"/>
    </xf>
    <xf numFmtId="0" fontId="31" fillId="17" borderId="106" xfId="0" applyFont="1" applyFill="1" applyBorder="1" applyAlignment="1">
      <alignment horizontal="center" vertical="center"/>
    </xf>
    <xf numFmtId="0" fontId="31" fillId="17" borderId="146" xfId="0" applyFont="1" applyFill="1" applyBorder="1" applyAlignment="1">
      <alignment horizontal="center" vertical="center"/>
    </xf>
    <xf numFmtId="0" fontId="64" fillId="25" borderId="113" xfId="0" quotePrefix="1" applyFont="1" applyFill="1" applyBorder="1" applyAlignment="1">
      <alignment horizontal="center"/>
    </xf>
    <xf numFmtId="0" fontId="64" fillId="25" borderId="106" xfId="0" quotePrefix="1" applyFont="1" applyFill="1" applyBorder="1" applyAlignment="1">
      <alignment horizontal="center"/>
    </xf>
    <xf numFmtId="0" fontId="64" fillId="25" borderId="146" xfId="0" quotePrefix="1" applyFont="1" applyFill="1" applyBorder="1" applyAlignment="1">
      <alignment horizontal="center"/>
    </xf>
    <xf numFmtId="0" fontId="50" fillId="17" borderId="2" xfId="0" applyFont="1" applyFill="1" applyBorder="1" applyAlignment="1">
      <alignment horizontal="center" vertical="center"/>
    </xf>
    <xf numFmtId="0" fontId="33" fillId="27" borderId="0" xfId="0" applyFont="1" applyFill="1" applyAlignment="1">
      <alignment horizontal="center"/>
    </xf>
    <xf numFmtId="0" fontId="33" fillId="27" borderId="145" xfId="0" applyFont="1" applyFill="1" applyBorder="1" applyAlignment="1">
      <alignment horizontal="center"/>
    </xf>
    <xf numFmtId="0" fontId="32" fillId="11" borderId="113" xfId="0" applyFont="1" applyFill="1" applyBorder="1" applyAlignment="1">
      <alignment horizontal="center" vertical="center"/>
    </xf>
    <xf numFmtId="0" fontId="32" fillId="11" borderId="106" xfId="0" applyFont="1" applyFill="1" applyBorder="1" applyAlignment="1">
      <alignment horizontal="center" vertical="center"/>
    </xf>
    <xf numFmtId="0" fontId="32" fillId="11" borderId="146" xfId="0" applyFont="1" applyFill="1" applyBorder="1" applyAlignment="1">
      <alignment horizontal="center" vertical="center"/>
    </xf>
    <xf numFmtId="0" fontId="98" fillId="44" borderId="189" xfId="0" applyFont="1" applyFill="1" applyBorder="1" applyAlignment="1">
      <alignment vertical="top" wrapText="1"/>
    </xf>
    <xf numFmtId="0" fontId="0" fillId="0" borderId="189" xfId="0" applyBorder="1" applyAlignment="1">
      <alignment vertical="top" wrapText="1"/>
    </xf>
    <xf numFmtId="0" fontId="98" fillId="44" borderId="190" xfId="0" applyFont="1" applyFill="1" applyBorder="1" applyAlignment="1">
      <alignment horizontal="center" vertical="top" wrapText="1"/>
    </xf>
    <xf numFmtId="0" fontId="98" fillId="44" borderId="0" xfId="0" applyFont="1" applyFill="1" applyAlignment="1">
      <alignment horizontal="center" vertical="top" wrapText="1"/>
    </xf>
    <xf numFmtId="0" fontId="64" fillId="27" borderId="59" xfId="0" quotePrefix="1" applyFont="1" applyFill="1" applyBorder="1" applyAlignment="1">
      <alignment horizontal="center" vertical="center"/>
    </xf>
    <xf numFmtId="0" fontId="64" fillId="27" borderId="18" xfId="0" quotePrefix="1" applyFont="1" applyFill="1" applyBorder="1" applyAlignment="1">
      <alignment horizontal="center" vertical="center"/>
    </xf>
    <xf numFmtId="0" fontId="64" fillId="27" borderId="143" xfId="0" quotePrefix="1" applyFont="1" applyFill="1" applyBorder="1" applyAlignment="1">
      <alignment horizontal="center" vertical="center"/>
    </xf>
    <xf numFmtId="0" fontId="60" fillId="27" borderId="113" xfId="0" applyFont="1" applyFill="1" applyBorder="1" applyAlignment="1">
      <alignment horizontal="center"/>
    </xf>
    <xf numFmtId="0" fontId="60" fillId="27" borderId="106" xfId="0" applyFont="1" applyFill="1" applyBorder="1" applyAlignment="1">
      <alignment horizontal="center"/>
    </xf>
    <xf numFmtId="0" fontId="60" fillId="27" borderId="146" xfId="0" applyFont="1" applyFill="1" applyBorder="1" applyAlignment="1">
      <alignment horizontal="center"/>
    </xf>
    <xf numFmtId="0" fontId="50" fillId="17" borderId="2" xfId="0" applyFont="1" applyFill="1" applyBorder="1" applyAlignment="1">
      <alignment horizontal="left" vertical="center"/>
    </xf>
    <xf numFmtId="0" fontId="50" fillId="17" borderId="198" xfId="0" applyFont="1" applyFill="1" applyBorder="1" applyAlignment="1">
      <alignment horizontal="center" vertical="center"/>
    </xf>
    <xf numFmtId="0" fontId="50" fillId="17" borderId="199" xfId="0" applyFont="1" applyFill="1" applyBorder="1" applyAlignment="1">
      <alignment horizontal="center" vertical="center"/>
    </xf>
    <xf numFmtId="0" fontId="50" fillId="17" borderId="200" xfId="0" applyFont="1" applyFill="1" applyBorder="1" applyAlignment="1">
      <alignment horizontal="center" vertical="center"/>
    </xf>
    <xf numFmtId="0" fontId="100" fillId="0" borderId="0" xfId="0" quotePrefix="1" applyFont="1" applyAlignment="1">
      <alignment horizontal="left" vertical="top"/>
    </xf>
    <xf numFmtId="0" fontId="0" fillId="0" borderId="0" xfId="0"/>
    <xf numFmtId="0" fontId="33" fillId="9" borderId="6" xfId="2" applyBorder="1" applyAlignment="1">
      <alignment horizontal="center"/>
    </xf>
    <xf numFmtId="168" fontId="47" fillId="0" borderId="0" xfId="0" applyNumberFormat="1" applyFont="1" applyBorder="1" applyAlignment="1">
      <alignment horizontal="center" vertical="center" wrapText="1"/>
    </xf>
    <xf numFmtId="0" fontId="50" fillId="17" borderId="0" xfId="0" applyFont="1" applyFill="1" applyAlignment="1">
      <alignment horizontal="center" vertical="center"/>
    </xf>
    <xf numFmtId="10" fontId="36" fillId="7" borderId="0" xfId="1" applyNumberFormat="1" applyFont="1" applyFill="1"/>
  </cellXfs>
  <cellStyles count="12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 4" xfId="11" xr:uid="{F036E9E7-C6E9-4E98-BC41-EDA45BD40FE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75.659262392453286</c:v>
                </c:pt>
                <c:pt idx="1">
                  <c:v>26.789539764337391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1" customWidth="1"/>
    <col min="5" max="6" width="14.140625" style="691" customWidth="1"/>
    <col min="7" max="7" width="12.140625" style="691" customWidth="1"/>
    <col min="8" max="10" width="8.140625" style="691" customWidth="1"/>
    <col min="11" max="11" width="9.7109375" style="691" customWidth="1"/>
    <col min="12" max="12" width="8.140625" style="691" customWidth="1"/>
    <col min="13" max="13" width="10" style="691" customWidth="1"/>
    <col min="14" max="14" width="11.42578125" style="691" customWidth="1"/>
    <col min="15" max="15" width="13.42578125" style="691" customWidth="1"/>
    <col min="16" max="16384" width="8.85546875" style="691"/>
  </cols>
  <sheetData>
    <row r="1" spans="1:26">
      <c r="A1" s="689"/>
      <c r="B1" s="689"/>
      <c r="C1" s="689"/>
      <c r="D1" s="689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  <c r="W1" s="690"/>
      <c r="X1" s="690"/>
      <c r="Y1" s="690"/>
      <c r="Z1" s="690"/>
    </row>
    <row r="2" spans="1:26">
      <c r="A2" s="689"/>
      <c r="B2" s="689"/>
      <c r="C2" s="689"/>
      <c r="D2" s="689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90"/>
      <c r="S2" s="690"/>
      <c r="T2" s="690"/>
      <c r="U2" s="690"/>
      <c r="V2" s="690"/>
      <c r="W2" s="690"/>
      <c r="X2" s="690"/>
      <c r="Y2" s="690"/>
      <c r="Z2" s="690"/>
    </row>
    <row r="3" spans="1:26">
      <c r="A3" s="689"/>
      <c r="B3" s="689"/>
      <c r="C3" s="689"/>
      <c r="D3" s="689"/>
      <c r="E3" s="690"/>
      <c r="F3" s="690"/>
      <c r="G3" s="690"/>
      <c r="H3" s="690"/>
      <c r="I3" s="690"/>
      <c r="J3" s="690"/>
      <c r="K3" s="690"/>
      <c r="L3" s="690"/>
      <c r="M3" s="690"/>
      <c r="N3" s="690"/>
      <c r="O3" s="690"/>
      <c r="P3" s="690"/>
      <c r="Q3" s="690"/>
      <c r="R3" s="690"/>
      <c r="S3" s="690"/>
      <c r="T3" s="690"/>
      <c r="U3" s="690"/>
      <c r="V3" s="690"/>
      <c r="W3" s="690"/>
      <c r="X3" s="690"/>
      <c r="Y3" s="690"/>
      <c r="Z3" s="690"/>
    </row>
    <row r="4" spans="1:26">
      <c r="A4" s="689"/>
      <c r="B4" s="689"/>
      <c r="C4" s="689"/>
      <c r="D4" s="689"/>
      <c r="E4" s="690"/>
      <c r="F4" s="690"/>
      <c r="G4" s="690"/>
      <c r="H4" s="690"/>
      <c r="I4" s="690"/>
      <c r="J4" s="690"/>
      <c r="K4" s="690"/>
      <c r="L4" s="690"/>
      <c r="M4" s="690"/>
      <c r="N4" s="690"/>
      <c r="O4" s="690"/>
      <c r="P4" s="690"/>
      <c r="Q4" s="690"/>
      <c r="R4" s="690"/>
      <c r="S4" s="690"/>
      <c r="T4" s="690"/>
      <c r="U4" s="690"/>
      <c r="V4" s="690"/>
      <c r="W4" s="690"/>
      <c r="X4" s="690"/>
      <c r="Y4" s="690"/>
      <c r="Z4" s="690"/>
    </row>
    <row r="5" spans="1:26">
      <c r="A5" s="689"/>
      <c r="B5" s="689"/>
      <c r="C5" s="689"/>
      <c r="D5" s="689"/>
      <c r="E5" s="690"/>
      <c r="F5" s="690"/>
      <c r="G5" s="690"/>
      <c r="H5" s="690"/>
      <c r="I5" s="690"/>
      <c r="J5" s="690"/>
      <c r="K5" s="690"/>
      <c r="L5" s="690"/>
      <c r="M5" s="690"/>
      <c r="N5" s="690"/>
      <c r="O5" s="690"/>
      <c r="P5" s="690"/>
      <c r="Q5" s="690"/>
      <c r="R5" s="690"/>
      <c r="S5" s="690"/>
      <c r="T5" s="690"/>
      <c r="U5" s="690"/>
      <c r="V5" s="690"/>
      <c r="W5" s="690"/>
      <c r="X5" s="690"/>
      <c r="Y5" s="690"/>
      <c r="Z5" s="690"/>
    </row>
    <row r="6" spans="1:26">
      <c r="A6" s="689"/>
      <c r="B6" s="689"/>
      <c r="C6" s="689"/>
      <c r="D6" s="689"/>
      <c r="E6" s="690"/>
      <c r="F6" s="690"/>
      <c r="G6" s="690"/>
      <c r="H6" s="690"/>
      <c r="I6" s="690"/>
      <c r="J6" s="690"/>
      <c r="K6" s="690"/>
      <c r="L6" s="690"/>
      <c r="M6" s="690"/>
      <c r="N6" s="690"/>
      <c r="O6" s="690"/>
      <c r="P6" s="690"/>
      <c r="Q6" s="690"/>
      <c r="R6" s="690"/>
      <c r="S6" s="690"/>
      <c r="T6" s="690"/>
      <c r="U6" s="690"/>
      <c r="V6" s="690"/>
      <c r="W6" s="690"/>
      <c r="X6" s="690"/>
      <c r="Y6" s="690"/>
      <c r="Z6" s="690"/>
    </row>
    <row r="7" spans="1:26">
      <c r="A7" s="689"/>
      <c r="B7" s="689"/>
      <c r="C7" s="689"/>
      <c r="D7" s="689"/>
      <c r="E7" s="690"/>
      <c r="F7" s="690"/>
      <c r="G7" s="690"/>
      <c r="H7" s="690"/>
      <c r="I7" s="690"/>
      <c r="J7" s="690"/>
      <c r="K7" s="690"/>
      <c r="L7" s="690"/>
      <c r="M7" s="690"/>
      <c r="N7" s="690"/>
      <c r="O7" s="690"/>
      <c r="P7" s="690"/>
      <c r="Q7" s="690"/>
      <c r="R7" s="690"/>
      <c r="S7" s="690"/>
      <c r="T7" s="690"/>
      <c r="U7" s="690"/>
      <c r="V7" s="690"/>
      <c r="W7" s="690"/>
      <c r="X7" s="690"/>
      <c r="Y7" s="690"/>
      <c r="Z7" s="690"/>
    </row>
    <row r="8" spans="1:26">
      <c r="A8" s="689"/>
      <c r="B8" s="689"/>
      <c r="C8" s="689"/>
      <c r="D8" s="689"/>
      <c r="E8" s="690"/>
      <c r="F8" s="690"/>
      <c r="G8" s="690"/>
      <c r="H8" s="690"/>
      <c r="I8" s="690"/>
      <c r="J8" s="690"/>
      <c r="K8" s="690"/>
      <c r="L8" s="690"/>
      <c r="M8" s="690"/>
      <c r="N8" s="690"/>
      <c r="O8" s="690"/>
      <c r="P8" s="690"/>
      <c r="Q8" s="690"/>
      <c r="R8" s="690"/>
      <c r="S8" s="690"/>
      <c r="T8" s="690"/>
      <c r="U8" s="690"/>
      <c r="V8" s="690"/>
      <c r="W8" s="690"/>
      <c r="X8" s="690"/>
      <c r="Y8" s="690"/>
      <c r="Z8" s="690"/>
    </row>
    <row r="9" spans="1:26">
      <c r="A9" s="689"/>
      <c r="B9" s="689"/>
      <c r="C9" s="689"/>
      <c r="D9" s="689"/>
      <c r="E9" s="690"/>
      <c r="F9" s="690"/>
      <c r="G9" s="690"/>
      <c r="H9" s="690"/>
      <c r="I9" s="690"/>
      <c r="J9" s="690"/>
      <c r="K9" s="690"/>
      <c r="L9" s="690"/>
      <c r="M9" s="690"/>
      <c r="N9" s="690"/>
      <c r="O9" s="690"/>
      <c r="P9" s="690"/>
      <c r="Q9" s="690"/>
      <c r="R9" s="690"/>
      <c r="S9" s="690"/>
      <c r="T9" s="690"/>
      <c r="U9" s="690"/>
      <c r="V9" s="690"/>
      <c r="W9" s="690"/>
      <c r="X9" s="690"/>
      <c r="Y9" s="690"/>
      <c r="Z9" s="690"/>
    </row>
    <row r="10" spans="1:26">
      <c r="A10" s="689"/>
      <c r="B10" s="689"/>
      <c r="C10" s="689"/>
      <c r="D10" s="689"/>
      <c r="E10" s="690"/>
      <c r="F10" s="690"/>
      <c r="G10" s="690"/>
      <c r="H10" s="690"/>
      <c r="I10" s="690"/>
      <c r="J10" s="690"/>
      <c r="K10" s="690"/>
      <c r="L10" s="690"/>
      <c r="M10" s="690"/>
      <c r="N10" s="690"/>
      <c r="O10" s="690"/>
      <c r="P10" s="690"/>
      <c r="Q10" s="690"/>
      <c r="R10" s="690"/>
      <c r="S10" s="690"/>
      <c r="T10" s="690"/>
      <c r="U10" s="690"/>
      <c r="V10" s="690"/>
      <c r="W10" s="690"/>
      <c r="X10" s="690"/>
      <c r="Y10" s="690"/>
      <c r="Z10" s="690"/>
    </row>
    <row r="11" spans="1:26">
      <c r="A11" s="689"/>
      <c r="B11" s="689"/>
      <c r="C11" s="689"/>
      <c r="D11" s="689"/>
      <c r="E11" s="690"/>
      <c r="F11" s="690"/>
      <c r="G11" s="690"/>
      <c r="H11" s="690"/>
      <c r="I11" s="690"/>
      <c r="J11" s="690"/>
      <c r="K11" s="690"/>
      <c r="L11" s="690"/>
      <c r="M11" s="690"/>
      <c r="N11" s="690"/>
      <c r="O11" s="690"/>
      <c r="P11" s="690"/>
      <c r="Q11" s="690"/>
      <c r="R11" s="690"/>
      <c r="S11" s="690"/>
      <c r="T11" s="690"/>
      <c r="U11" s="690"/>
      <c r="V11" s="690"/>
      <c r="W11" s="690"/>
      <c r="X11" s="690"/>
      <c r="Y11" s="690"/>
      <c r="Z11" s="690"/>
    </row>
    <row r="12" spans="1:26">
      <c r="A12" s="689"/>
      <c r="B12" s="689"/>
      <c r="C12" s="689"/>
      <c r="D12" s="689"/>
      <c r="E12" s="690"/>
      <c r="F12" s="690"/>
      <c r="G12" s="690"/>
      <c r="H12" s="690"/>
      <c r="I12" s="690"/>
      <c r="J12" s="690"/>
      <c r="K12" s="690"/>
      <c r="L12" s="690"/>
      <c r="M12" s="690"/>
      <c r="N12" s="690"/>
      <c r="O12" s="690"/>
      <c r="P12" s="690"/>
      <c r="Q12" s="690"/>
      <c r="R12" s="690"/>
      <c r="S12" s="690"/>
      <c r="T12" s="690"/>
      <c r="U12" s="690"/>
      <c r="V12" s="690"/>
      <c r="W12" s="690"/>
      <c r="X12" s="690"/>
      <c r="Y12" s="690"/>
      <c r="Z12" s="690"/>
    </row>
    <row r="13" spans="1:26">
      <c r="A13" s="689"/>
      <c r="B13" s="689"/>
      <c r="C13" s="689"/>
      <c r="D13" s="689"/>
      <c r="E13" s="690"/>
      <c r="F13" s="690"/>
      <c r="G13" s="690"/>
      <c r="H13" s="690"/>
      <c r="I13" s="690"/>
      <c r="J13" s="690"/>
      <c r="K13" s="690"/>
      <c r="L13" s="690"/>
      <c r="M13" s="690"/>
      <c r="N13" s="690"/>
      <c r="O13" s="690"/>
      <c r="P13" s="690"/>
      <c r="Q13" s="690"/>
      <c r="R13" s="690"/>
      <c r="S13" s="690"/>
      <c r="T13" s="690"/>
      <c r="U13" s="690"/>
      <c r="V13" s="690"/>
      <c r="W13" s="690"/>
      <c r="X13" s="690"/>
      <c r="Y13" s="690"/>
      <c r="Z13" s="690"/>
    </row>
    <row r="14" spans="1:26">
      <c r="A14" s="689"/>
      <c r="B14" s="689"/>
      <c r="C14" s="689"/>
      <c r="D14" s="689"/>
      <c r="E14" s="690"/>
      <c r="F14" s="690"/>
      <c r="G14" s="690"/>
      <c r="H14" s="690"/>
      <c r="I14" s="690"/>
      <c r="J14" s="690"/>
      <c r="K14" s="690"/>
      <c r="L14" s="690"/>
      <c r="M14" s="690"/>
      <c r="N14" s="690"/>
      <c r="O14" s="690"/>
      <c r="P14" s="690"/>
      <c r="Q14" s="690"/>
      <c r="R14" s="690"/>
      <c r="S14" s="690"/>
      <c r="T14" s="690"/>
      <c r="U14" s="690"/>
      <c r="V14" s="690"/>
      <c r="W14" s="690"/>
      <c r="X14" s="690"/>
      <c r="Y14" s="690"/>
      <c r="Z14" s="690"/>
    </row>
    <row r="15" spans="1:26">
      <c r="A15" s="689"/>
      <c r="B15" s="689"/>
      <c r="C15" s="689"/>
      <c r="D15" s="689"/>
      <c r="E15" s="690"/>
      <c r="F15" s="690"/>
      <c r="G15" s="690"/>
      <c r="H15" s="690"/>
      <c r="I15" s="690"/>
      <c r="J15" s="690"/>
      <c r="K15" s="690"/>
      <c r="L15" s="690"/>
      <c r="M15" s="690"/>
      <c r="N15" s="690"/>
      <c r="O15" s="690"/>
      <c r="P15" s="690"/>
      <c r="Q15" s="690"/>
      <c r="R15" s="690"/>
      <c r="S15" s="690"/>
      <c r="T15" s="690"/>
      <c r="U15" s="690"/>
      <c r="V15" s="690"/>
      <c r="W15" s="690"/>
      <c r="X15" s="690"/>
      <c r="Y15" s="690"/>
      <c r="Z15" s="690"/>
    </row>
    <row r="16" spans="1:26" ht="102.75" customHeight="1">
      <c r="A16" s="1240" t="s">
        <v>851</v>
      </c>
      <c r="B16" s="1240"/>
      <c r="C16" s="1240"/>
      <c r="D16" s="1240"/>
      <c r="E16" s="692"/>
      <c r="F16" s="692"/>
      <c r="G16" s="693"/>
      <c r="H16" s="693"/>
      <c r="I16" s="693"/>
      <c r="J16" s="693"/>
      <c r="K16" s="693"/>
      <c r="L16" s="693"/>
      <c r="M16" s="690"/>
      <c r="N16" s="690"/>
      <c r="O16" s="690"/>
      <c r="P16" s="690"/>
      <c r="Q16" s="690"/>
      <c r="R16" s="690"/>
      <c r="S16" s="690"/>
      <c r="T16" s="690"/>
      <c r="U16" s="690"/>
      <c r="V16" s="690"/>
      <c r="W16" s="690"/>
      <c r="X16" s="690"/>
      <c r="Y16" s="690"/>
      <c r="Z16" s="690"/>
    </row>
    <row r="17" spans="1:26" ht="17.25" customHeight="1">
      <c r="A17" s="694"/>
      <c r="B17" s="694"/>
      <c r="C17" s="694"/>
      <c r="D17" s="694"/>
      <c r="E17" s="690"/>
      <c r="F17" s="690"/>
      <c r="G17" s="690"/>
      <c r="H17" s="690"/>
      <c r="I17" s="690"/>
      <c r="J17" s="690"/>
      <c r="K17" s="690"/>
      <c r="L17" s="690"/>
      <c r="M17" s="690"/>
      <c r="N17" s="690"/>
      <c r="O17" s="690"/>
      <c r="P17" s="690"/>
      <c r="Q17" s="690"/>
      <c r="R17" s="690"/>
      <c r="S17" s="690"/>
      <c r="T17" s="690"/>
      <c r="U17" s="690"/>
      <c r="V17" s="690"/>
      <c r="W17" s="690"/>
      <c r="X17" s="690"/>
      <c r="Y17" s="690"/>
      <c r="Z17" s="690"/>
    </row>
    <row r="18" spans="1:26" ht="17.25" customHeight="1">
      <c r="A18" s="694"/>
      <c r="B18" s="694"/>
      <c r="C18" s="694"/>
      <c r="D18" s="694"/>
      <c r="E18" s="695"/>
      <c r="F18" s="695"/>
      <c r="G18" s="696"/>
      <c r="H18" s="696"/>
      <c r="I18" s="696"/>
      <c r="J18" s="696"/>
      <c r="K18" s="696"/>
      <c r="L18" s="696"/>
      <c r="M18" s="690"/>
      <c r="N18" s="690"/>
      <c r="O18" s="690"/>
      <c r="P18" s="690"/>
      <c r="Q18" s="690"/>
      <c r="R18" s="690"/>
      <c r="S18" s="690"/>
      <c r="T18" s="690"/>
      <c r="U18" s="690"/>
      <c r="V18" s="690"/>
      <c r="W18" s="690"/>
      <c r="X18" s="690"/>
      <c r="Y18" s="690"/>
      <c r="Z18" s="690"/>
    </row>
    <row r="19" spans="1:26" ht="17.25" customHeight="1">
      <c r="A19" s="697" t="s">
        <v>0</v>
      </c>
      <c r="B19" s="1239" t="s">
        <v>866</v>
      </c>
      <c r="C19" s="1239"/>
      <c r="D19" s="1239"/>
      <c r="E19" s="698"/>
      <c r="F19" s="698"/>
      <c r="G19" s="699"/>
      <c r="H19" s="699"/>
      <c r="I19" s="699"/>
      <c r="J19" s="699"/>
      <c r="K19" s="699"/>
      <c r="L19" s="699"/>
      <c r="M19" s="690"/>
      <c r="N19" s="690"/>
      <c r="O19" s="690"/>
      <c r="P19" s="690"/>
      <c r="Q19" s="690"/>
      <c r="R19" s="690"/>
      <c r="S19" s="690"/>
      <c r="T19" s="690"/>
      <c r="U19" s="690"/>
      <c r="V19" s="690"/>
      <c r="W19" s="690"/>
      <c r="X19" s="690"/>
      <c r="Y19" s="690"/>
      <c r="Z19" s="690"/>
    </row>
    <row r="20" spans="1:26" ht="17.25" customHeight="1">
      <c r="A20" s="697" t="s">
        <v>852</v>
      </c>
      <c r="B20" s="1239" t="s">
        <v>867</v>
      </c>
      <c r="C20" s="1239"/>
      <c r="D20" s="1239"/>
      <c r="E20" s="698"/>
      <c r="F20" s="698"/>
      <c r="G20" s="699"/>
      <c r="H20" s="699"/>
      <c r="I20" s="699"/>
      <c r="J20" s="699"/>
      <c r="K20" s="699"/>
      <c r="L20" s="699"/>
      <c r="M20" s="690"/>
      <c r="N20" s="690"/>
      <c r="O20" s="690"/>
      <c r="P20" s="690"/>
      <c r="Q20" s="690"/>
      <c r="R20" s="690"/>
      <c r="S20" s="690"/>
      <c r="T20" s="690"/>
      <c r="U20" s="690"/>
      <c r="V20" s="690"/>
      <c r="W20" s="690"/>
      <c r="X20" s="690"/>
      <c r="Y20" s="690"/>
      <c r="Z20" s="690"/>
    </row>
    <row r="21" spans="1:26" ht="17.25" customHeight="1">
      <c r="A21" s="697" t="s">
        <v>853</v>
      </c>
      <c r="B21" s="700" t="s">
        <v>868</v>
      </c>
      <c r="C21" s="700"/>
      <c r="D21" s="700"/>
      <c r="E21" s="698"/>
      <c r="F21" s="698"/>
      <c r="G21" s="699"/>
      <c r="H21" s="699"/>
      <c r="I21" s="699"/>
      <c r="J21" s="699"/>
      <c r="K21" s="699"/>
      <c r="L21" s="699"/>
      <c r="M21" s="690"/>
      <c r="N21" s="690"/>
      <c r="O21" s="690"/>
      <c r="P21" s="690"/>
      <c r="Q21" s="690"/>
      <c r="R21" s="690"/>
      <c r="S21" s="690"/>
      <c r="T21" s="690"/>
      <c r="U21" s="690"/>
      <c r="V21" s="690"/>
      <c r="W21" s="690"/>
      <c r="X21" s="690"/>
      <c r="Y21" s="690"/>
      <c r="Z21" s="690"/>
    </row>
    <row r="22" spans="1:26" ht="17.25" customHeight="1">
      <c r="A22" s="697"/>
      <c r="B22" s="700"/>
      <c r="C22" s="700"/>
      <c r="D22" s="700"/>
      <c r="E22" s="698"/>
      <c r="F22" s="698"/>
      <c r="G22" s="699"/>
      <c r="H22" s="699"/>
      <c r="I22" s="699"/>
      <c r="J22" s="699"/>
      <c r="K22" s="699"/>
      <c r="L22" s="699"/>
      <c r="M22" s="690"/>
      <c r="N22" s="690"/>
      <c r="O22" s="690"/>
      <c r="P22" s="690"/>
      <c r="Q22" s="690"/>
      <c r="R22" s="690"/>
      <c r="S22" s="690"/>
      <c r="T22" s="690"/>
      <c r="U22" s="690"/>
      <c r="V22" s="690"/>
      <c r="W22" s="690"/>
      <c r="X22" s="690"/>
      <c r="Y22" s="690"/>
      <c r="Z22" s="690"/>
    </row>
    <row r="23" spans="1:26" ht="17.25" customHeight="1">
      <c r="A23" s="697" t="s">
        <v>854</v>
      </c>
      <c r="B23" s="1239" t="s">
        <v>862</v>
      </c>
      <c r="C23" s="1239"/>
      <c r="D23" s="1239"/>
      <c r="E23" s="690"/>
      <c r="F23" s="690"/>
      <c r="G23" s="690"/>
      <c r="H23" s="690"/>
      <c r="I23" s="690"/>
      <c r="J23" s="690"/>
      <c r="K23" s="690"/>
      <c r="L23" s="690"/>
      <c r="M23" s="690"/>
      <c r="N23" s="690"/>
      <c r="O23" s="690"/>
      <c r="P23" s="690"/>
      <c r="Q23" s="690"/>
      <c r="R23" s="690"/>
      <c r="S23" s="690"/>
      <c r="T23" s="690"/>
      <c r="U23" s="690"/>
      <c r="V23" s="690"/>
      <c r="W23" s="690"/>
      <c r="X23" s="690"/>
      <c r="Y23" s="690"/>
      <c r="Z23" s="690"/>
    </row>
    <row r="24" spans="1:26" ht="17.25" customHeight="1">
      <c r="A24" s="697"/>
      <c r="B24" s="1239" t="s">
        <v>863</v>
      </c>
      <c r="C24" s="1239"/>
      <c r="D24" s="1239"/>
      <c r="E24" s="690"/>
      <c r="F24" s="690"/>
      <c r="G24" s="690"/>
      <c r="H24" s="690"/>
      <c r="I24" s="690"/>
      <c r="J24" s="690"/>
      <c r="K24" s="690"/>
      <c r="L24" s="690"/>
      <c r="M24" s="690"/>
      <c r="N24" s="690"/>
      <c r="O24" s="690"/>
      <c r="P24" s="690"/>
      <c r="Q24" s="690"/>
      <c r="R24" s="690"/>
      <c r="S24" s="690"/>
      <c r="T24" s="690"/>
      <c r="U24" s="690"/>
      <c r="V24" s="690"/>
      <c r="W24" s="690"/>
      <c r="X24" s="690"/>
      <c r="Y24" s="690"/>
      <c r="Z24" s="690"/>
    </row>
    <row r="25" spans="1:26" ht="17.25" customHeight="1">
      <c r="A25" s="697"/>
      <c r="B25" s="1239" t="s">
        <v>864</v>
      </c>
      <c r="C25" s="1239"/>
      <c r="D25" s="1239"/>
      <c r="E25" s="690"/>
      <c r="F25" s="690"/>
      <c r="G25" s="690"/>
      <c r="H25" s="690"/>
      <c r="I25" s="690"/>
      <c r="J25" s="690"/>
      <c r="K25" s="690"/>
      <c r="L25" s="690"/>
      <c r="M25" s="690"/>
      <c r="N25" s="690"/>
      <c r="O25" s="690"/>
      <c r="P25" s="690"/>
      <c r="Q25" s="690"/>
      <c r="R25" s="690"/>
      <c r="S25" s="690"/>
      <c r="T25" s="690"/>
      <c r="U25" s="690"/>
      <c r="V25" s="690"/>
      <c r="W25" s="690"/>
      <c r="X25" s="690"/>
      <c r="Y25" s="690"/>
      <c r="Z25" s="690"/>
    </row>
    <row r="26" spans="1:26" ht="17.25" customHeight="1">
      <c r="A26" s="697" t="s">
        <v>855</v>
      </c>
      <c r="B26" s="1239" t="s">
        <v>862</v>
      </c>
      <c r="C26" s="1239"/>
      <c r="D26" s="1239"/>
      <c r="E26" s="690"/>
      <c r="F26" s="690"/>
      <c r="G26" s="690"/>
      <c r="H26" s="690"/>
      <c r="I26" s="690"/>
      <c r="J26" s="690"/>
      <c r="K26" s="690"/>
      <c r="L26" s="690"/>
      <c r="M26" s="690"/>
      <c r="N26" s="690"/>
      <c r="O26" s="690"/>
      <c r="P26" s="690"/>
      <c r="Q26" s="690"/>
      <c r="R26" s="690"/>
      <c r="S26" s="690"/>
      <c r="T26" s="690"/>
      <c r="U26" s="690"/>
      <c r="V26" s="690"/>
      <c r="W26" s="690"/>
      <c r="X26" s="690"/>
      <c r="Y26" s="690"/>
      <c r="Z26" s="690"/>
    </row>
    <row r="27" spans="1:26" ht="17.25" customHeight="1">
      <c r="A27" s="697"/>
      <c r="B27" s="1239" t="s">
        <v>865</v>
      </c>
      <c r="C27" s="1239"/>
      <c r="D27" s="1239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690"/>
      <c r="V27" s="690"/>
      <c r="W27" s="690"/>
      <c r="X27" s="690"/>
      <c r="Y27" s="690"/>
      <c r="Z27" s="690"/>
    </row>
    <row r="28" spans="1:26" ht="17.25" customHeight="1">
      <c r="A28" s="697"/>
      <c r="B28" s="700"/>
      <c r="C28" s="700"/>
      <c r="D28" s="700"/>
      <c r="E28" s="690"/>
      <c r="F28" s="690"/>
      <c r="G28" s="690"/>
      <c r="H28" s="690"/>
      <c r="I28" s="690"/>
      <c r="J28" s="690"/>
      <c r="K28" s="690"/>
      <c r="L28" s="690"/>
      <c r="M28" s="690"/>
      <c r="N28" s="690"/>
      <c r="O28" s="690"/>
      <c r="P28" s="690"/>
      <c r="Q28" s="690"/>
      <c r="R28" s="690"/>
      <c r="S28" s="690"/>
      <c r="T28" s="690"/>
      <c r="U28" s="690"/>
      <c r="V28" s="690"/>
      <c r="W28" s="690"/>
      <c r="X28" s="690"/>
      <c r="Y28" s="690"/>
      <c r="Z28" s="690"/>
    </row>
    <row r="29" spans="1:26" ht="17.25" customHeight="1">
      <c r="A29" s="697" t="s">
        <v>856</v>
      </c>
      <c r="B29" s="701">
        <v>1.1000000000000001</v>
      </c>
      <c r="C29" s="700"/>
      <c r="D29" s="700"/>
      <c r="E29" s="690"/>
      <c r="F29" s="690"/>
      <c r="G29" s="690"/>
      <c r="H29" s="690"/>
      <c r="I29" s="690"/>
      <c r="J29" s="690"/>
      <c r="K29" s="690"/>
      <c r="L29" s="690"/>
      <c r="M29" s="690"/>
      <c r="N29" s="690"/>
      <c r="O29" s="690"/>
      <c r="P29" s="690"/>
      <c r="Q29" s="690"/>
      <c r="R29" s="690"/>
      <c r="S29" s="690"/>
      <c r="T29" s="690"/>
      <c r="U29" s="690"/>
      <c r="V29" s="690"/>
      <c r="W29" s="690"/>
      <c r="X29" s="690"/>
      <c r="Y29" s="690"/>
      <c r="Z29" s="690"/>
    </row>
    <row r="30" spans="1:26" ht="17.25" customHeight="1">
      <c r="A30" s="697" t="s">
        <v>857</v>
      </c>
      <c r="B30" s="1241" t="s">
        <v>858</v>
      </c>
      <c r="C30" s="1239"/>
      <c r="D30" s="1239"/>
      <c r="E30" s="702"/>
      <c r="F30" s="702"/>
      <c r="G30" s="690"/>
      <c r="H30" s="690"/>
      <c r="I30" s="690"/>
      <c r="J30" s="690"/>
      <c r="K30" s="690"/>
      <c r="L30" s="690"/>
      <c r="M30" s="690"/>
      <c r="N30" s="690"/>
      <c r="O30" s="690"/>
      <c r="P30" s="690"/>
      <c r="Q30" s="690"/>
      <c r="R30" s="690"/>
      <c r="S30" s="690"/>
      <c r="T30" s="690"/>
      <c r="U30" s="690"/>
      <c r="V30" s="690"/>
      <c r="W30" s="690"/>
      <c r="X30" s="690"/>
      <c r="Y30" s="690"/>
      <c r="Z30" s="690"/>
    </row>
    <row r="31" spans="1:26" ht="17.25" customHeight="1">
      <c r="A31" s="697" t="s">
        <v>859</v>
      </c>
      <c r="B31" s="1239" t="s">
        <v>860</v>
      </c>
      <c r="C31" s="1239"/>
      <c r="D31" s="1239"/>
      <c r="E31" s="702"/>
      <c r="F31" s="702"/>
      <c r="G31" s="690"/>
      <c r="H31" s="690"/>
      <c r="I31" s="690"/>
      <c r="J31" s="690"/>
      <c r="K31" s="690"/>
      <c r="L31" s="690"/>
      <c r="M31" s="690"/>
      <c r="N31" s="690"/>
      <c r="O31" s="690"/>
      <c r="P31" s="690"/>
      <c r="Q31" s="690"/>
      <c r="R31" s="690"/>
      <c r="S31" s="690"/>
      <c r="T31" s="690"/>
      <c r="U31" s="690"/>
      <c r="V31" s="690"/>
      <c r="W31" s="690"/>
      <c r="X31" s="690"/>
      <c r="Y31" s="690"/>
      <c r="Z31" s="690"/>
    </row>
    <row r="32" spans="1:26" ht="17.25" customHeight="1">
      <c r="A32" s="703"/>
      <c r="B32" s="704" t="s">
        <v>861</v>
      </c>
      <c r="C32" s="703"/>
      <c r="D32" s="703"/>
      <c r="E32" s="690"/>
      <c r="F32" s="690"/>
      <c r="G32" s="690"/>
      <c r="H32" s="690"/>
      <c r="I32" s="690"/>
      <c r="J32" s="690"/>
      <c r="K32" s="690"/>
      <c r="L32" s="690"/>
      <c r="M32" s="690"/>
      <c r="N32" s="690"/>
      <c r="O32" s="690"/>
      <c r="P32" s="690"/>
      <c r="Q32" s="690"/>
      <c r="R32" s="690"/>
      <c r="S32" s="690"/>
      <c r="T32" s="690"/>
      <c r="U32" s="690"/>
      <c r="V32" s="690"/>
      <c r="W32" s="690"/>
      <c r="X32" s="690"/>
      <c r="Y32" s="690"/>
      <c r="Z32" s="690"/>
    </row>
    <row r="33" spans="1:26">
      <c r="A33" s="689"/>
      <c r="B33" s="689"/>
      <c r="C33" s="689"/>
      <c r="D33" s="689"/>
      <c r="E33" s="690"/>
      <c r="F33" s="690"/>
      <c r="G33" s="690"/>
      <c r="H33" s="690"/>
      <c r="I33" s="690"/>
      <c r="J33" s="690"/>
      <c r="K33" s="690"/>
      <c r="L33" s="690"/>
      <c r="M33" s="690"/>
      <c r="N33" s="690"/>
      <c r="O33" s="690"/>
      <c r="P33" s="690"/>
      <c r="Q33" s="690"/>
      <c r="R33" s="690"/>
      <c r="S33" s="690"/>
      <c r="T33" s="690"/>
      <c r="U33" s="690"/>
      <c r="V33" s="690"/>
      <c r="W33" s="690"/>
      <c r="X33" s="690"/>
      <c r="Y33" s="690"/>
      <c r="Z33" s="690"/>
    </row>
    <row r="34" spans="1:26">
      <c r="A34" s="689"/>
      <c r="B34" s="689"/>
      <c r="C34" s="689"/>
      <c r="D34" s="689"/>
      <c r="E34" s="690"/>
      <c r="F34" s="690"/>
      <c r="G34" s="690"/>
      <c r="H34" s="690"/>
      <c r="I34" s="690"/>
      <c r="J34" s="690"/>
      <c r="K34" s="690"/>
      <c r="L34" s="690"/>
      <c r="M34" s="690"/>
      <c r="N34" s="690"/>
      <c r="O34" s="690"/>
      <c r="P34" s="690"/>
      <c r="Q34" s="690"/>
      <c r="R34" s="690"/>
      <c r="S34" s="690"/>
      <c r="T34" s="690"/>
      <c r="U34" s="690"/>
      <c r="V34" s="690"/>
      <c r="W34" s="690"/>
      <c r="X34" s="690"/>
      <c r="Y34" s="690"/>
      <c r="Z34" s="690"/>
    </row>
    <row r="35" spans="1:26">
      <c r="A35" s="689"/>
      <c r="B35" s="689"/>
      <c r="C35" s="689"/>
      <c r="D35" s="689"/>
      <c r="E35" s="690"/>
      <c r="F35" s="690"/>
      <c r="G35" s="690"/>
      <c r="H35" s="690"/>
      <c r="I35" s="690"/>
      <c r="J35" s="690"/>
      <c r="K35" s="690"/>
      <c r="L35" s="690"/>
      <c r="M35" s="690"/>
      <c r="N35" s="690"/>
      <c r="O35" s="690"/>
      <c r="P35" s="690"/>
      <c r="Q35" s="690"/>
      <c r="R35" s="690"/>
      <c r="S35" s="690"/>
      <c r="T35" s="690"/>
      <c r="U35" s="690"/>
      <c r="V35" s="690"/>
      <c r="W35" s="690"/>
      <c r="X35" s="690"/>
      <c r="Y35" s="690"/>
      <c r="Z35" s="690"/>
    </row>
    <row r="36" spans="1:26">
      <c r="A36" s="689"/>
      <c r="B36" s="689"/>
      <c r="C36" s="689"/>
      <c r="D36" s="689"/>
      <c r="E36" s="690"/>
      <c r="F36" s="690"/>
      <c r="G36" s="690"/>
      <c r="H36" s="690"/>
      <c r="I36" s="690"/>
      <c r="J36" s="690"/>
      <c r="K36" s="690"/>
      <c r="L36" s="690"/>
      <c r="M36" s="690"/>
      <c r="N36" s="690"/>
      <c r="O36" s="690"/>
      <c r="P36" s="690"/>
      <c r="Q36" s="690"/>
      <c r="R36" s="690"/>
      <c r="S36" s="690"/>
      <c r="T36" s="690"/>
      <c r="U36" s="690"/>
      <c r="V36" s="690"/>
      <c r="W36" s="690"/>
      <c r="X36" s="690"/>
      <c r="Y36" s="690"/>
      <c r="Z36" s="690"/>
    </row>
    <row r="37" spans="1:26">
      <c r="A37" s="689"/>
      <c r="B37" s="689"/>
      <c r="C37" s="689"/>
      <c r="D37" s="689"/>
      <c r="E37" s="690"/>
      <c r="F37" s="690"/>
      <c r="G37" s="690"/>
      <c r="H37" s="690"/>
      <c r="I37" s="690"/>
      <c r="J37" s="690"/>
      <c r="K37" s="690"/>
      <c r="L37" s="690"/>
      <c r="M37" s="690"/>
      <c r="N37" s="690"/>
      <c r="O37" s="690"/>
      <c r="P37" s="690"/>
      <c r="Q37" s="690"/>
      <c r="R37" s="690"/>
      <c r="S37" s="690"/>
      <c r="T37" s="690"/>
      <c r="U37" s="690"/>
      <c r="V37" s="690"/>
      <c r="W37" s="690"/>
      <c r="X37" s="690"/>
      <c r="Y37" s="690"/>
      <c r="Z37" s="690"/>
    </row>
    <row r="38" spans="1:26">
      <c r="A38" s="689"/>
      <c r="B38" s="689"/>
      <c r="C38" s="689"/>
      <c r="D38" s="689"/>
      <c r="E38" s="690"/>
      <c r="F38" s="690"/>
      <c r="G38" s="690"/>
      <c r="H38" s="690"/>
      <c r="I38" s="690"/>
      <c r="J38" s="690"/>
      <c r="K38" s="690"/>
      <c r="L38" s="690"/>
      <c r="M38" s="690"/>
      <c r="N38" s="690"/>
      <c r="O38" s="690"/>
      <c r="P38" s="690"/>
      <c r="Q38" s="690"/>
      <c r="R38" s="690"/>
      <c r="S38" s="690"/>
      <c r="T38" s="690"/>
      <c r="U38" s="690"/>
      <c r="V38" s="690"/>
      <c r="W38" s="690"/>
      <c r="X38" s="690"/>
      <c r="Y38" s="690"/>
      <c r="Z38" s="690"/>
    </row>
    <row r="39" spans="1:26">
      <c r="A39" s="689"/>
      <c r="B39" s="689"/>
      <c r="C39" s="689"/>
      <c r="D39" s="689"/>
      <c r="E39" s="690"/>
      <c r="F39" s="690"/>
      <c r="G39" s="690"/>
      <c r="H39" s="690"/>
      <c r="I39" s="690"/>
      <c r="J39" s="690"/>
      <c r="K39" s="690"/>
      <c r="L39" s="690"/>
      <c r="M39" s="690"/>
      <c r="N39" s="690"/>
      <c r="O39" s="690"/>
      <c r="P39" s="690"/>
      <c r="Q39" s="690"/>
      <c r="R39" s="690"/>
      <c r="S39" s="690"/>
      <c r="T39" s="690"/>
      <c r="U39" s="690"/>
      <c r="V39" s="690"/>
      <c r="W39" s="690"/>
      <c r="X39" s="690"/>
      <c r="Y39" s="690"/>
      <c r="Z39" s="690"/>
    </row>
    <row r="40" spans="1:26">
      <c r="A40" s="689"/>
      <c r="B40" s="689"/>
      <c r="C40" s="689"/>
      <c r="D40" s="689"/>
      <c r="E40" s="690"/>
      <c r="F40" s="690"/>
      <c r="G40" s="690"/>
      <c r="H40" s="690"/>
      <c r="I40" s="690"/>
      <c r="J40" s="690"/>
      <c r="K40" s="690"/>
      <c r="L40" s="690"/>
      <c r="M40" s="690"/>
      <c r="N40" s="690"/>
      <c r="O40" s="690"/>
      <c r="P40" s="690"/>
      <c r="Q40" s="690"/>
      <c r="R40" s="690"/>
      <c r="S40" s="690"/>
      <c r="T40" s="690"/>
      <c r="U40" s="690"/>
      <c r="V40" s="690"/>
      <c r="W40" s="690"/>
      <c r="X40" s="690"/>
      <c r="Y40" s="690"/>
      <c r="Z40" s="690"/>
    </row>
    <row r="41" spans="1:26">
      <c r="A41" s="689"/>
      <c r="B41" s="689"/>
      <c r="C41" s="689"/>
      <c r="D41" s="689"/>
      <c r="E41" s="690"/>
      <c r="F41" s="690"/>
      <c r="G41" s="690"/>
      <c r="H41" s="690"/>
      <c r="I41" s="690"/>
      <c r="J41" s="690"/>
      <c r="K41" s="690"/>
      <c r="L41" s="690"/>
      <c r="M41" s="690"/>
      <c r="N41" s="690"/>
      <c r="O41" s="690"/>
      <c r="P41" s="690"/>
      <c r="Q41" s="690"/>
      <c r="R41" s="690"/>
      <c r="S41" s="690"/>
      <c r="T41" s="690"/>
      <c r="U41" s="690"/>
      <c r="V41" s="690"/>
      <c r="W41" s="690"/>
      <c r="X41" s="690"/>
      <c r="Y41" s="690"/>
      <c r="Z41" s="690"/>
    </row>
    <row r="42" spans="1:26">
      <c r="A42" s="689"/>
      <c r="B42" s="689"/>
      <c r="C42" s="689"/>
      <c r="D42" s="689"/>
      <c r="E42" s="690"/>
      <c r="F42" s="690"/>
      <c r="G42" s="690"/>
      <c r="H42" s="690"/>
      <c r="I42" s="690"/>
      <c r="J42" s="690"/>
      <c r="K42" s="690"/>
      <c r="L42" s="690"/>
      <c r="M42" s="690"/>
      <c r="N42" s="690"/>
      <c r="O42" s="690"/>
      <c r="P42" s="690"/>
      <c r="Q42" s="690"/>
      <c r="R42" s="690"/>
      <c r="S42" s="690"/>
      <c r="T42" s="690"/>
      <c r="U42" s="690"/>
      <c r="V42" s="690"/>
      <c r="W42" s="690"/>
      <c r="X42" s="690"/>
      <c r="Y42" s="690"/>
      <c r="Z42" s="690"/>
    </row>
    <row r="43" spans="1:26">
      <c r="A43" s="690"/>
      <c r="B43" s="690"/>
      <c r="C43" s="690"/>
      <c r="D43" s="690"/>
      <c r="E43" s="690"/>
      <c r="F43" s="690"/>
      <c r="G43" s="690"/>
      <c r="H43" s="690"/>
      <c r="I43" s="690"/>
      <c r="J43" s="690"/>
      <c r="K43" s="690"/>
      <c r="L43" s="690"/>
      <c r="M43" s="690"/>
      <c r="N43" s="690"/>
      <c r="O43" s="690"/>
      <c r="P43" s="690"/>
      <c r="Q43" s="690"/>
      <c r="R43" s="690"/>
      <c r="S43" s="690"/>
      <c r="T43" s="690"/>
      <c r="U43" s="690"/>
      <c r="V43" s="690"/>
      <c r="W43" s="690"/>
      <c r="X43" s="690"/>
      <c r="Y43" s="690"/>
      <c r="Z43" s="690"/>
    </row>
    <row r="44" spans="1:26">
      <c r="A44" s="690"/>
      <c r="B44" s="690"/>
      <c r="C44" s="690"/>
      <c r="D44" s="690"/>
      <c r="E44" s="690"/>
      <c r="F44" s="690"/>
      <c r="G44" s="690"/>
      <c r="H44" s="690"/>
      <c r="I44" s="690"/>
      <c r="J44" s="690"/>
      <c r="K44" s="690"/>
      <c r="L44" s="690"/>
      <c r="M44" s="690"/>
      <c r="N44" s="690"/>
      <c r="O44" s="690"/>
      <c r="P44" s="690"/>
      <c r="Q44" s="690"/>
      <c r="R44" s="690"/>
      <c r="S44" s="690"/>
      <c r="T44" s="690"/>
      <c r="U44" s="690"/>
      <c r="V44" s="690"/>
      <c r="W44" s="690"/>
      <c r="X44" s="690"/>
      <c r="Y44" s="690"/>
      <c r="Z44" s="690"/>
    </row>
    <row r="45" spans="1:26">
      <c r="A45" s="690"/>
      <c r="B45" s="690"/>
      <c r="C45" s="690"/>
      <c r="D45" s="690"/>
      <c r="E45" s="690"/>
      <c r="F45" s="690"/>
      <c r="G45" s="690"/>
      <c r="H45" s="690"/>
      <c r="I45" s="690"/>
      <c r="J45" s="690"/>
      <c r="K45" s="690"/>
      <c r="L45" s="690"/>
      <c r="M45" s="690"/>
      <c r="N45" s="690"/>
      <c r="O45" s="690"/>
      <c r="P45" s="690"/>
      <c r="Q45" s="690"/>
      <c r="R45" s="690"/>
      <c r="S45" s="690"/>
      <c r="T45" s="690"/>
      <c r="U45" s="690"/>
      <c r="V45" s="690"/>
      <c r="W45" s="690"/>
      <c r="X45" s="690"/>
      <c r="Y45" s="690"/>
      <c r="Z45" s="690"/>
    </row>
    <row r="46" spans="1:26">
      <c r="A46" s="690"/>
      <c r="B46" s="690"/>
      <c r="C46" s="690"/>
      <c r="D46" s="690"/>
      <c r="E46" s="690"/>
      <c r="F46" s="690"/>
      <c r="G46" s="690"/>
      <c r="H46" s="690"/>
      <c r="I46" s="690"/>
      <c r="J46" s="690"/>
      <c r="K46" s="690"/>
      <c r="L46" s="690"/>
      <c r="M46" s="690"/>
      <c r="N46" s="690"/>
      <c r="O46" s="690"/>
      <c r="P46" s="690"/>
      <c r="Q46" s="690"/>
      <c r="R46" s="690"/>
      <c r="S46" s="690"/>
      <c r="T46" s="690"/>
      <c r="U46" s="690"/>
      <c r="V46" s="690"/>
      <c r="W46" s="690"/>
      <c r="X46" s="690"/>
      <c r="Y46" s="690"/>
      <c r="Z46" s="690"/>
    </row>
    <row r="47" spans="1:26">
      <c r="A47" s="690"/>
      <c r="B47" s="690"/>
      <c r="C47" s="690"/>
      <c r="D47" s="690"/>
      <c r="E47" s="690"/>
      <c r="F47" s="690"/>
      <c r="G47" s="690"/>
      <c r="H47" s="690"/>
      <c r="I47" s="690"/>
      <c r="J47" s="690"/>
      <c r="K47" s="690"/>
      <c r="L47" s="690"/>
      <c r="M47" s="690"/>
      <c r="N47" s="690"/>
      <c r="O47" s="690"/>
      <c r="P47" s="690"/>
      <c r="Q47" s="690"/>
      <c r="R47" s="690"/>
      <c r="S47" s="690"/>
      <c r="T47" s="690"/>
      <c r="U47" s="690"/>
      <c r="V47" s="690"/>
      <c r="W47" s="690"/>
      <c r="X47" s="690"/>
      <c r="Y47" s="690"/>
      <c r="Z47" s="690"/>
    </row>
    <row r="48" spans="1:26">
      <c r="A48" s="690"/>
      <c r="B48" s="690"/>
      <c r="C48" s="690"/>
      <c r="D48" s="690"/>
      <c r="E48" s="690"/>
      <c r="F48" s="690"/>
      <c r="G48" s="690"/>
      <c r="H48" s="690"/>
      <c r="I48" s="690"/>
      <c r="J48" s="690"/>
      <c r="K48" s="690"/>
      <c r="L48" s="690"/>
      <c r="M48" s="690"/>
      <c r="N48" s="690"/>
      <c r="O48" s="690"/>
      <c r="P48" s="690"/>
      <c r="Q48" s="690"/>
      <c r="R48" s="690"/>
      <c r="S48" s="690"/>
      <c r="T48" s="690"/>
      <c r="U48" s="690"/>
      <c r="V48" s="690"/>
      <c r="W48" s="690"/>
      <c r="X48" s="690"/>
      <c r="Y48" s="690"/>
      <c r="Z48" s="690"/>
    </row>
    <row r="49" spans="1:26">
      <c r="A49" s="690"/>
      <c r="B49" s="690"/>
      <c r="C49" s="690"/>
      <c r="D49" s="690"/>
      <c r="E49" s="690"/>
      <c r="F49" s="690"/>
      <c r="G49" s="690"/>
      <c r="H49" s="690"/>
      <c r="I49" s="690"/>
      <c r="J49" s="690"/>
      <c r="K49" s="690"/>
      <c r="L49" s="690"/>
      <c r="M49" s="690"/>
      <c r="N49" s="690"/>
      <c r="O49" s="690"/>
      <c r="P49" s="690"/>
      <c r="Q49" s="690"/>
      <c r="R49" s="690"/>
      <c r="S49" s="690"/>
      <c r="T49" s="690"/>
      <c r="U49" s="690"/>
      <c r="V49" s="690"/>
      <c r="W49" s="690"/>
      <c r="X49" s="690"/>
      <c r="Y49" s="690"/>
      <c r="Z49" s="690"/>
    </row>
    <row r="50" spans="1:26">
      <c r="A50" s="690"/>
      <c r="B50" s="690"/>
      <c r="C50" s="690"/>
      <c r="D50" s="690"/>
      <c r="E50" s="690"/>
      <c r="F50" s="690"/>
      <c r="G50" s="690"/>
      <c r="H50" s="690"/>
      <c r="I50" s="690"/>
      <c r="J50" s="690"/>
      <c r="K50" s="690"/>
      <c r="L50" s="690"/>
      <c r="M50" s="690"/>
      <c r="N50" s="690"/>
      <c r="O50" s="690"/>
      <c r="P50" s="690"/>
      <c r="Q50" s="690"/>
      <c r="R50" s="690"/>
      <c r="S50" s="690"/>
      <c r="T50" s="690"/>
      <c r="U50" s="690"/>
      <c r="V50" s="690"/>
      <c r="W50" s="690"/>
      <c r="X50" s="690"/>
      <c r="Y50" s="690"/>
      <c r="Z50" s="690"/>
    </row>
    <row r="51" spans="1:26">
      <c r="A51" s="690"/>
      <c r="B51" s="690"/>
      <c r="C51" s="690"/>
      <c r="D51" s="690"/>
      <c r="E51" s="690"/>
      <c r="F51" s="690"/>
      <c r="G51" s="690"/>
      <c r="H51" s="690"/>
      <c r="I51" s="690"/>
      <c r="J51" s="690"/>
      <c r="K51" s="690"/>
      <c r="L51" s="690"/>
      <c r="M51" s="690"/>
      <c r="N51" s="690"/>
      <c r="O51" s="690"/>
      <c r="P51" s="690"/>
      <c r="Q51" s="690"/>
      <c r="R51" s="690"/>
      <c r="S51" s="690"/>
      <c r="T51" s="690"/>
      <c r="U51" s="690"/>
      <c r="V51" s="690"/>
      <c r="W51" s="690"/>
      <c r="X51" s="690"/>
      <c r="Y51" s="690"/>
      <c r="Z51" s="690"/>
    </row>
    <row r="52" spans="1:26">
      <c r="A52" s="690"/>
      <c r="B52" s="690"/>
      <c r="C52" s="690"/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690"/>
      <c r="V52" s="690"/>
      <c r="W52" s="690"/>
      <c r="X52" s="690"/>
      <c r="Y52" s="690"/>
      <c r="Z52" s="690"/>
    </row>
    <row r="53" spans="1:26">
      <c r="A53" s="690"/>
      <c r="B53" s="690"/>
      <c r="C53" s="690"/>
      <c r="D53" s="690"/>
      <c r="E53" s="690"/>
      <c r="F53" s="690"/>
      <c r="G53" s="690"/>
      <c r="H53" s="690"/>
      <c r="I53" s="690"/>
      <c r="J53" s="690"/>
      <c r="K53" s="690"/>
      <c r="L53" s="690"/>
      <c r="M53" s="690"/>
      <c r="N53" s="690"/>
      <c r="O53" s="690"/>
      <c r="P53" s="690"/>
      <c r="Q53" s="690"/>
      <c r="R53" s="690"/>
      <c r="S53" s="690"/>
      <c r="T53" s="690"/>
      <c r="U53" s="690"/>
      <c r="V53" s="690"/>
      <c r="W53" s="690"/>
      <c r="X53" s="690"/>
      <c r="Y53" s="690"/>
      <c r="Z53" s="690"/>
    </row>
    <row r="54" spans="1:26">
      <c r="A54" s="690"/>
      <c r="B54" s="690"/>
      <c r="C54" s="690"/>
      <c r="D54" s="690"/>
      <c r="E54" s="690"/>
      <c r="F54" s="690"/>
      <c r="G54" s="690"/>
      <c r="H54" s="690"/>
      <c r="I54" s="690"/>
      <c r="J54" s="690"/>
      <c r="K54" s="690"/>
      <c r="L54" s="690"/>
      <c r="M54" s="690"/>
      <c r="N54" s="690"/>
      <c r="O54" s="690"/>
      <c r="P54" s="690"/>
      <c r="Q54" s="690"/>
      <c r="R54" s="690"/>
      <c r="S54" s="690"/>
      <c r="T54" s="690"/>
      <c r="U54" s="690"/>
      <c r="V54" s="690"/>
      <c r="W54" s="690"/>
      <c r="X54" s="690"/>
      <c r="Y54" s="690"/>
      <c r="Z54" s="690"/>
    </row>
    <row r="55" spans="1:26">
      <c r="A55" s="690"/>
      <c r="B55" s="690"/>
      <c r="C55" s="690"/>
      <c r="D55" s="690"/>
      <c r="E55" s="690"/>
      <c r="F55" s="690"/>
      <c r="G55" s="690"/>
      <c r="H55" s="690"/>
      <c r="I55" s="690"/>
      <c r="J55" s="690"/>
      <c r="K55" s="690"/>
      <c r="L55" s="690"/>
      <c r="M55" s="690"/>
      <c r="N55" s="690"/>
      <c r="O55" s="690"/>
      <c r="P55" s="690"/>
      <c r="Q55" s="690"/>
      <c r="R55" s="690"/>
      <c r="S55" s="690"/>
      <c r="T55" s="690"/>
      <c r="U55" s="690"/>
      <c r="V55" s="690"/>
      <c r="W55" s="690"/>
      <c r="X55" s="690"/>
      <c r="Y55" s="690"/>
      <c r="Z55" s="690"/>
    </row>
    <row r="56" spans="1:26">
      <c r="A56" s="690"/>
      <c r="B56" s="690"/>
      <c r="C56" s="690"/>
      <c r="D56" s="690"/>
      <c r="E56" s="690"/>
      <c r="F56" s="690"/>
      <c r="G56" s="690"/>
      <c r="H56" s="690"/>
      <c r="I56" s="690"/>
      <c r="J56" s="690"/>
      <c r="K56" s="690"/>
      <c r="L56" s="690"/>
      <c r="M56" s="690"/>
      <c r="N56" s="690"/>
      <c r="O56" s="690"/>
      <c r="P56" s="690"/>
      <c r="Q56" s="690"/>
      <c r="R56" s="690"/>
      <c r="S56" s="690"/>
      <c r="T56" s="690"/>
      <c r="U56" s="690"/>
      <c r="V56" s="690"/>
      <c r="W56" s="690"/>
      <c r="X56" s="690"/>
      <c r="Y56" s="690"/>
      <c r="Z56" s="690"/>
    </row>
    <row r="57" spans="1:26">
      <c r="A57" s="690"/>
      <c r="B57" s="690"/>
      <c r="C57" s="690"/>
      <c r="D57" s="690"/>
      <c r="E57" s="690"/>
      <c r="F57" s="690"/>
      <c r="G57" s="690"/>
      <c r="H57" s="690"/>
      <c r="I57" s="690"/>
      <c r="J57" s="690"/>
      <c r="K57" s="690"/>
      <c r="L57" s="690"/>
      <c r="M57" s="690"/>
      <c r="N57" s="690"/>
      <c r="O57" s="690"/>
      <c r="P57" s="690"/>
      <c r="Q57" s="690"/>
      <c r="R57" s="690"/>
      <c r="S57" s="690"/>
      <c r="T57" s="690"/>
      <c r="U57" s="690"/>
      <c r="V57" s="690"/>
      <c r="W57" s="690"/>
      <c r="X57" s="690"/>
      <c r="Y57" s="690"/>
      <c r="Z57" s="690"/>
    </row>
    <row r="58" spans="1:26">
      <c r="A58" s="690"/>
      <c r="B58" s="690"/>
      <c r="C58" s="690"/>
      <c r="D58" s="690"/>
      <c r="E58" s="690"/>
      <c r="F58" s="690"/>
      <c r="G58" s="690"/>
      <c r="H58" s="690"/>
      <c r="I58" s="690"/>
      <c r="J58" s="690"/>
      <c r="K58" s="690"/>
      <c r="L58" s="690"/>
      <c r="M58" s="690"/>
      <c r="N58" s="690"/>
      <c r="O58" s="690"/>
      <c r="P58" s="690"/>
      <c r="Q58" s="690"/>
      <c r="R58" s="690"/>
      <c r="S58" s="690"/>
      <c r="T58" s="690"/>
      <c r="U58" s="690"/>
      <c r="V58" s="690"/>
      <c r="W58" s="690"/>
      <c r="X58" s="690"/>
      <c r="Y58" s="690"/>
      <c r="Z58" s="690"/>
    </row>
    <row r="59" spans="1:26">
      <c r="A59" s="690"/>
      <c r="B59" s="690"/>
      <c r="C59" s="690"/>
      <c r="D59" s="690"/>
      <c r="E59" s="690"/>
      <c r="F59" s="690"/>
      <c r="G59" s="690"/>
      <c r="H59" s="690"/>
      <c r="I59" s="690"/>
      <c r="J59" s="690"/>
      <c r="K59" s="690"/>
      <c r="L59" s="690"/>
      <c r="M59" s="690"/>
      <c r="N59" s="690"/>
      <c r="O59" s="690"/>
      <c r="P59" s="690"/>
      <c r="Q59" s="690"/>
      <c r="R59" s="690"/>
      <c r="S59" s="690"/>
      <c r="T59" s="690"/>
      <c r="U59" s="690"/>
      <c r="V59" s="690"/>
      <c r="W59" s="690"/>
      <c r="X59" s="690"/>
      <c r="Y59" s="690"/>
      <c r="Z59" s="690"/>
    </row>
    <row r="60" spans="1:26">
      <c r="A60" s="690"/>
      <c r="B60" s="690"/>
      <c r="C60" s="690"/>
      <c r="D60" s="690"/>
      <c r="E60" s="690"/>
      <c r="F60" s="690"/>
      <c r="G60" s="690"/>
      <c r="H60" s="690"/>
      <c r="I60" s="690"/>
      <c r="J60" s="690"/>
      <c r="K60" s="690"/>
      <c r="L60" s="690"/>
      <c r="M60" s="690"/>
      <c r="N60" s="690"/>
      <c r="O60" s="690"/>
      <c r="P60" s="690"/>
      <c r="Q60" s="690"/>
      <c r="R60" s="690"/>
      <c r="S60" s="690"/>
      <c r="T60" s="690"/>
      <c r="U60" s="690"/>
      <c r="V60" s="690"/>
      <c r="W60" s="690"/>
      <c r="X60" s="690"/>
      <c r="Y60" s="690"/>
      <c r="Z60" s="690"/>
    </row>
    <row r="61" spans="1:26">
      <c r="A61" s="690"/>
      <c r="B61" s="690"/>
      <c r="C61" s="690"/>
      <c r="D61" s="690"/>
      <c r="E61" s="690"/>
      <c r="F61" s="690"/>
      <c r="G61" s="690"/>
      <c r="H61" s="690"/>
      <c r="I61" s="690"/>
      <c r="J61" s="690"/>
      <c r="K61" s="690"/>
      <c r="L61" s="690"/>
      <c r="M61" s="690"/>
      <c r="N61" s="690"/>
      <c r="O61" s="690"/>
      <c r="P61" s="690"/>
      <c r="Q61" s="690"/>
      <c r="R61" s="690"/>
      <c r="S61" s="690"/>
      <c r="T61" s="690"/>
      <c r="U61" s="690"/>
      <c r="V61" s="690"/>
      <c r="W61" s="690"/>
      <c r="X61" s="690"/>
      <c r="Y61" s="690"/>
      <c r="Z61" s="690"/>
    </row>
    <row r="62" spans="1:26">
      <c r="A62" s="690"/>
      <c r="B62" s="690"/>
      <c r="C62" s="690"/>
      <c r="D62" s="690"/>
      <c r="E62" s="690"/>
      <c r="F62" s="690"/>
      <c r="G62" s="690"/>
      <c r="H62" s="690"/>
      <c r="I62" s="690"/>
      <c r="J62" s="690"/>
      <c r="K62" s="690"/>
      <c r="L62" s="690"/>
      <c r="M62" s="690"/>
      <c r="N62" s="690"/>
      <c r="O62" s="690"/>
      <c r="P62" s="690"/>
      <c r="Q62" s="690"/>
      <c r="R62" s="690"/>
      <c r="S62" s="690"/>
      <c r="T62" s="690"/>
      <c r="U62" s="690"/>
      <c r="V62" s="690"/>
      <c r="W62" s="690"/>
      <c r="X62" s="690"/>
      <c r="Y62" s="690"/>
      <c r="Z62" s="690"/>
    </row>
    <row r="63" spans="1:26">
      <c r="A63" s="690"/>
      <c r="B63" s="690"/>
      <c r="C63" s="690"/>
      <c r="D63" s="690"/>
      <c r="E63" s="690"/>
      <c r="F63" s="690"/>
      <c r="G63" s="690"/>
      <c r="H63" s="690"/>
      <c r="I63" s="690"/>
      <c r="J63" s="690"/>
      <c r="K63" s="690"/>
      <c r="L63" s="690"/>
      <c r="M63" s="690"/>
      <c r="N63" s="690"/>
      <c r="O63" s="690"/>
      <c r="P63" s="690"/>
      <c r="Q63" s="690"/>
      <c r="R63" s="690"/>
      <c r="S63" s="690"/>
      <c r="T63" s="690"/>
      <c r="U63" s="690"/>
      <c r="V63" s="690"/>
      <c r="W63" s="690"/>
      <c r="X63" s="690"/>
      <c r="Y63" s="690"/>
      <c r="Z63" s="690"/>
    </row>
    <row r="64" spans="1:26">
      <c r="A64" s="690"/>
      <c r="B64" s="690"/>
      <c r="C64" s="690"/>
      <c r="D64" s="690"/>
      <c r="E64" s="690"/>
      <c r="F64" s="690"/>
      <c r="G64" s="690"/>
      <c r="H64" s="690"/>
      <c r="I64" s="690"/>
      <c r="J64" s="690"/>
      <c r="K64" s="690"/>
      <c r="L64" s="690"/>
      <c r="M64" s="690"/>
      <c r="N64" s="690"/>
      <c r="O64" s="690"/>
      <c r="P64" s="690"/>
      <c r="Q64" s="690"/>
      <c r="R64" s="690"/>
      <c r="S64" s="690"/>
      <c r="T64" s="690"/>
      <c r="U64" s="690"/>
      <c r="V64" s="690"/>
      <c r="W64" s="690"/>
      <c r="X64" s="690"/>
      <c r="Y64" s="690"/>
      <c r="Z64" s="690"/>
    </row>
    <row r="65" spans="1:26">
      <c r="A65" s="690"/>
      <c r="B65" s="690"/>
      <c r="C65" s="690"/>
      <c r="D65" s="690"/>
      <c r="E65" s="690"/>
      <c r="F65" s="690"/>
      <c r="G65" s="690"/>
      <c r="H65" s="690"/>
      <c r="I65" s="690"/>
      <c r="J65" s="690"/>
      <c r="K65" s="690"/>
      <c r="L65" s="690"/>
      <c r="M65" s="690"/>
      <c r="N65" s="690"/>
      <c r="O65" s="690"/>
      <c r="P65" s="690"/>
      <c r="Q65" s="690"/>
      <c r="R65" s="690"/>
      <c r="S65" s="690"/>
      <c r="T65" s="690"/>
      <c r="U65" s="690"/>
      <c r="V65" s="690"/>
      <c r="W65" s="690"/>
      <c r="X65" s="690"/>
      <c r="Y65" s="690"/>
      <c r="Z65" s="690"/>
    </row>
    <row r="66" spans="1:26">
      <c r="A66" s="690"/>
      <c r="B66" s="690"/>
      <c r="C66" s="690"/>
      <c r="D66" s="690"/>
      <c r="E66" s="690"/>
      <c r="F66" s="690"/>
      <c r="G66" s="690"/>
      <c r="H66" s="690"/>
      <c r="I66" s="690"/>
      <c r="J66" s="690"/>
      <c r="K66" s="690"/>
      <c r="L66" s="690"/>
      <c r="M66" s="690"/>
      <c r="N66" s="690"/>
      <c r="O66" s="690"/>
      <c r="P66" s="690"/>
      <c r="Q66" s="690"/>
      <c r="R66" s="690"/>
      <c r="S66" s="690"/>
      <c r="T66" s="690"/>
      <c r="U66" s="690"/>
      <c r="V66" s="690"/>
      <c r="W66" s="690"/>
      <c r="X66" s="690"/>
      <c r="Y66" s="690"/>
      <c r="Z66" s="690"/>
    </row>
    <row r="67" spans="1:26">
      <c r="A67" s="690"/>
      <c r="B67" s="690"/>
      <c r="C67" s="690"/>
      <c r="D67" s="690"/>
      <c r="E67" s="690"/>
      <c r="F67" s="690"/>
      <c r="G67" s="690"/>
      <c r="H67" s="690"/>
      <c r="I67" s="690"/>
      <c r="J67" s="690"/>
      <c r="K67" s="690"/>
      <c r="L67" s="690"/>
      <c r="M67" s="690"/>
      <c r="N67" s="690"/>
      <c r="O67" s="690"/>
      <c r="P67" s="690"/>
      <c r="Q67" s="690"/>
      <c r="R67" s="690"/>
      <c r="S67" s="690"/>
      <c r="T67" s="690"/>
      <c r="U67" s="690"/>
      <c r="V67" s="690"/>
      <c r="W67" s="690"/>
      <c r="X67" s="690"/>
      <c r="Y67" s="690"/>
      <c r="Z67" s="690"/>
    </row>
    <row r="68" spans="1:26">
      <c r="A68" s="690"/>
      <c r="B68" s="690"/>
      <c r="C68" s="690"/>
      <c r="D68" s="690"/>
      <c r="E68" s="690"/>
      <c r="F68" s="690"/>
      <c r="G68" s="690"/>
      <c r="H68" s="690"/>
      <c r="I68" s="690"/>
      <c r="J68" s="690"/>
      <c r="K68" s="690"/>
      <c r="L68" s="690"/>
      <c r="M68" s="690"/>
      <c r="N68" s="690"/>
      <c r="O68" s="690"/>
      <c r="P68" s="690"/>
      <c r="Q68" s="690"/>
      <c r="R68" s="690"/>
      <c r="S68" s="690"/>
      <c r="T68" s="690"/>
      <c r="U68" s="690"/>
      <c r="V68" s="690"/>
      <c r="W68" s="690"/>
      <c r="X68" s="690"/>
      <c r="Y68" s="690"/>
      <c r="Z68" s="690"/>
    </row>
    <row r="69" spans="1:26">
      <c r="A69" s="690"/>
      <c r="B69" s="690"/>
      <c r="C69" s="690"/>
      <c r="D69" s="690"/>
      <c r="E69" s="690"/>
      <c r="F69" s="690"/>
      <c r="G69" s="690"/>
      <c r="H69" s="690"/>
      <c r="I69" s="690"/>
      <c r="J69" s="690"/>
      <c r="K69" s="690"/>
      <c r="L69" s="690"/>
      <c r="M69" s="690"/>
      <c r="N69" s="690"/>
      <c r="O69" s="690"/>
      <c r="P69" s="690"/>
      <c r="Q69" s="690"/>
      <c r="R69" s="690"/>
      <c r="S69" s="690"/>
      <c r="T69" s="690"/>
      <c r="U69" s="690"/>
      <c r="V69" s="690"/>
      <c r="W69" s="690"/>
      <c r="X69" s="690"/>
      <c r="Y69" s="690"/>
      <c r="Z69" s="690"/>
    </row>
    <row r="70" spans="1:26">
      <c r="A70" s="690"/>
      <c r="B70" s="690"/>
      <c r="C70" s="690"/>
      <c r="D70" s="690"/>
      <c r="E70" s="690"/>
      <c r="F70" s="690"/>
      <c r="G70" s="690"/>
      <c r="H70" s="690"/>
      <c r="I70" s="690"/>
      <c r="J70" s="690"/>
      <c r="K70" s="690"/>
      <c r="L70" s="690"/>
      <c r="M70" s="690"/>
      <c r="N70" s="690"/>
      <c r="O70" s="690"/>
      <c r="P70" s="690"/>
      <c r="Q70" s="690"/>
      <c r="R70" s="690"/>
      <c r="S70" s="690"/>
      <c r="T70" s="690"/>
      <c r="U70" s="690"/>
      <c r="V70" s="690"/>
      <c r="W70" s="690"/>
      <c r="X70" s="690"/>
      <c r="Y70" s="690"/>
      <c r="Z70" s="690"/>
    </row>
    <row r="71" spans="1:26">
      <c r="A71" s="690"/>
      <c r="B71" s="690"/>
      <c r="C71" s="690"/>
      <c r="D71" s="690"/>
      <c r="E71" s="690"/>
      <c r="F71" s="690"/>
      <c r="G71" s="690"/>
      <c r="H71" s="690"/>
      <c r="I71" s="690"/>
      <c r="J71" s="690"/>
      <c r="K71" s="690"/>
      <c r="L71" s="690"/>
      <c r="M71" s="690"/>
      <c r="N71" s="690"/>
      <c r="O71" s="690"/>
      <c r="P71" s="690"/>
      <c r="Q71" s="690"/>
      <c r="R71" s="690"/>
      <c r="S71" s="690"/>
      <c r="T71" s="690"/>
      <c r="U71" s="690"/>
      <c r="V71" s="690"/>
      <c r="W71" s="690"/>
      <c r="X71" s="690"/>
      <c r="Y71" s="690"/>
      <c r="Z71" s="690"/>
    </row>
    <row r="72" spans="1:26">
      <c r="A72" s="690"/>
      <c r="B72" s="690"/>
      <c r="C72" s="690"/>
      <c r="D72" s="690"/>
      <c r="E72" s="690"/>
      <c r="F72" s="690"/>
      <c r="G72" s="690"/>
      <c r="H72" s="690"/>
      <c r="I72" s="690"/>
      <c r="J72" s="690"/>
      <c r="K72" s="690"/>
      <c r="L72" s="690"/>
      <c r="M72" s="690"/>
      <c r="N72" s="690"/>
      <c r="O72" s="690"/>
      <c r="P72" s="690"/>
      <c r="Q72" s="690"/>
      <c r="R72" s="690"/>
      <c r="S72" s="690"/>
      <c r="T72" s="690"/>
      <c r="U72" s="690"/>
      <c r="V72" s="690"/>
      <c r="W72" s="690"/>
      <c r="X72" s="690"/>
      <c r="Y72" s="690"/>
      <c r="Z72" s="690"/>
    </row>
    <row r="73" spans="1:26">
      <c r="A73" s="690"/>
      <c r="B73" s="690"/>
      <c r="C73" s="690"/>
      <c r="D73" s="690"/>
      <c r="E73" s="690"/>
      <c r="F73" s="690"/>
      <c r="G73" s="690"/>
      <c r="H73" s="690"/>
      <c r="I73" s="690"/>
      <c r="J73" s="690"/>
      <c r="K73" s="690"/>
      <c r="L73" s="690"/>
      <c r="M73" s="690"/>
      <c r="N73" s="690"/>
      <c r="O73" s="690"/>
      <c r="P73" s="690"/>
      <c r="Q73" s="690"/>
      <c r="R73" s="690"/>
      <c r="S73" s="690"/>
      <c r="T73" s="690"/>
      <c r="U73" s="690"/>
      <c r="V73" s="690"/>
      <c r="W73" s="690"/>
      <c r="X73" s="690"/>
      <c r="Y73" s="690"/>
      <c r="Z73" s="690"/>
    </row>
    <row r="74" spans="1:26">
      <c r="A74" s="690"/>
      <c r="B74" s="690"/>
      <c r="C74" s="690"/>
      <c r="D74" s="690"/>
      <c r="E74" s="690"/>
      <c r="F74" s="690"/>
      <c r="G74" s="690"/>
      <c r="H74" s="690"/>
      <c r="I74" s="690"/>
      <c r="J74" s="690"/>
      <c r="K74" s="690"/>
      <c r="L74" s="690"/>
      <c r="M74" s="690"/>
      <c r="N74" s="690"/>
      <c r="O74" s="690"/>
      <c r="P74" s="690"/>
      <c r="Q74" s="690"/>
      <c r="R74" s="690"/>
      <c r="S74" s="690"/>
      <c r="T74" s="690"/>
      <c r="U74" s="690"/>
      <c r="V74" s="690"/>
      <c r="W74" s="690"/>
      <c r="X74" s="690"/>
      <c r="Y74" s="690"/>
      <c r="Z74" s="690"/>
    </row>
    <row r="75" spans="1:26">
      <c r="A75" s="690"/>
      <c r="B75" s="690"/>
      <c r="C75" s="690"/>
      <c r="D75" s="690"/>
      <c r="E75" s="690"/>
      <c r="F75" s="690"/>
      <c r="G75" s="690"/>
      <c r="H75" s="690"/>
      <c r="I75" s="690"/>
      <c r="J75" s="690"/>
      <c r="K75" s="690"/>
      <c r="L75" s="690"/>
      <c r="M75" s="690"/>
      <c r="N75" s="690"/>
      <c r="O75" s="690"/>
      <c r="P75" s="690"/>
      <c r="Q75" s="690"/>
      <c r="R75" s="690"/>
      <c r="S75" s="690"/>
      <c r="T75" s="690"/>
      <c r="U75" s="690"/>
      <c r="V75" s="690"/>
      <c r="W75" s="690"/>
      <c r="X75" s="690"/>
      <c r="Y75" s="690"/>
      <c r="Z75" s="690"/>
    </row>
    <row r="76" spans="1:26">
      <c r="A76" s="690"/>
      <c r="B76" s="690"/>
      <c r="C76" s="690"/>
      <c r="D76" s="690"/>
      <c r="E76" s="690"/>
      <c r="F76" s="690"/>
      <c r="G76" s="690"/>
      <c r="H76" s="690"/>
      <c r="I76" s="690"/>
      <c r="J76" s="690"/>
      <c r="K76" s="690"/>
      <c r="L76" s="690"/>
      <c r="M76" s="690"/>
      <c r="N76" s="690"/>
      <c r="O76" s="690"/>
      <c r="P76" s="690"/>
      <c r="Q76" s="690"/>
      <c r="R76" s="690"/>
      <c r="S76" s="690"/>
      <c r="T76" s="690"/>
      <c r="U76" s="690"/>
      <c r="V76" s="690"/>
      <c r="W76" s="690"/>
      <c r="X76" s="690"/>
      <c r="Y76" s="690"/>
      <c r="Z76" s="690"/>
    </row>
    <row r="77" spans="1:26">
      <c r="A77" s="690"/>
      <c r="B77" s="690"/>
      <c r="C77" s="690"/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690"/>
      <c r="V77" s="690"/>
      <c r="W77" s="690"/>
      <c r="X77" s="690"/>
      <c r="Y77" s="690"/>
      <c r="Z77" s="690"/>
    </row>
    <row r="78" spans="1:26">
      <c r="A78" s="690"/>
      <c r="B78" s="690"/>
      <c r="C78" s="690"/>
      <c r="D78" s="690"/>
      <c r="E78" s="690"/>
      <c r="F78" s="690"/>
      <c r="G78" s="690"/>
      <c r="H78" s="690"/>
      <c r="I78" s="690"/>
      <c r="J78" s="690"/>
      <c r="K78" s="690"/>
      <c r="L78" s="690"/>
      <c r="M78" s="690"/>
      <c r="N78" s="690"/>
      <c r="O78" s="690"/>
      <c r="P78" s="690"/>
      <c r="Q78" s="690"/>
      <c r="R78" s="690"/>
      <c r="S78" s="690"/>
      <c r="T78" s="690"/>
      <c r="U78" s="690"/>
      <c r="V78" s="690"/>
      <c r="W78" s="690"/>
      <c r="X78" s="690"/>
      <c r="Y78" s="690"/>
      <c r="Z78" s="690"/>
    </row>
    <row r="79" spans="1:26">
      <c r="A79" s="690"/>
      <c r="B79" s="690"/>
      <c r="C79" s="690"/>
      <c r="D79" s="690"/>
      <c r="E79" s="690"/>
      <c r="F79" s="690"/>
      <c r="G79" s="690"/>
      <c r="H79" s="690"/>
      <c r="I79" s="690"/>
      <c r="J79" s="690"/>
      <c r="K79" s="690"/>
      <c r="L79" s="690"/>
      <c r="M79" s="690"/>
      <c r="N79" s="690"/>
      <c r="O79" s="690"/>
      <c r="P79" s="690"/>
      <c r="Q79" s="690"/>
      <c r="R79" s="690"/>
      <c r="S79" s="690"/>
      <c r="T79" s="690"/>
      <c r="U79" s="690"/>
      <c r="V79" s="690"/>
      <c r="W79" s="690"/>
      <c r="X79" s="690"/>
      <c r="Y79" s="690"/>
      <c r="Z79" s="690"/>
    </row>
    <row r="80" spans="1:26">
      <c r="A80" s="690"/>
      <c r="B80" s="690"/>
      <c r="C80" s="690"/>
      <c r="D80" s="690"/>
      <c r="E80" s="690"/>
      <c r="F80" s="690"/>
      <c r="G80" s="690"/>
      <c r="H80" s="690"/>
      <c r="I80" s="690"/>
      <c r="J80" s="690"/>
      <c r="K80" s="690"/>
      <c r="L80" s="690"/>
      <c r="M80" s="690"/>
      <c r="N80" s="690"/>
      <c r="O80" s="690"/>
      <c r="P80" s="690"/>
      <c r="Q80" s="690"/>
      <c r="R80" s="690"/>
      <c r="S80" s="690"/>
      <c r="T80" s="690"/>
      <c r="U80" s="690"/>
      <c r="V80" s="690"/>
      <c r="W80" s="690"/>
      <c r="X80" s="690"/>
      <c r="Y80" s="690"/>
      <c r="Z80" s="690"/>
    </row>
    <row r="81" spans="1:26">
      <c r="A81" s="690"/>
      <c r="B81" s="690"/>
      <c r="C81" s="690"/>
      <c r="D81" s="690"/>
      <c r="E81" s="690"/>
      <c r="F81" s="690"/>
      <c r="G81" s="690"/>
      <c r="H81" s="690"/>
      <c r="I81" s="690"/>
      <c r="J81" s="690"/>
      <c r="K81" s="690"/>
      <c r="L81" s="690"/>
      <c r="M81" s="690"/>
      <c r="N81" s="690"/>
      <c r="O81" s="690"/>
      <c r="P81" s="690"/>
      <c r="Q81" s="690"/>
      <c r="R81" s="690"/>
      <c r="S81" s="690"/>
      <c r="T81" s="690"/>
      <c r="U81" s="690"/>
      <c r="V81" s="690"/>
      <c r="W81" s="690"/>
      <c r="X81" s="690"/>
      <c r="Y81" s="690"/>
      <c r="Z81" s="690"/>
    </row>
    <row r="82" spans="1:26">
      <c r="A82" s="690"/>
      <c r="B82" s="690"/>
      <c r="C82" s="690"/>
      <c r="D82" s="690"/>
      <c r="E82" s="690"/>
      <c r="F82" s="690"/>
      <c r="G82" s="690"/>
      <c r="H82" s="690"/>
      <c r="I82" s="690"/>
      <c r="J82" s="690"/>
      <c r="K82" s="690"/>
      <c r="L82" s="690"/>
      <c r="M82" s="690"/>
      <c r="N82" s="690"/>
      <c r="O82" s="690"/>
      <c r="P82" s="690"/>
      <c r="Q82" s="690"/>
      <c r="R82" s="690"/>
      <c r="S82" s="690"/>
      <c r="T82" s="690"/>
      <c r="U82" s="690"/>
      <c r="V82" s="690"/>
      <c r="W82" s="690"/>
      <c r="X82" s="690"/>
      <c r="Y82" s="690"/>
      <c r="Z82" s="690"/>
    </row>
    <row r="83" spans="1:26">
      <c r="A83" s="690"/>
      <c r="B83" s="690"/>
      <c r="C83" s="690"/>
      <c r="D83" s="690"/>
      <c r="E83" s="690"/>
      <c r="F83" s="690"/>
      <c r="G83" s="690"/>
      <c r="H83" s="690"/>
      <c r="I83" s="690"/>
      <c r="J83" s="690"/>
      <c r="K83" s="690"/>
      <c r="L83" s="690"/>
      <c r="M83" s="690"/>
      <c r="N83" s="690"/>
      <c r="O83" s="690"/>
      <c r="P83" s="690"/>
      <c r="Q83" s="690"/>
      <c r="R83" s="690"/>
      <c r="S83" s="690"/>
      <c r="T83" s="690"/>
      <c r="U83" s="690"/>
      <c r="V83" s="690"/>
      <c r="W83" s="690"/>
      <c r="X83" s="690"/>
      <c r="Y83" s="690"/>
      <c r="Z83" s="690"/>
    </row>
    <row r="84" spans="1:26">
      <c r="A84" s="690"/>
      <c r="B84" s="690"/>
      <c r="C84" s="690"/>
      <c r="D84" s="690"/>
      <c r="E84" s="690"/>
      <c r="F84" s="690"/>
      <c r="G84" s="690"/>
      <c r="H84" s="690"/>
      <c r="I84" s="690"/>
      <c r="J84" s="690"/>
      <c r="K84" s="690"/>
      <c r="L84" s="690"/>
      <c r="M84" s="690"/>
      <c r="N84" s="690"/>
      <c r="O84" s="690"/>
      <c r="P84" s="690"/>
      <c r="Q84" s="690"/>
      <c r="R84" s="690"/>
      <c r="S84" s="690"/>
      <c r="T84" s="690"/>
      <c r="U84" s="690"/>
      <c r="V84" s="690"/>
      <c r="W84" s="690"/>
      <c r="X84" s="690"/>
      <c r="Y84" s="690"/>
      <c r="Z84" s="690"/>
    </row>
    <row r="85" spans="1:26">
      <c r="A85" s="690"/>
      <c r="B85" s="690"/>
      <c r="C85" s="690"/>
      <c r="D85" s="690"/>
      <c r="E85" s="690"/>
      <c r="F85" s="690"/>
      <c r="G85" s="690"/>
      <c r="H85" s="690"/>
      <c r="I85" s="690"/>
      <c r="J85" s="690"/>
      <c r="K85" s="690"/>
      <c r="L85" s="690"/>
      <c r="M85" s="690"/>
      <c r="N85" s="690"/>
      <c r="O85" s="690"/>
      <c r="P85" s="690"/>
      <c r="Q85" s="690"/>
      <c r="R85" s="690"/>
      <c r="S85" s="690"/>
      <c r="T85" s="690"/>
      <c r="U85" s="690"/>
      <c r="V85" s="690"/>
      <c r="W85" s="690"/>
      <c r="X85" s="690"/>
      <c r="Y85" s="690"/>
      <c r="Z85" s="690"/>
    </row>
    <row r="86" spans="1:26">
      <c r="A86" s="690"/>
      <c r="B86" s="690"/>
      <c r="C86" s="690"/>
      <c r="D86" s="690"/>
      <c r="E86" s="690"/>
      <c r="F86" s="690"/>
      <c r="G86" s="690"/>
      <c r="H86" s="690"/>
      <c r="I86" s="690"/>
      <c r="J86" s="690"/>
      <c r="K86" s="690"/>
      <c r="L86" s="690"/>
      <c r="M86" s="690"/>
      <c r="N86" s="690"/>
      <c r="O86" s="690"/>
      <c r="P86" s="690"/>
      <c r="Q86" s="690"/>
      <c r="R86" s="690"/>
      <c r="S86" s="690"/>
      <c r="T86" s="690"/>
      <c r="U86" s="690"/>
      <c r="V86" s="690"/>
      <c r="W86" s="690"/>
      <c r="X86" s="690"/>
      <c r="Y86" s="690"/>
      <c r="Z86" s="690"/>
    </row>
    <row r="87" spans="1:26">
      <c r="A87" s="690"/>
      <c r="B87" s="690"/>
      <c r="C87" s="690"/>
      <c r="D87" s="690"/>
      <c r="E87" s="690"/>
      <c r="F87" s="690"/>
      <c r="G87" s="690"/>
      <c r="H87" s="690"/>
      <c r="I87" s="690"/>
      <c r="J87" s="690"/>
      <c r="K87" s="690"/>
      <c r="L87" s="690"/>
      <c r="M87" s="690"/>
      <c r="N87" s="690"/>
      <c r="O87" s="690"/>
      <c r="P87" s="690"/>
      <c r="Q87" s="690"/>
      <c r="R87" s="690"/>
      <c r="S87" s="690"/>
      <c r="T87" s="690"/>
      <c r="U87" s="690"/>
      <c r="V87" s="690"/>
      <c r="W87" s="690"/>
      <c r="X87" s="690"/>
      <c r="Y87" s="690"/>
      <c r="Z87" s="690"/>
    </row>
    <row r="88" spans="1:26">
      <c r="A88" s="690"/>
      <c r="B88" s="690"/>
      <c r="C88" s="690"/>
      <c r="D88" s="690"/>
      <c r="E88" s="690"/>
      <c r="F88" s="690"/>
      <c r="G88" s="690"/>
      <c r="H88" s="690"/>
      <c r="I88" s="690"/>
      <c r="J88" s="690"/>
      <c r="K88" s="690"/>
      <c r="L88" s="690"/>
      <c r="M88" s="690"/>
      <c r="N88" s="690"/>
      <c r="O88" s="690"/>
      <c r="P88" s="690"/>
      <c r="Q88" s="690"/>
      <c r="R88" s="690"/>
      <c r="S88" s="690"/>
      <c r="T88" s="690"/>
      <c r="U88" s="690"/>
      <c r="V88" s="690"/>
      <c r="W88" s="690"/>
      <c r="X88" s="690"/>
      <c r="Y88" s="690"/>
      <c r="Z88" s="690"/>
    </row>
    <row r="89" spans="1:26">
      <c r="A89" s="690"/>
      <c r="B89" s="690"/>
      <c r="C89" s="690"/>
      <c r="D89" s="690"/>
      <c r="E89" s="690"/>
      <c r="F89" s="690"/>
      <c r="G89" s="690"/>
      <c r="H89" s="690"/>
      <c r="I89" s="690"/>
      <c r="J89" s="690"/>
      <c r="K89" s="690"/>
      <c r="L89" s="690"/>
      <c r="M89" s="690"/>
      <c r="N89" s="690"/>
      <c r="O89" s="690"/>
      <c r="P89" s="690"/>
      <c r="Q89" s="690"/>
      <c r="R89" s="690"/>
      <c r="S89" s="690"/>
      <c r="T89" s="690"/>
      <c r="U89" s="690"/>
      <c r="V89" s="690"/>
      <c r="W89" s="690"/>
      <c r="X89" s="690"/>
      <c r="Y89" s="690"/>
      <c r="Z89" s="690"/>
    </row>
    <row r="90" spans="1:26">
      <c r="A90" s="690"/>
      <c r="B90" s="690"/>
      <c r="C90" s="690"/>
      <c r="D90" s="690"/>
      <c r="E90" s="690"/>
      <c r="F90" s="690"/>
      <c r="G90" s="690"/>
      <c r="H90" s="690"/>
      <c r="I90" s="690"/>
      <c r="J90" s="690"/>
      <c r="K90" s="690"/>
      <c r="L90" s="690"/>
      <c r="M90" s="690"/>
      <c r="N90" s="690"/>
      <c r="O90" s="690"/>
      <c r="P90" s="690"/>
      <c r="Q90" s="690"/>
      <c r="R90" s="690"/>
      <c r="S90" s="690"/>
      <c r="T90" s="690"/>
      <c r="U90" s="690"/>
      <c r="V90" s="690"/>
      <c r="W90" s="690"/>
      <c r="X90" s="690"/>
      <c r="Y90" s="690"/>
      <c r="Z90" s="690"/>
    </row>
    <row r="91" spans="1:26">
      <c r="A91" s="690"/>
      <c r="B91" s="690"/>
      <c r="C91" s="690"/>
      <c r="D91" s="690"/>
      <c r="E91" s="690"/>
      <c r="F91" s="690"/>
      <c r="G91" s="690"/>
      <c r="H91" s="690"/>
      <c r="I91" s="690"/>
      <c r="J91" s="690"/>
      <c r="K91" s="690"/>
      <c r="L91" s="690"/>
      <c r="M91" s="690"/>
      <c r="N91" s="690"/>
      <c r="O91" s="690"/>
      <c r="P91" s="690"/>
      <c r="Q91" s="690"/>
      <c r="R91" s="690"/>
      <c r="S91" s="690"/>
      <c r="T91" s="690"/>
      <c r="U91" s="690"/>
      <c r="V91" s="690"/>
      <c r="W91" s="690"/>
      <c r="X91" s="690"/>
      <c r="Y91" s="690"/>
      <c r="Z91" s="690"/>
    </row>
    <row r="92" spans="1:26">
      <c r="A92" s="690"/>
      <c r="B92" s="690"/>
      <c r="C92" s="690"/>
      <c r="D92" s="690"/>
      <c r="E92" s="690"/>
      <c r="F92" s="690"/>
      <c r="G92" s="690"/>
      <c r="H92" s="690"/>
      <c r="I92" s="690"/>
      <c r="J92" s="690"/>
      <c r="K92" s="690"/>
      <c r="L92" s="690"/>
      <c r="M92" s="690"/>
      <c r="N92" s="690"/>
      <c r="O92" s="690"/>
      <c r="P92" s="690"/>
      <c r="Q92" s="690"/>
      <c r="R92" s="690"/>
      <c r="S92" s="690"/>
      <c r="T92" s="690"/>
      <c r="U92" s="690"/>
      <c r="V92" s="690"/>
      <c r="W92" s="690"/>
      <c r="X92" s="690"/>
      <c r="Y92" s="690"/>
      <c r="Z92" s="690"/>
    </row>
    <row r="93" spans="1:26">
      <c r="A93" s="690"/>
      <c r="B93" s="690"/>
      <c r="C93" s="690"/>
      <c r="D93" s="690"/>
      <c r="E93" s="690"/>
      <c r="F93" s="690"/>
      <c r="G93" s="690"/>
      <c r="H93" s="690"/>
      <c r="I93" s="690"/>
      <c r="J93" s="690"/>
      <c r="K93" s="690"/>
      <c r="L93" s="690"/>
      <c r="M93" s="690"/>
      <c r="N93" s="690"/>
      <c r="O93" s="690"/>
      <c r="P93" s="690"/>
      <c r="Q93" s="690"/>
      <c r="R93" s="690"/>
      <c r="S93" s="690"/>
      <c r="T93" s="690"/>
      <c r="U93" s="690"/>
      <c r="V93" s="690"/>
      <c r="W93" s="690"/>
      <c r="X93" s="690"/>
      <c r="Y93" s="690"/>
      <c r="Z93" s="690"/>
    </row>
    <row r="94" spans="1:26">
      <c r="A94" s="690"/>
      <c r="B94" s="690"/>
      <c r="C94" s="690"/>
      <c r="D94" s="690"/>
      <c r="E94" s="690"/>
      <c r="F94" s="690"/>
      <c r="G94" s="690"/>
      <c r="H94" s="690"/>
      <c r="I94" s="690"/>
      <c r="J94" s="690"/>
      <c r="K94" s="690"/>
      <c r="L94" s="690"/>
      <c r="M94" s="690"/>
      <c r="N94" s="690"/>
      <c r="O94" s="690"/>
      <c r="P94" s="690"/>
      <c r="Q94" s="690"/>
      <c r="R94" s="690"/>
      <c r="S94" s="690"/>
      <c r="T94" s="690"/>
      <c r="U94" s="690"/>
      <c r="V94" s="690"/>
      <c r="W94" s="690"/>
      <c r="X94" s="690"/>
      <c r="Y94" s="690"/>
      <c r="Z94" s="690"/>
    </row>
    <row r="95" spans="1:26">
      <c r="A95" s="690"/>
      <c r="B95" s="690"/>
      <c r="C95" s="690"/>
      <c r="D95" s="690"/>
      <c r="E95" s="690"/>
      <c r="F95" s="690"/>
      <c r="G95" s="690"/>
      <c r="H95" s="690"/>
      <c r="I95" s="690"/>
      <c r="J95" s="690"/>
      <c r="K95" s="690"/>
      <c r="L95" s="690"/>
      <c r="M95" s="690"/>
      <c r="N95" s="690"/>
      <c r="O95" s="690"/>
      <c r="P95" s="690"/>
      <c r="Q95" s="690"/>
      <c r="R95" s="690"/>
      <c r="S95" s="690"/>
      <c r="T95" s="690"/>
      <c r="U95" s="690"/>
      <c r="V95" s="690"/>
      <c r="W95" s="690"/>
      <c r="X95" s="690"/>
      <c r="Y95" s="690"/>
      <c r="Z95" s="690"/>
    </row>
    <row r="96" spans="1:26">
      <c r="A96" s="690"/>
      <c r="B96" s="690"/>
      <c r="C96" s="690"/>
      <c r="D96" s="690"/>
      <c r="E96" s="690"/>
      <c r="F96" s="690"/>
      <c r="G96" s="690"/>
      <c r="H96" s="690"/>
      <c r="I96" s="690"/>
      <c r="J96" s="690"/>
      <c r="K96" s="690"/>
      <c r="L96" s="690"/>
      <c r="M96" s="690"/>
      <c r="N96" s="690"/>
      <c r="O96" s="690"/>
      <c r="P96" s="690"/>
      <c r="Q96" s="690"/>
      <c r="R96" s="690"/>
      <c r="S96" s="690"/>
      <c r="T96" s="690"/>
      <c r="U96" s="690"/>
      <c r="V96" s="690"/>
      <c r="W96" s="690"/>
      <c r="X96" s="690"/>
      <c r="Y96" s="690"/>
      <c r="Z96" s="690"/>
    </row>
    <row r="97" spans="1:26">
      <c r="A97" s="690"/>
      <c r="B97" s="690"/>
      <c r="C97" s="690"/>
      <c r="D97" s="690"/>
      <c r="E97" s="690"/>
      <c r="F97" s="690"/>
      <c r="G97" s="690"/>
      <c r="H97" s="690"/>
      <c r="I97" s="690"/>
      <c r="J97" s="690"/>
      <c r="K97" s="690"/>
      <c r="L97" s="690"/>
      <c r="M97" s="690"/>
      <c r="N97" s="690"/>
      <c r="O97" s="690"/>
      <c r="P97" s="690"/>
      <c r="Q97" s="690"/>
      <c r="R97" s="690"/>
      <c r="S97" s="690"/>
      <c r="T97" s="690"/>
      <c r="U97" s="690"/>
      <c r="V97" s="690"/>
      <c r="W97" s="690"/>
      <c r="X97" s="690"/>
      <c r="Y97" s="690"/>
      <c r="Z97" s="690"/>
    </row>
    <row r="98" spans="1:26">
      <c r="A98" s="690"/>
      <c r="B98" s="690"/>
      <c r="C98" s="690"/>
      <c r="D98" s="690"/>
      <c r="E98" s="690"/>
      <c r="F98" s="690"/>
      <c r="G98" s="690"/>
      <c r="H98" s="690"/>
      <c r="I98" s="690"/>
      <c r="J98" s="690"/>
      <c r="K98" s="690"/>
      <c r="L98" s="690"/>
      <c r="M98" s="690"/>
      <c r="N98" s="690"/>
      <c r="O98" s="690"/>
      <c r="P98" s="690"/>
      <c r="Q98" s="690"/>
      <c r="R98" s="690"/>
      <c r="S98" s="690"/>
      <c r="T98" s="690"/>
      <c r="U98" s="690"/>
      <c r="V98" s="690"/>
      <c r="W98" s="690"/>
      <c r="X98" s="690"/>
      <c r="Y98" s="690"/>
      <c r="Z98" s="690"/>
    </row>
    <row r="99" spans="1:26">
      <c r="A99" s="690"/>
      <c r="B99" s="690"/>
      <c r="C99" s="690"/>
      <c r="D99" s="690"/>
      <c r="E99" s="690"/>
      <c r="F99" s="690"/>
      <c r="G99" s="690"/>
      <c r="H99" s="690"/>
      <c r="I99" s="690"/>
      <c r="J99" s="690"/>
      <c r="K99" s="690"/>
      <c r="L99" s="690"/>
      <c r="M99" s="690"/>
      <c r="N99" s="690"/>
      <c r="O99" s="690"/>
      <c r="P99" s="690"/>
      <c r="Q99" s="690"/>
      <c r="R99" s="690"/>
      <c r="S99" s="690"/>
      <c r="T99" s="690"/>
      <c r="U99" s="690"/>
      <c r="V99" s="690"/>
      <c r="W99" s="690"/>
      <c r="X99" s="690"/>
      <c r="Y99" s="690"/>
      <c r="Z99" s="690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3" customWidth="1"/>
    <col min="2" max="2" width="19.5703125" style="443" customWidth="1"/>
    <col min="3" max="3" width="93.5703125" style="443" bestFit="1" customWidth="1"/>
    <col min="4" max="4" width="11.28515625" style="443" customWidth="1"/>
    <col min="5" max="5" width="11.42578125" style="443" customWidth="1"/>
    <col min="6" max="6" width="15.28515625" style="443" customWidth="1"/>
    <col min="7" max="7" width="18.5703125" style="443" customWidth="1"/>
    <col min="8" max="8" width="96.5703125" style="443" customWidth="1"/>
    <col min="9" max="16384" width="9.140625" style="443"/>
  </cols>
  <sheetData>
    <row r="1" spans="2:20" ht="15" thickBot="1"/>
    <row r="2" spans="2:20" ht="19.5" thickBot="1">
      <c r="B2" s="1242" t="s">
        <v>2</v>
      </c>
      <c r="C2" s="1243"/>
      <c r="D2" s="1243"/>
      <c r="E2" s="1244"/>
      <c r="G2" s="1242" t="s">
        <v>3</v>
      </c>
      <c r="H2" s="1244"/>
      <c r="I2" s="444"/>
      <c r="J2" s="444"/>
      <c r="K2" s="445"/>
      <c r="L2" s="445"/>
      <c r="M2" s="445"/>
      <c r="N2" s="445"/>
      <c r="O2" s="445"/>
      <c r="P2" s="445"/>
      <c r="Q2" s="445"/>
      <c r="R2" s="445"/>
      <c r="S2" s="445"/>
      <c r="T2" s="445"/>
    </row>
    <row r="3" spans="2:20" ht="15.75" thickBot="1">
      <c r="B3" s="465" t="s">
        <v>577</v>
      </c>
      <c r="C3" s="466" t="s">
        <v>4</v>
      </c>
      <c r="D3" s="466" t="s">
        <v>5</v>
      </c>
      <c r="E3" s="467" t="s">
        <v>723</v>
      </c>
      <c r="G3" s="447"/>
      <c r="H3" s="493" t="s">
        <v>578</v>
      </c>
      <c r="I3" s="444"/>
      <c r="J3" s="444"/>
      <c r="K3" s="445"/>
      <c r="L3" s="445"/>
      <c r="M3" s="445"/>
      <c r="N3" s="445"/>
      <c r="O3" s="445"/>
      <c r="P3" s="445"/>
      <c r="Q3" s="445"/>
      <c r="R3" s="445"/>
      <c r="S3" s="445"/>
      <c r="T3" s="445"/>
    </row>
    <row r="4" spans="2:20">
      <c r="B4" s="468" t="s">
        <v>721</v>
      </c>
      <c r="C4" s="469" t="s">
        <v>722</v>
      </c>
      <c r="D4" s="470">
        <v>44136</v>
      </c>
      <c r="E4" s="471" t="s">
        <v>724</v>
      </c>
      <c r="G4" s="451"/>
      <c r="H4" s="494" t="s">
        <v>580</v>
      </c>
      <c r="I4" s="444"/>
      <c r="J4" s="444"/>
      <c r="K4" s="445"/>
      <c r="L4" s="445"/>
      <c r="M4" s="445"/>
      <c r="N4" s="445"/>
      <c r="O4" s="445"/>
      <c r="P4" s="445"/>
      <c r="Q4" s="445"/>
      <c r="R4" s="445"/>
      <c r="S4" s="445"/>
      <c r="T4" s="445"/>
    </row>
    <row r="5" spans="2:20">
      <c r="B5" s="472" t="s">
        <v>6</v>
      </c>
      <c r="C5" s="448" t="s">
        <v>579</v>
      </c>
      <c r="D5" s="452">
        <v>44169</v>
      </c>
      <c r="E5" s="473" t="s">
        <v>725</v>
      </c>
      <c r="G5" s="453"/>
      <c r="H5" s="494" t="s">
        <v>582</v>
      </c>
      <c r="I5" s="444"/>
      <c r="J5" s="444"/>
      <c r="K5" s="445"/>
      <c r="L5" s="445"/>
      <c r="M5" s="445"/>
      <c r="N5" s="445"/>
      <c r="O5" s="445"/>
      <c r="P5" s="445"/>
      <c r="Q5" s="445"/>
      <c r="R5" s="445"/>
      <c r="S5" s="445"/>
      <c r="T5" s="445"/>
    </row>
    <row r="6" spans="2:20">
      <c r="B6" s="472" t="s">
        <v>726</v>
      </c>
      <c r="C6" s="448" t="s">
        <v>727</v>
      </c>
      <c r="D6" s="452">
        <v>44166</v>
      </c>
      <c r="E6" s="473" t="s">
        <v>725</v>
      </c>
      <c r="G6" s="454"/>
      <c r="H6" s="494" t="s">
        <v>840</v>
      </c>
      <c r="I6" s="444"/>
      <c r="J6" s="444"/>
      <c r="K6" s="445"/>
      <c r="L6" s="445"/>
      <c r="M6" s="445"/>
      <c r="N6" s="445"/>
      <c r="O6" s="445"/>
      <c r="P6" s="445"/>
      <c r="Q6" s="445"/>
      <c r="R6" s="445"/>
      <c r="S6" s="445"/>
      <c r="T6" s="445"/>
    </row>
    <row r="7" spans="2:20" ht="15" thickBot="1">
      <c r="B7" s="472" t="s">
        <v>729</v>
      </c>
      <c r="C7" s="448" t="s">
        <v>581</v>
      </c>
      <c r="D7" s="449">
        <v>43862</v>
      </c>
      <c r="E7" s="473" t="s">
        <v>725</v>
      </c>
      <c r="G7" s="455"/>
      <c r="H7" s="495" t="s">
        <v>7</v>
      </c>
      <c r="I7" s="444"/>
      <c r="J7" s="444"/>
      <c r="K7" s="445"/>
      <c r="L7" s="445"/>
      <c r="M7" s="445"/>
      <c r="N7" s="445"/>
      <c r="O7" s="445"/>
      <c r="P7" s="445"/>
      <c r="Q7" s="445"/>
      <c r="R7" s="445"/>
      <c r="S7" s="445"/>
      <c r="T7" s="445"/>
    </row>
    <row r="8" spans="2:20">
      <c r="B8" s="472" t="s">
        <v>583</v>
      </c>
      <c r="C8" s="448" t="s">
        <v>728</v>
      </c>
      <c r="D8" s="449">
        <v>44166</v>
      </c>
      <c r="E8" s="473" t="s">
        <v>725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2" t="s">
        <v>730</v>
      </c>
      <c r="C9" s="448" t="s">
        <v>731</v>
      </c>
      <c r="D9" s="449">
        <v>44044</v>
      </c>
      <c r="E9" s="473" t="s">
        <v>725</v>
      </c>
    </row>
    <row r="10" spans="2:20" ht="15" thickBot="1">
      <c r="B10" s="472" t="s">
        <v>732</v>
      </c>
      <c r="C10" s="448" t="s">
        <v>584</v>
      </c>
      <c r="D10" s="449">
        <v>44136</v>
      </c>
      <c r="E10" s="473" t="s">
        <v>725</v>
      </c>
    </row>
    <row r="11" spans="2:20" ht="19.5" thickBot="1">
      <c r="B11" s="472" t="s">
        <v>733</v>
      </c>
      <c r="C11" s="448" t="s">
        <v>585</v>
      </c>
      <c r="D11" s="449">
        <v>44013</v>
      </c>
      <c r="E11" s="473" t="s">
        <v>725</v>
      </c>
      <c r="G11" s="1242" t="s">
        <v>11</v>
      </c>
      <c r="H11" s="1244"/>
    </row>
    <row r="12" spans="2:20" ht="15">
      <c r="B12" s="472" t="s">
        <v>734</v>
      </c>
      <c r="C12" s="448" t="s">
        <v>586</v>
      </c>
      <c r="D12" s="449">
        <v>44136</v>
      </c>
      <c r="E12" s="473" t="s">
        <v>724</v>
      </c>
      <c r="G12" s="456" t="s">
        <v>12</v>
      </c>
      <c r="H12" s="457" t="s">
        <v>590</v>
      </c>
    </row>
    <row r="13" spans="2:20" ht="15">
      <c r="B13" s="472" t="s">
        <v>735</v>
      </c>
      <c r="C13" s="448" t="s">
        <v>737</v>
      </c>
      <c r="D13" s="449">
        <v>44136</v>
      </c>
      <c r="E13" s="473" t="s">
        <v>725</v>
      </c>
      <c r="G13" s="458" t="s">
        <v>591</v>
      </c>
      <c r="H13" s="459" t="s">
        <v>13</v>
      </c>
    </row>
    <row r="14" spans="2:20" ht="15">
      <c r="B14" s="472" t="s">
        <v>736</v>
      </c>
      <c r="C14" s="448" t="s">
        <v>738</v>
      </c>
      <c r="D14" s="449">
        <v>44105</v>
      </c>
      <c r="E14" s="473" t="s">
        <v>725</v>
      </c>
      <c r="G14" s="458" t="s">
        <v>14</v>
      </c>
      <c r="H14" s="459" t="s">
        <v>739</v>
      </c>
    </row>
    <row r="15" spans="2:20" ht="15">
      <c r="B15" s="472" t="s">
        <v>1081</v>
      </c>
      <c r="C15" s="448" t="s">
        <v>1082</v>
      </c>
      <c r="D15" s="449">
        <v>44105</v>
      </c>
      <c r="E15" s="473" t="s">
        <v>725</v>
      </c>
      <c r="G15" s="460" t="s">
        <v>592</v>
      </c>
      <c r="H15" s="461">
        <v>2018</v>
      </c>
    </row>
    <row r="16" spans="2:20">
      <c r="B16" s="472" t="s">
        <v>8</v>
      </c>
      <c r="C16" s="448" t="s">
        <v>587</v>
      </c>
      <c r="D16" s="449">
        <v>44166</v>
      </c>
      <c r="E16" s="473" t="s">
        <v>725</v>
      </c>
    </row>
    <row r="17" spans="2:8" ht="15" thickBot="1">
      <c r="B17" s="472" t="s">
        <v>9</v>
      </c>
      <c r="C17" s="448" t="s">
        <v>588</v>
      </c>
      <c r="D17" s="449">
        <v>44166</v>
      </c>
      <c r="E17" s="473" t="s">
        <v>725</v>
      </c>
    </row>
    <row r="18" spans="2:8" ht="19.5" thickBot="1">
      <c r="B18" s="474" t="s">
        <v>10</v>
      </c>
      <c r="C18" s="475" t="s">
        <v>589</v>
      </c>
      <c r="D18" s="476">
        <v>44166</v>
      </c>
      <c r="E18" s="477" t="s">
        <v>725</v>
      </c>
      <c r="G18" s="1245" t="s">
        <v>595</v>
      </c>
      <c r="H18" s="1246"/>
    </row>
    <row r="19" spans="2:8" ht="15.75" thickBot="1">
      <c r="B19" s="474" t="s">
        <v>1256</v>
      </c>
      <c r="C19" s="475" t="s">
        <v>1257</v>
      </c>
      <c r="D19" s="476">
        <v>44835</v>
      </c>
      <c r="E19" s="477" t="s">
        <v>725</v>
      </c>
      <c r="G19" s="483" t="s">
        <v>17</v>
      </c>
      <c r="H19" s="483" t="s">
        <v>752</v>
      </c>
    </row>
    <row r="20" spans="2:8">
      <c r="B20" s="445"/>
      <c r="C20" s="445"/>
      <c r="D20" s="674"/>
      <c r="G20" s="450"/>
      <c r="H20" s="450"/>
    </row>
    <row r="21" spans="2:8" ht="15" customHeight="1">
      <c r="B21" s="445"/>
      <c r="C21" s="445"/>
      <c r="D21" s="674"/>
      <c r="G21" s="450"/>
      <c r="H21" s="450"/>
    </row>
    <row r="22" spans="2:8" ht="15" customHeight="1">
      <c r="B22" s="445"/>
      <c r="C22" s="445"/>
      <c r="D22" s="674"/>
      <c r="G22" s="450"/>
      <c r="H22" s="450"/>
    </row>
    <row r="23" spans="2:8" ht="15" customHeight="1">
      <c r="B23" s="445"/>
      <c r="C23" s="445"/>
      <c r="D23" s="674"/>
      <c r="G23" s="450"/>
      <c r="H23" s="450"/>
    </row>
    <row r="24" spans="2:8" ht="15" customHeight="1">
      <c r="B24" s="445"/>
      <c r="C24" s="445"/>
      <c r="D24" s="674"/>
      <c r="G24" s="450"/>
      <c r="H24" s="450"/>
    </row>
    <row r="25" spans="2:8" ht="15" hidden="1" customHeight="1">
      <c r="B25" s="445"/>
      <c r="C25" s="445"/>
      <c r="D25" s="674"/>
      <c r="G25" s="450"/>
      <c r="H25" s="450"/>
    </row>
    <row r="26" spans="2:8" ht="15" customHeight="1"/>
    <row r="27" spans="2:8" ht="15" customHeight="1" thickBot="1">
      <c r="B27" s="1249" t="s">
        <v>593</v>
      </c>
      <c r="C27" s="1250"/>
      <c r="D27" s="1250"/>
      <c r="E27" s="1250"/>
      <c r="F27" s="1250"/>
      <c r="G27" s="1250"/>
      <c r="H27" s="1250"/>
    </row>
    <row r="28" spans="2:8" ht="15" customHeight="1">
      <c r="B28" s="479" t="s">
        <v>577</v>
      </c>
      <c r="C28" s="480" t="s">
        <v>4</v>
      </c>
      <c r="D28" s="481" t="s">
        <v>5</v>
      </c>
      <c r="E28" s="482" t="s">
        <v>723</v>
      </c>
      <c r="F28" s="482" t="s">
        <v>845</v>
      </c>
      <c r="G28" s="1247" t="s">
        <v>752</v>
      </c>
      <c r="H28" s="1248"/>
    </row>
    <row r="29" spans="2:8" ht="15" customHeight="1">
      <c r="B29" s="488" t="s">
        <v>15</v>
      </c>
      <c r="C29" s="484" t="s">
        <v>594</v>
      </c>
      <c r="D29" s="484"/>
      <c r="E29" s="489"/>
      <c r="F29" s="685" t="s">
        <v>846</v>
      </c>
      <c r="G29" s="489"/>
    </row>
    <row r="30" spans="2:8" ht="15">
      <c r="B30" s="675" t="s">
        <v>16</v>
      </c>
      <c r="C30" s="683" t="s">
        <v>596</v>
      </c>
      <c r="D30" s="683"/>
      <c r="E30" s="684"/>
      <c r="F30" s="678" t="s">
        <v>311</v>
      </c>
      <c r="G30" s="684"/>
    </row>
    <row r="31" spans="2:8" ht="15">
      <c r="B31" s="488" t="s">
        <v>18</v>
      </c>
      <c r="C31" s="450" t="s">
        <v>19</v>
      </c>
      <c r="D31" s="485" t="s">
        <v>20</v>
      </c>
      <c r="E31" s="473" t="s">
        <v>725</v>
      </c>
      <c r="F31" s="685" t="s">
        <v>846</v>
      </c>
      <c r="G31" s="473" t="s">
        <v>1074</v>
      </c>
    </row>
    <row r="32" spans="2:8" ht="15">
      <c r="B32" s="675" t="s">
        <v>21</v>
      </c>
      <c r="C32" s="683" t="s">
        <v>597</v>
      </c>
      <c r="D32" s="677">
        <v>44044</v>
      </c>
      <c r="E32" s="684" t="s">
        <v>725</v>
      </c>
      <c r="F32" s="678" t="s">
        <v>311</v>
      </c>
      <c r="G32" s="684"/>
    </row>
    <row r="33" spans="2:7" ht="17.25" customHeight="1">
      <c r="B33" s="488" t="s">
        <v>598</v>
      </c>
      <c r="C33" s="487" t="s">
        <v>599</v>
      </c>
      <c r="D33" s="486">
        <v>43952</v>
      </c>
      <c r="E33" s="473" t="s">
        <v>725</v>
      </c>
      <c r="F33" s="686" t="s">
        <v>846</v>
      </c>
      <c r="G33" s="473"/>
    </row>
    <row r="34" spans="2:7" ht="15">
      <c r="B34" s="488" t="s">
        <v>22</v>
      </c>
      <c r="C34" s="487" t="s">
        <v>600</v>
      </c>
      <c r="D34" s="486">
        <v>43952</v>
      </c>
      <c r="E34" s="473" t="s">
        <v>725</v>
      </c>
      <c r="F34" s="685" t="s">
        <v>846</v>
      </c>
      <c r="G34" s="473" t="s">
        <v>844</v>
      </c>
    </row>
    <row r="35" spans="2:7" ht="15" hidden="1">
      <c r="B35" s="488" t="s">
        <v>740</v>
      </c>
      <c r="C35" s="487" t="s">
        <v>743</v>
      </c>
      <c r="D35" s="486">
        <v>43983</v>
      </c>
      <c r="E35" s="473" t="s">
        <v>725</v>
      </c>
      <c r="F35" s="473" t="s">
        <v>725</v>
      </c>
      <c r="G35" s="473"/>
    </row>
    <row r="36" spans="2:7" ht="15" hidden="1">
      <c r="B36" s="488" t="s">
        <v>741</v>
      </c>
      <c r="C36" s="487" t="s">
        <v>742</v>
      </c>
      <c r="D36" s="486">
        <v>43983</v>
      </c>
      <c r="E36" s="473" t="s">
        <v>725</v>
      </c>
      <c r="F36" s="473" t="s">
        <v>725</v>
      </c>
      <c r="G36" s="473"/>
    </row>
    <row r="37" spans="2:7" ht="15">
      <c r="B37" s="488" t="s">
        <v>744</v>
      </c>
      <c r="C37" s="487" t="s">
        <v>843</v>
      </c>
      <c r="D37" s="486">
        <v>43983</v>
      </c>
      <c r="E37" s="473" t="s">
        <v>725</v>
      </c>
      <c r="F37" s="686" t="s">
        <v>846</v>
      </c>
      <c r="G37" s="473" t="s">
        <v>842</v>
      </c>
    </row>
    <row r="38" spans="2:7" ht="15">
      <c r="B38" s="488" t="s">
        <v>745</v>
      </c>
      <c r="C38" s="487" t="s">
        <v>576</v>
      </c>
      <c r="D38" s="486">
        <v>43983</v>
      </c>
      <c r="E38" s="473" t="s">
        <v>725</v>
      </c>
      <c r="F38" s="686" t="s">
        <v>846</v>
      </c>
      <c r="G38" s="473" t="s">
        <v>842</v>
      </c>
    </row>
    <row r="39" spans="2:7" ht="15">
      <c r="B39" s="488" t="s">
        <v>747</v>
      </c>
      <c r="C39" s="487" t="s">
        <v>847</v>
      </c>
      <c r="D39" s="486">
        <v>43983</v>
      </c>
      <c r="E39" s="473" t="s">
        <v>725</v>
      </c>
      <c r="F39" s="686" t="s">
        <v>846</v>
      </c>
      <c r="G39" s="473" t="s">
        <v>848</v>
      </c>
    </row>
    <row r="40" spans="2:7" ht="15">
      <c r="B40" s="488" t="s">
        <v>746</v>
      </c>
      <c r="C40" s="487" t="s">
        <v>575</v>
      </c>
      <c r="D40" s="486">
        <v>43983</v>
      </c>
      <c r="E40" s="473" t="s">
        <v>725</v>
      </c>
      <c r="F40" s="686" t="s">
        <v>846</v>
      </c>
      <c r="G40" s="473"/>
    </row>
    <row r="41" spans="2:7" ht="15">
      <c r="B41" s="488" t="s">
        <v>748</v>
      </c>
      <c r="C41" s="487" t="s">
        <v>749</v>
      </c>
      <c r="D41" s="486">
        <v>44044</v>
      </c>
      <c r="E41" s="473" t="s">
        <v>725</v>
      </c>
      <c r="F41" s="685" t="s">
        <v>846</v>
      </c>
      <c r="G41" s="473"/>
    </row>
    <row r="42" spans="2:7" ht="15">
      <c r="B42" s="675" t="s">
        <v>751</v>
      </c>
      <c r="C42" s="676" t="s">
        <v>750</v>
      </c>
      <c r="D42" s="677">
        <v>44044</v>
      </c>
      <c r="E42" s="678" t="s">
        <v>725</v>
      </c>
      <c r="F42" s="678" t="s">
        <v>311</v>
      </c>
      <c r="G42" s="678"/>
    </row>
    <row r="43" spans="2:7" ht="15.75" thickBot="1">
      <c r="B43" s="679" t="s">
        <v>751</v>
      </c>
      <c r="C43" s="680" t="s">
        <v>750</v>
      </c>
      <c r="D43" s="681">
        <v>44044</v>
      </c>
      <c r="E43" s="682" t="s">
        <v>725</v>
      </c>
      <c r="F43" s="682" t="s">
        <v>311</v>
      </c>
      <c r="G43" s="682"/>
    </row>
    <row r="44" spans="2:7" ht="15">
      <c r="B44" s="687" t="s">
        <v>741</v>
      </c>
      <c r="C44" s="688" t="s">
        <v>849</v>
      </c>
      <c r="D44" s="486">
        <v>44044</v>
      </c>
      <c r="E44" s="473" t="s">
        <v>725</v>
      </c>
      <c r="F44" s="686" t="s">
        <v>846</v>
      </c>
      <c r="G44" s="473"/>
    </row>
    <row r="45" spans="2:7" ht="15" thickBot="1"/>
    <row r="46" spans="2:7" ht="19.5" thickBot="1">
      <c r="B46" s="1242" t="s">
        <v>601</v>
      </c>
      <c r="C46" s="1243"/>
      <c r="D46" s="1243"/>
      <c r="E46" s="1244"/>
    </row>
    <row r="47" spans="2:7" ht="15">
      <c r="B47" s="462" t="s">
        <v>602</v>
      </c>
      <c r="C47" s="463" t="s">
        <v>4</v>
      </c>
      <c r="D47" s="446" t="s">
        <v>5</v>
      </c>
      <c r="E47" s="446" t="s">
        <v>723</v>
      </c>
    </row>
    <row r="48" spans="2:7" ht="15">
      <c r="B48" s="483">
        <v>1</v>
      </c>
      <c r="C48" s="484" t="s">
        <v>839</v>
      </c>
      <c r="D48" s="492">
        <v>44166</v>
      </c>
      <c r="E48" s="452" t="s">
        <v>725</v>
      </c>
    </row>
    <row r="49" spans="2:5" ht="15">
      <c r="B49" s="483">
        <v>1.1000000000000001</v>
      </c>
      <c r="C49" s="450" t="s">
        <v>1073</v>
      </c>
      <c r="D49" s="449">
        <v>44713</v>
      </c>
      <c r="E49" s="450" t="s">
        <v>725</v>
      </c>
    </row>
    <row r="50" spans="2:5" ht="15">
      <c r="B50" s="464"/>
      <c r="E50" s="490"/>
    </row>
    <row r="51" spans="2:5" ht="15">
      <c r="B51" s="464"/>
      <c r="C51" s="491"/>
      <c r="D51" s="491"/>
      <c r="E51" s="478"/>
    </row>
    <row r="52" spans="2:5" ht="15">
      <c r="B52" s="464"/>
      <c r="C52" s="491"/>
      <c r="D52" s="491"/>
      <c r="E52" s="478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I18" sqref="I18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8" t="str" cm="1">
        <f t="array" ref="C3">INDEX(C5:C7,$A$4)</f>
        <v>IE</v>
      </c>
      <c r="D3" s="408"/>
      <c r="E3" s="408" t="str" cm="1">
        <f t="array" ref="E3">INDEX(E5:E7,$A$4)</f>
        <v>IE-CW</v>
      </c>
      <c r="F3" s="408" t="str" cm="1">
        <f t="array" ref="F3">INDEX(F5:F7,$A$4)</f>
        <v>IE-D</v>
      </c>
      <c r="G3" s="408" t="str" cm="1">
        <f t="array" ref="G3">INDEX(G5:G7,$A$4)</f>
        <v>IE-KE</v>
      </c>
      <c r="H3" s="408" t="str" cm="1">
        <f t="array" ref="H3">INDEX(H5:H7,$A$4)</f>
        <v>IE-KK</v>
      </c>
      <c r="I3" s="408" t="str" cm="1">
        <f t="array" ref="I3">INDEX(I5:I7,$A$4)</f>
        <v>IE-LS</v>
      </c>
      <c r="J3" s="408" t="str" cm="1">
        <f t="array" ref="J3">INDEX(J5:J7,$A$4)</f>
        <v>IE-LD</v>
      </c>
      <c r="K3" s="408" t="str" cm="1">
        <f t="array" ref="K3">INDEX(K5:K7,$A$4)</f>
        <v>IE-LH</v>
      </c>
      <c r="L3" s="408" t="str" cm="1">
        <f t="array" ref="L3">INDEX(L5:L7,$A$4)</f>
        <v>IE-MH</v>
      </c>
      <c r="M3" s="408" t="str" cm="1">
        <f t="array" ref="M3">INDEX(M5:M7,$A$4)</f>
        <v>IE-OY</v>
      </c>
      <c r="N3" s="408" t="str" cm="1">
        <f t="array" ref="N3">INDEX(N5:N7,$A$4)</f>
        <v>IE-WH</v>
      </c>
      <c r="O3" s="408" t="str" cm="1">
        <f t="array" ref="O3">INDEX(O5:O7,$A$4)</f>
        <v>IE-WX</v>
      </c>
      <c r="P3" s="408" t="str" cm="1">
        <f t="array" ref="P3">INDEX(P5:P7,$A$4)</f>
        <v>IE-WW</v>
      </c>
      <c r="Q3" s="408" t="str" cm="1">
        <f t="array" ref="Q3">INDEX(Q5:Q7,$A$4)</f>
        <v>IE-CE</v>
      </c>
      <c r="R3" s="408" t="str" cm="1">
        <f t="array" ref="R3">INDEX(R5:R7,$A$4)</f>
        <v>IE-CO</v>
      </c>
      <c r="S3" s="408" t="str" cm="1">
        <f t="array" ref="S3">INDEX(S5:S7,$A$4)</f>
        <v>IE-KY</v>
      </c>
      <c r="T3" s="408" t="str" cm="1">
        <f t="array" ref="T3">INDEX(T5:T7,$A$4)</f>
        <v>IE-LK</v>
      </c>
      <c r="U3" s="408" t="str" cm="1">
        <f t="array" ref="U3">INDEX(U5:U7,$A$4)</f>
        <v>IE-TA</v>
      </c>
      <c r="V3" s="408" t="str" cm="1">
        <f t="array" ref="V3">INDEX(V5:V7,$A$4)</f>
        <v>IE-WD</v>
      </c>
      <c r="W3" s="408" t="str" cm="1">
        <f t="array" ref="W3">INDEX(W5:W7,$A$4)</f>
        <v>IE-G</v>
      </c>
      <c r="X3" s="408" t="str" cm="1">
        <f t="array" ref="X3">INDEX(X5:X7,$A$4)</f>
        <v>IE-LM</v>
      </c>
      <c r="Y3" s="408" t="str" cm="1">
        <f t="array" ref="Y3">INDEX(Y5:Y7,$A$4)</f>
        <v>IE-MO</v>
      </c>
      <c r="Z3" s="408" t="str" cm="1">
        <f t="array" ref="Z3">INDEX(Z5:Z7,$A$4)</f>
        <v>IE-RN</v>
      </c>
      <c r="AA3" s="408" t="str" cm="1">
        <f t="array" ref="AA3">INDEX(AA5:AA7,$A$4)</f>
        <v>IE-SO</v>
      </c>
      <c r="AB3" s="408" t="str" cm="1">
        <f t="array" ref="AB3">INDEX(AB5:AB7,$A$4)</f>
        <v>IE-CN</v>
      </c>
      <c r="AC3" s="408" t="str" cm="1">
        <f t="array" ref="AC3">INDEX(AC5:AC7,$A$4)</f>
        <v>IE-DL</v>
      </c>
      <c r="AD3" s="408" t="str" cm="1">
        <f t="array" ref="AD3">INDEX(AD5:AD7,$A$4)</f>
        <v>IE-MN</v>
      </c>
    </row>
    <row r="4" spans="1:30">
      <c r="A4">
        <v>3</v>
      </c>
    </row>
    <row r="5" spans="1:30" ht="15">
      <c r="A5" t="s">
        <v>650</v>
      </c>
      <c r="C5" s="409" t="s">
        <v>192</v>
      </c>
      <c r="D5" s="409" t="s">
        <v>651</v>
      </c>
      <c r="E5" s="408" t="str">
        <f>A11</f>
        <v>IE-CW</v>
      </c>
      <c r="F5" s="408" t="str">
        <f>A16</f>
        <v>IE-D</v>
      </c>
      <c r="G5" s="408" t="str">
        <f>A19</f>
        <v>IE-KE</v>
      </c>
      <c r="H5" s="408" t="str">
        <f>A20</f>
        <v>IE-KK</v>
      </c>
      <c r="I5" s="408" t="str">
        <f>A21</f>
        <v>IE-LS</v>
      </c>
      <c r="J5" s="408" t="str">
        <f>A24</f>
        <v>IE-LD</v>
      </c>
      <c r="K5" s="408" t="str">
        <f>A25</f>
        <v>IE-LH</v>
      </c>
      <c r="L5" s="408" t="str">
        <f>A27</f>
        <v>IE-MH</v>
      </c>
      <c r="M5" s="408" t="str">
        <f>A29</f>
        <v>IE-OY</v>
      </c>
      <c r="N5" s="408" t="str">
        <f>A34</f>
        <v>IE-WH</v>
      </c>
      <c r="O5" s="408" t="str">
        <f>A35</f>
        <v>IE-WX</v>
      </c>
      <c r="P5" s="408" t="str">
        <f>A36</f>
        <v>IE-WW</v>
      </c>
      <c r="Q5" s="408" t="str">
        <f>A13</f>
        <v>IE-CE</v>
      </c>
      <c r="R5" s="408" t="str">
        <f>A14</f>
        <v>IE-CO</v>
      </c>
      <c r="S5" s="408" t="str">
        <f>A18</f>
        <v>IE-KY</v>
      </c>
      <c r="T5" s="408" t="str">
        <f>A23</f>
        <v>IE-LK</v>
      </c>
      <c r="U5" s="408" t="str">
        <f>A32</f>
        <v>IE-TA</v>
      </c>
      <c r="V5" s="408" t="str">
        <f>A33</f>
        <v>IE-WD</v>
      </c>
      <c r="W5" s="408" t="str">
        <f>A17</f>
        <v>IE-G</v>
      </c>
      <c r="X5" s="408" t="str">
        <f>A22</f>
        <v>IE-LM</v>
      </c>
      <c r="Y5" s="408" t="str">
        <f>A26</f>
        <v>IE-MO</v>
      </c>
      <c r="Z5" s="408" t="str">
        <f>A30</f>
        <v>IE-RN</v>
      </c>
      <c r="AA5" s="408" t="str">
        <f>A31</f>
        <v>IE-SO</v>
      </c>
      <c r="AB5" s="408" t="str">
        <f>A12</f>
        <v>IE-CN</v>
      </c>
      <c r="AC5" s="408" t="str">
        <f>A15</f>
        <v>IE-DL</v>
      </c>
      <c r="AD5" s="408" t="str">
        <f>A28</f>
        <v>IE-MN</v>
      </c>
    </row>
    <row r="6" spans="1:30" ht="15">
      <c r="A6" t="s">
        <v>652</v>
      </c>
      <c r="C6" s="408" t="str">
        <f>C5</f>
        <v>IE</v>
      </c>
      <c r="D6" s="408" t="str">
        <f>"*"&amp;D5</f>
        <v>*National</v>
      </c>
      <c r="E6" s="408" t="str">
        <f>"*"&amp;E5</f>
        <v>*IE-CW</v>
      </c>
      <c r="F6" s="408" t="str">
        <f t="shared" ref="F6:AD6" si="0">"*"&amp;F5</f>
        <v>*IE-D</v>
      </c>
      <c r="G6" s="408" t="str">
        <f t="shared" si="0"/>
        <v>*IE-KE</v>
      </c>
      <c r="H6" s="408" t="str">
        <f t="shared" si="0"/>
        <v>*IE-KK</v>
      </c>
      <c r="I6" s="408" t="str">
        <f t="shared" si="0"/>
        <v>*IE-LS</v>
      </c>
      <c r="J6" s="408" t="str">
        <f t="shared" si="0"/>
        <v>*IE-LD</v>
      </c>
      <c r="K6" s="408" t="str">
        <f t="shared" si="0"/>
        <v>*IE-LH</v>
      </c>
      <c r="L6" s="408" t="str">
        <f t="shared" si="0"/>
        <v>*IE-MH</v>
      </c>
      <c r="M6" s="408" t="str">
        <f t="shared" si="0"/>
        <v>*IE-OY</v>
      </c>
      <c r="N6" s="408" t="str">
        <f t="shared" si="0"/>
        <v>*IE-WH</v>
      </c>
      <c r="O6" s="408" t="str">
        <f t="shared" si="0"/>
        <v>*IE-WX</v>
      </c>
      <c r="P6" s="408" t="str">
        <f t="shared" si="0"/>
        <v>*IE-WW</v>
      </c>
      <c r="Q6" s="408" t="str">
        <f t="shared" si="0"/>
        <v>*IE-CE</v>
      </c>
      <c r="R6" s="408" t="str">
        <f t="shared" si="0"/>
        <v>*IE-CO</v>
      </c>
      <c r="S6" s="408" t="str">
        <f t="shared" si="0"/>
        <v>*IE-KY</v>
      </c>
      <c r="T6" s="408" t="str">
        <f t="shared" si="0"/>
        <v>*IE-LK</v>
      </c>
      <c r="U6" s="408" t="str">
        <f t="shared" si="0"/>
        <v>*IE-TA</v>
      </c>
      <c r="V6" s="408" t="str">
        <f t="shared" si="0"/>
        <v>*IE-WD</v>
      </c>
      <c r="W6" s="408" t="str">
        <f t="shared" si="0"/>
        <v>*IE-G</v>
      </c>
      <c r="X6" s="408" t="str">
        <f t="shared" si="0"/>
        <v>*IE-LM</v>
      </c>
      <c r="Y6" s="408" t="str">
        <f t="shared" si="0"/>
        <v>*IE-MO</v>
      </c>
      <c r="Z6" s="408" t="str">
        <f t="shared" si="0"/>
        <v>*IE-RN</v>
      </c>
      <c r="AA6" s="408" t="str">
        <f t="shared" si="0"/>
        <v>*IE-SO</v>
      </c>
      <c r="AB6" s="408" t="str">
        <f t="shared" si="0"/>
        <v>*IE-CN</v>
      </c>
      <c r="AC6" s="408" t="str">
        <f t="shared" si="0"/>
        <v>*IE-DL</v>
      </c>
      <c r="AD6" s="408" t="str">
        <f t="shared" si="0"/>
        <v>*IE-MN</v>
      </c>
    </row>
    <row r="7" spans="1:30" ht="15">
      <c r="A7" t="s">
        <v>653</v>
      </c>
      <c r="C7" s="408" t="s">
        <v>192</v>
      </c>
      <c r="D7" s="408" t="str">
        <f>D5</f>
        <v>National</v>
      </c>
      <c r="E7" s="408" t="str">
        <f t="shared" ref="E7:AD7" si="1">E5</f>
        <v>IE-CW</v>
      </c>
      <c r="F7" s="408" t="str">
        <f t="shared" si="1"/>
        <v>IE-D</v>
      </c>
      <c r="G7" s="408" t="str">
        <f t="shared" si="1"/>
        <v>IE-KE</v>
      </c>
      <c r="H7" s="408" t="str">
        <f t="shared" si="1"/>
        <v>IE-KK</v>
      </c>
      <c r="I7" s="408" t="str">
        <f t="shared" si="1"/>
        <v>IE-LS</v>
      </c>
      <c r="J7" s="408" t="str">
        <f t="shared" si="1"/>
        <v>IE-LD</v>
      </c>
      <c r="K7" s="408" t="str">
        <f t="shared" si="1"/>
        <v>IE-LH</v>
      </c>
      <c r="L7" s="408" t="str">
        <f t="shared" si="1"/>
        <v>IE-MH</v>
      </c>
      <c r="M7" s="408" t="str">
        <f t="shared" si="1"/>
        <v>IE-OY</v>
      </c>
      <c r="N7" s="408" t="str">
        <f t="shared" si="1"/>
        <v>IE-WH</v>
      </c>
      <c r="O7" s="408" t="str">
        <f t="shared" si="1"/>
        <v>IE-WX</v>
      </c>
      <c r="P7" s="408" t="str">
        <f t="shared" si="1"/>
        <v>IE-WW</v>
      </c>
      <c r="Q7" s="408" t="str">
        <f t="shared" si="1"/>
        <v>IE-CE</v>
      </c>
      <c r="R7" s="408" t="str">
        <f t="shared" si="1"/>
        <v>IE-CO</v>
      </c>
      <c r="S7" s="408" t="str">
        <f t="shared" si="1"/>
        <v>IE-KY</v>
      </c>
      <c r="T7" s="408" t="str">
        <f t="shared" si="1"/>
        <v>IE-LK</v>
      </c>
      <c r="U7" s="408" t="str">
        <f t="shared" si="1"/>
        <v>IE-TA</v>
      </c>
      <c r="V7" s="408" t="str">
        <f t="shared" si="1"/>
        <v>IE-WD</v>
      </c>
      <c r="W7" s="408" t="str">
        <f t="shared" si="1"/>
        <v>IE-G</v>
      </c>
      <c r="X7" s="408" t="str">
        <f t="shared" si="1"/>
        <v>IE-LM</v>
      </c>
      <c r="Y7" s="408" t="str">
        <f t="shared" si="1"/>
        <v>IE-MO</v>
      </c>
      <c r="Z7" s="408" t="str">
        <f t="shared" si="1"/>
        <v>IE-RN</v>
      </c>
      <c r="AA7" s="408" t="str">
        <f t="shared" si="1"/>
        <v>IE-SO</v>
      </c>
      <c r="AB7" s="408" t="str">
        <f t="shared" si="1"/>
        <v>IE-CN</v>
      </c>
      <c r="AC7" s="408" t="str">
        <f t="shared" si="1"/>
        <v>IE-DL</v>
      </c>
      <c r="AD7" s="408" t="str">
        <f t="shared" si="1"/>
        <v>IE-MN</v>
      </c>
    </row>
    <row r="10" spans="1:30" ht="15.75" thickBot="1">
      <c r="A10" s="410" t="s">
        <v>621</v>
      </c>
      <c r="B10" s="410" t="s">
        <v>654</v>
      </c>
    </row>
    <row r="11" spans="1:30">
      <c r="A11" s="411" t="s">
        <v>655</v>
      </c>
      <c r="B11" s="411" t="s">
        <v>291</v>
      </c>
    </row>
    <row r="12" spans="1:30">
      <c r="A12" s="412" t="s">
        <v>656</v>
      </c>
      <c r="B12" s="412" t="s">
        <v>303</v>
      </c>
    </row>
    <row r="13" spans="1:30">
      <c r="A13" s="412" t="s">
        <v>657</v>
      </c>
      <c r="B13" s="412" t="s">
        <v>321</v>
      </c>
    </row>
    <row r="14" spans="1:30">
      <c r="A14" s="412" t="s">
        <v>658</v>
      </c>
      <c r="B14" s="412" t="s">
        <v>325</v>
      </c>
    </row>
    <row r="15" spans="1:30">
      <c r="A15" s="412" t="s">
        <v>659</v>
      </c>
      <c r="B15" s="412" t="s">
        <v>329</v>
      </c>
    </row>
    <row r="16" spans="1:30">
      <c r="A16" s="412" t="s">
        <v>660</v>
      </c>
      <c r="B16" s="412" t="s">
        <v>333</v>
      </c>
    </row>
    <row r="17" spans="1:2">
      <c r="A17" s="412" t="s">
        <v>661</v>
      </c>
      <c r="B17" s="412" t="s">
        <v>335</v>
      </c>
    </row>
    <row r="18" spans="1:2">
      <c r="A18" s="412" t="s">
        <v>662</v>
      </c>
      <c r="B18" s="412" t="s">
        <v>336</v>
      </c>
    </row>
    <row r="19" spans="1:2">
      <c r="A19" s="412" t="s">
        <v>663</v>
      </c>
      <c r="B19" s="412" t="s">
        <v>322</v>
      </c>
    </row>
    <row r="20" spans="1:2">
      <c r="A20" s="412" t="s">
        <v>664</v>
      </c>
      <c r="B20" s="412" t="s">
        <v>323</v>
      </c>
    </row>
    <row r="21" spans="1:2">
      <c r="A21" s="412" t="s">
        <v>665</v>
      </c>
      <c r="B21" s="412" t="s">
        <v>324</v>
      </c>
    </row>
    <row r="22" spans="1:2">
      <c r="A22" s="412" t="s">
        <v>666</v>
      </c>
      <c r="B22" s="412" t="s">
        <v>340</v>
      </c>
    </row>
    <row r="23" spans="1:2">
      <c r="A23" s="412" t="s">
        <v>667</v>
      </c>
      <c r="B23" s="412" t="s">
        <v>337</v>
      </c>
    </row>
    <row r="24" spans="1:2">
      <c r="A24" s="412" t="s">
        <v>668</v>
      </c>
      <c r="B24" s="412" t="s">
        <v>326</v>
      </c>
    </row>
    <row r="25" spans="1:2">
      <c r="A25" s="412" t="s">
        <v>669</v>
      </c>
      <c r="B25" s="412" t="s">
        <v>327</v>
      </c>
    </row>
    <row r="26" spans="1:2">
      <c r="A26" s="412" t="s">
        <v>670</v>
      </c>
      <c r="B26" s="412" t="s">
        <v>341</v>
      </c>
    </row>
    <row r="27" spans="1:2">
      <c r="A27" s="412" t="s">
        <v>671</v>
      </c>
      <c r="B27" s="412" t="s">
        <v>328</v>
      </c>
    </row>
    <row r="28" spans="1:2">
      <c r="A28" s="412" t="s">
        <v>672</v>
      </c>
      <c r="B28" s="412" t="s">
        <v>344</v>
      </c>
    </row>
    <row r="29" spans="1:2">
      <c r="A29" s="412" t="s">
        <v>673</v>
      </c>
      <c r="B29" s="412" t="s">
        <v>330</v>
      </c>
    </row>
    <row r="30" spans="1:2">
      <c r="A30" s="412" t="s">
        <v>674</v>
      </c>
      <c r="B30" s="412" t="s">
        <v>342</v>
      </c>
    </row>
    <row r="31" spans="1:2">
      <c r="A31" s="412" t="s">
        <v>675</v>
      </c>
      <c r="B31" s="412" t="s">
        <v>343</v>
      </c>
    </row>
    <row r="32" spans="1:2">
      <c r="A32" s="412" t="s">
        <v>676</v>
      </c>
      <c r="B32" s="412" t="s">
        <v>338</v>
      </c>
    </row>
    <row r="33" spans="1:2">
      <c r="A33" s="412" t="s">
        <v>677</v>
      </c>
      <c r="B33" s="412" t="s">
        <v>339</v>
      </c>
    </row>
    <row r="34" spans="1:2">
      <c r="A34" s="412" t="s">
        <v>678</v>
      </c>
      <c r="B34" s="412" t="s">
        <v>331</v>
      </c>
    </row>
    <row r="35" spans="1:2">
      <c r="A35" s="412" t="s">
        <v>679</v>
      </c>
      <c r="B35" s="412" t="s">
        <v>332</v>
      </c>
    </row>
    <row r="36" spans="1:2">
      <c r="A36" s="412" t="s">
        <v>680</v>
      </c>
      <c r="B36" s="412" t="s">
        <v>334</v>
      </c>
    </row>
    <row r="37" spans="1:2" ht="15">
      <c r="A37" s="413" t="s">
        <v>681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51" t="s">
        <v>23</v>
      </c>
      <c r="B1" s="1252"/>
      <c r="C1" s="1252"/>
    </row>
    <row r="2" spans="1:3" s="47" customFormat="1">
      <c r="A2" s="611" t="s">
        <v>603</v>
      </c>
      <c r="B2" s="611" t="s">
        <v>24</v>
      </c>
      <c r="C2" s="611" t="s">
        <v>4</v>
      </c>
    </row>
    <row r="3" spans="1:3">
      <c r="A3"/>
      <c r="B3" s="234" t="s">
        <v>568</v>
      </c>
      <c r="C3" s="235" t="s">
        <v>1</v>
      </c>
    </row>
    <row r="4" spans="1:3">
      <c r="A4"/>
      <c r="B4" s="234" t="s">
        <v>694</v>
      </c>
      <c r="C4" s="234" t="s">
        <v>622</v>
      </c>
    </row>
    <row r="5" spans="1:3">
      <c r="A5"/>
      <c r="B5" s="234" t="s">
        <v>606</v>
      </c>
      <c r="C5" s="234" t="s">
        <v>605</v>
      </c>
    </row>
    <row r="6" spans="1:3">
      <c r="A6" s="611"/>
      <c r="B6" s="611" t="s">
        <v>24</v>
      </c>
      <c r="C6" s="611" t="s">
        <v>4</v>
      </c>
    </row>
    <row r="7" spans="1:3">
      <c r="A7" s="1253" t="s">
        <v>25</v>
      </c>
      <c r="B7" s="1254"/>
      <c r="C7" s="1255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489</v>
      </c>
      <c r="C25" s="236" t="s">
        <v>420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53" t="s">
        <v>26</v>
      </c>
      <c r="B30" s="1254"/>
      <c r="C30" s="1255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53" t="s">
        <v>39</v>
      </c>
      <c r="B37" s="1254"/>
      <c r="C37" s="1255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53" t="s">
        <v>47</v>
      </c>
      <c r="B41" s="1254"/>
      <c r="C41" s="1255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53" t="s">
        <v>66</v>
      </c>
      <c r="B51" s="1254"/>
      <c r="C51" s="1255"/>
    </row>
    <row r="52" spans="1:3">
      <c r="A52" s="255"/>
      <c r="B52" s="237" t="s">
        <v>707</v>
      </c>
      <c r="C52" s="236" t="s">
        <v>217</v>
      </c>
    </row>
    <row r="53" spans="1:3">
      <c r="A53" s="430" t="s">
        <v>252</v>
      </c>
      <c r="B53" s="237" t="s">
        <v>708</v>
      </c>
      <c r="C53" s="236" t="s">
        <v>718</v>
      </c>
    </row>
    <row r="54" spans="1:3">
      <c r="A54" s="255"/>
      <c r="B54" s="237" t="s">
        <v>709</v>
      </c>
      <c r="C54" s="236" t="s">
        <v>218</v>
      </c>
    </row>
    <row r="55" spans="1:3">
      <c r="A55" s="255"/>
      <c r="B55" s="237" t="s">
        <v>711</v>
      </c>
      <c r="C55" s="236" t="s">
        <v>219</v>
      </c>
    </row>
    <row r="56" spans="1:3">
      <c r="A56" s="255"/>
      <c r="B56" s="237" t="s">
        <v>710</v>
      </c>
      <c r="C56" s="236" t="s">
        <v>220</v>
      </c>
    </row>
    <row r="57" spans="1:3">
      <c r="A57" s="255"/>
      <c r="B57" s="237" t="s">
        <v>712</v>
      </c>
      <c r="C57" s="236" t="s">
        <v>222</v>
      </c>
    </row>
    <row r="58" spans="1:3">
      <c r="A58" s="255"/>
      <c r="B58" s="237" t="s">
        <v>713</v>
      </c>
      <c r="C58" s="236" t="s">
        <v>221</v>
      </c>
    </row>
    <row r="59" spans="1:3">
      <c r="A59" s="255"/>
      <c r="B59" s="237" t="s">
        <v>714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715</v>
      </c>
      <c r="C61" s="236" t="s">
        <v>225</v>
      </c>
    </row>
    <row r="62" spans="1:3">
      <c r="A62" s="255"/>
      <c r="B62" s="237" t="s">
        <v>716</v>
      </c>
      <c r="C62" s="236" t="s">
        <v>719</v>
      </c>
    </row>
    <row r="63" spans="1:3">
      <c r="A63" s="430" t="s">
        <v>252</v>
      </c>
      <c r="B63" s="237" t="s">
        <v>717</v>
      </c>
      <c r="C63" s="236" t="s">
        <v>720</v>
      </c>
    </row>
    <row r="64" spans="1:3">
      <c r="A64" s="1253" t="s">
        <v>68</v>
      </c>
      <c r="B64" s="1254"/>
      <c r="C64" s="1255"/>
    </row>
    <row r="65" spans="1:3">
      <c r="A65" s="1253" t="s">
        <v>69</v>
      </c>
      <c r="B65" s="1254"/>
      <c r="C65" s="1255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608</v>
      </c>
      <c r="C69" s="237" t="s">
        <v>611</v>
      </c>
    </row>
    <row r="70" spans="1:3">
      <c r="A70" s="255"/>
      <c r="B70" s="236" t="s">
        <v>609</v>
      </c>
      <c r="C70" s="237" t="s">
        <v>612</v>
      </c>
    </row>
    <row r="71" spans="1:3">
      <c r="A71" s="255"/>
      <c r="B71" s="236" t="s">
        <v>610</v>
      </c>
      <c r="C71" s="237" t="s">
        <v>613</v>
      </c>
    </row>
    <row r="72" spans="1:3">
      <c r="A72" s="1253" t="s">
        <v>76</v>
      </c>
      <c r="B72" s="1254"/>
      <c r="C72" s="1255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53" t="s">
        <v>481</v>
      </c>
      <c r="B78" s="1254"/>
      <c r="C78" s="1255"/>
    </row>
    <row r="79" spans="1:3">
      <c r="B79" s="237" t="s">
        <v>616</v>
      </c>
      <c r="C79" s="236" t="s">
        <v>479</v>
      </c>
    </row>
    <row r="80" spans="1:3">
      <c r="B80" s="237" t="s">
        <v>480</v>
      </c>
      <c r="C80" s="236" t="s">
        <v>490</v>
      </c>
    </row>
    <row r="81" spans="1:3">
      <c r="B81" s="237" t="s">
        <v>614</v>
      </c>
      <c r="C81" s="236" t="s">
        <v>615</v>
      </c>
    </row>
    <row r="82" spans="1:3">
      <c r="B82" s="237" t="s">
        <v>483</v>
      </c>
      <c r="C82" s="236" t="s">
        <v>482</v>
      </c>
    </row>
    <row r="83" spans="1:3">
      <c r="B83" s="237" t="s">
        <v>617</v>
      </c>
      <c r="C83" s="237" t="s">
        <v>618</v>
      </c>
    </row>
    <row r="84" spans="1:3">
      <c r="B84" s="237" t="s">
        <v>484</v>
      </c>
      <c r="C84" s="237" t="s">
        <v>485</v>
      </c>
    </row>
    <row r="85" spans="1:3">
      <c r="B85" s="237" t="s">
        <v>619</v>
      </c>
      <c r="C85" s="25" t="s">
        <v>620</v>
      </c>
    </row>
    <row r="86" spans="1:3">
      <c r="A86" s="1253" t="s">
        <v>704</v>
      </c>
      <c r="B86" s="1254"/>
      <c r="C86" s="1255"/>
    </row>
    <row r="87" spans="1:3">
      <c r="B87" s="25" t="s">
        <v>705</v>
      </c>
      <c r="C87" s="25" t="s">
        <v>706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86:C86"/>
    <mergeCell ref="A78:C78"/>
    <mergeCell ref="A72:C72"/>
    <mergeCell ref="A30:C30"/>
    <mergeCell ref="A7:C7"/>
    <mergeCell ref="A65:C65"/>
    <mergeCell ref="A1:C1"/>
    <mergeCell ref="A37:C37"/>
    <mergeCell ref="A41:C41"/>
    <mergeCell ref="A51:C51"/>
    <mergeCell ref="A64:C64"/>
  </mergeCells>
  <phoneticPr fontId="72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11" zoomScale="70" zoomScaleNormal="70" workbookViewId="0">
      <selection activeCell="AA56" sqref="AA56"/>
    </sheetView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2" t="s">
        <v>774</v>
      </c>
      <c r="B1" s="513" t="s">
        <v>775</v>
      </c>
      <c r="C1" s="539" t="s">
        <v>88</v>
      </c>
      <c r="D1" s="542" t="s">
        <v>89</v>
      </c>
      <c r="E1" s="543" t="s">
        <v>776</v>
      </c>
      <c r="F1" s="544" t="s">
        <v>90</v>
      </c>
      <c r="G1" s="544" t="s">
        <v>91</v>
      </c>
      <c r="H1" s="540" t="s">
        <v>92</v>
      </c>
      <c r="I1" s="542" t="s">
        <v>93</v>
      </c>
      <c r="J1" s="543" t="s">
        <v>94</v>
      </c>
      <c r="K1" s="543" t="s">
        <v>95</v>
      </c>
      <c r="L1" s="540" t="s">
        <v>96</v>
      </c>
      <c r="M1" s="542" t="s">
        <v>97</v>
      </c>
      <c r="N1" s="542" t="s">
        <v>1088</v>
      </c>
      <c r="O1" s="543" t="s">
        <v>98</v>
      </c>
      <c r="P1" s="543" t="s">
        <v>99</v>
      </c>
      <c r="Q1" s="543" t="s">
        <v>100</v>
      </c>
      <c r="R1" s="543" t="s">
        <v>101</v>
      </c>
      <c r="S1" s="543" t="s">
        <v>102</v>
      </c>
      <c r="T1" s="540" t="s">
        <v>103</v>
      </c>
      <c r="U1" s="543" t="s">
        <v>104</v>
      </c>
      <c r="V1" s="543" t="s">
        <v>105</v>
      </c>
      <c r="W1" s="544" t="s">
        <v>106</v>
      </c>
      <c r="X1" s="544" t="s">
        <v>107</v>
      </c>
      <c r="Y1" s="544" t="s">
        <v>108</v>
      </c>
      <c r="Z1" s="543" t="s">
        <v>109</v>
      </c>
      <c r="AA1" s="540" t="s">
        <v>110</v>
      </c>
      <c r="AB1" s="541" t="s">
        <v>111</v>
      </c>
      <c r="AC1" s="545" t="s">
        <v>112</v>
      </c>
      <c r="AD1" s="543" t="s">
        <v>113</v>
      </c>
      <c r="AE1" s="540" t="s">
        <v>777</v>
      </c>
      <c r="AF1" s="543" t="s">
        <v>778</v>
      </c>
      <c r="AG1" s="543" t="s">
        <v>114</v>
      </c>
      <c r="AH1" s="543" t="s">
        <v>115</v>
      </c>
      <c r="AI1" s="540" t="s">
        <v>779</v>
      </c>
      <c r="AJ1" s="540" t="s">
        <v>780</v>
      </c>
      <c r="AK1" s="540" t="s">
        <v>781</v>
      </c>
      <c r="AL1" s="540" t="s">
        <v>782</v>
      </c>
      <c r="AM1" s="540" t="s">
        <v>783</v>
      </c>
      <c r="AN1" s="540" t="s">
        <v>116</v>
      </c>
      <c r="AO1" s="540" t="s">
        <v>117</v>
      </c>
      <c r="AP1" s="541" t="s">
        <v>118</v>
      </c>
      <c r="AQ1" s="514" t="s">
        <v>119</v>
      </c>
      <c r="AS1" s="2"/>
    </row>
    <row r="2" spans="1:45" ht="12.75" customHeight="1">
      <c r="A2" s="515" t="s">
        <v>120</v>
      </c>
      <c r="B2" s="891"/>
      <c r="C2" s="892">
        <f>SUM(D2:G2)</f>
        <v>0</v>
      </c>
      <c r="D2" s="893">
        <v>0</v>
      </c>
      <c r="E2" s="894"/>
      <c r="F2" s="895"/>
      <c r="G2" s="895"/>
      <c r="H2" s="896">
        <f>SUM(I2:K2)</f>
        <v>815.92434898628403</v>
      </c>
      <c r="I2" s="897">
        <v>688.22034898628408</v>
      </c>
      <c r="J2" s="898">
        <v>127.70399999999999</v>
      </c>
      <c r="K2" s="899"/>
      <c r="L2" s="896">
        <f>SUM(M2:Z2)</f>
        <v>0</v>
      </c>
      <c r="M2" s="897"/>
      <c r="N2" s="900"/>
      <c r="O2" s="901"/>
      <c r="P2" s="901"/>
      <c r="Q2" s="901"/>
      <c r="R2" s="901"/>
      <c r="S2" s="901"/>
      <c r="T2" s="901"/>
      <c r="U2" s="901"/>
      <c r="V2" s="901"/>
      <c r="W2" s="895"/>
      <c r="X2" s="895"/>
      <c r="Y2" s="895"/>
      <c r="Z2" s="899"/>
      <c r="AA2" s="896">
        <v>2751.9191872187112</v>
      </c>
      <c r="AB2" s="902">
        <f>SUM(AC2:AM2)</f>
        <v>1334.658297317769</v>
      </c>
      <c r="AC2" s="903">
        <v>59.691708987970003</v>
      </c>
      <c r="AD2" s="899">
        <v>743.01992281532614</v>
      </c>
      <c r="AE2" s="899">
        <v>248.90859762015592</v>
      </c>
      <c r="AF2" s="899">
        <v>139.99992739520798</v>
      </c>
      <c r="AG2" s="899">
        <v>33.531818868055431</v>
      </c>
      <c r="AH2" s="899">
        <v>16.813132576534866</v>
      </c>
      <c r="AI2" s="899">
        <v>31.064467987392003</v>
      </c>
      <c r="AJ2" s="899">
        <v>2.6691993220799999</v>
      </c>
      <c r="AK2" s="897">
        <v>1.8899880806415161</v>
      </c>
      <c r="AL2" s="897">
        <v>13.54608560366562</v>
      </c>
      <c r="AM2" s="895">
        <v>43.523448060739646</v>
      </c>
      <c r="AN2" s="904">
        <v>145.43710297949829</v>
      </c>
      <c r="AO2" s="904"/>
      <c r="AP2" s="902"/>
      <c r="AQ2" s="905">
        <f>C2+H2+L2+AA2+AB2+AN2+AO2+AP2</f>
        <v>5047.9389365022625</v>
      </c>
    </row>
    <row r="3" spans="1:45" ht="12.75" customHeight="1">
      <c r="A3" s="516" t="s">
        <v>121</v>
      </c>
      <c r="B3" s="906"/>
      <c r="C3" s="907">
        <f>SUM(D3:G3)</f>
        <v>903.49466255082825</v>
      </c>
      <c r="D3" s="908">
        <v>829.57460107090037</v>
      </c>
      <c r="E3" s="909">
        <v>61.722867734674637</v>
      </c>
      <c r="F3" s="910"/>
      <c r="G3" s="910">
        <v>12.197193745253209</v>
      </c>
      <c r="H3" s="911">
        <f>SUM(I3:K3)</f>
        <v>0</v>
      </c>
      <c r="I3" s="912"/>
      <c r="J3" s="913"/>
      <c r="K3" s="914"/>
      <c r="L3" s="911">
        <f>SUM(M3:Z3)</f>
        <v>9138.5577999094057</v>
      </c>
      <c r="M3" s="912">
        <v>3053.4742963851995</v>
      </c>
      <c r="N3" s="912">
        <v>16.633377499200002</v>
      </c>
      <c r="O3" s="914">
        <v>0</v>
      </c>
      <c r="P3" s="914">
        <v>564.2364083333332</v>
      </c>
      <c r="Q3" s="914">
        <v>369.14638715136005</v>
      </c>
      <c r="R3" s="914">
        <v>1542.2444022448799</v>
      </c>
      <c r="S3" s="914">
        <v>82.827948630790956</v>
      </c>
      <c r="T3" s="914">
        <v>157.5463640726893</v>
      </c>
      <c r="U3" s="914">
        <v>2932.6955801163149</v>
      </c>
      <c r="V3" s="914">
        <v>166.37647928144222</v>
      </c>
      <c r="W3" s="910">
        <v>7.5616539426795564</v>
      </c>
      <c r="X3" s="910">
        <v>200.83222211696253</v>
      </c>
      <c r="Y3" s="910">
        <v>1.2281470084248403</v>
      </c>
      <c r="Z3" s="914">
        <v>43.754533126130625</v>
      </c>
      <c r="AA3" s="911">
        <v>1728.338063506957</v>
      </c>
      <c r="AB3" s="915">
        <f>SUM(AC3:AM3)</f>
        <v>151.93355907200862</v>
      </c>
      <c r="AC3" s="916"/>
      <c r="AD3" s="914"/>
      <c r="AE3" s="914">
        <v>24.282116302936618</v>
      </c>
      <c r="AF3" s="914"/>
      <c r="AG3" s="914"/>
      <c r="AH3" s="914"/>
      <c r="AI3" s="914">
        <v>104.81441230492801</v>
      </c>
      <c r="AJ3" s="914">
        <v>22.837030464144</v>
      </c>
      <c r="AK3" s="912"/>
      <c r="AL3" s="912"/>
      <c r="AM3" s="910"/>
      <c r="AN3" s="917"/>
      <c r="AO3" s="917">
        <v>139.45061680000001</v>
      </c>
      <c r="AP3" s="915"/>
      <c r="AQ3" s="918">
        <f t="shared" ref="AQ3:AQ20" si="0">C3+H3+L3+AA3+AB3+AN3+AO3+AP3</f>
        <v>12061.7747018392</v>
      </c>
    </row>
    <row r="4" spans="1:45" ht="12.75" customHeight="1">
      <c r="A4" s="516" t="s">
        <v>122</v>
      </c>
      <c r="B4" s="906"/>
      <c r="C4" s="907">
        <f>SUM(D4:G4)</f>
        <v>15.186580890896002</v>
      </c>
      <c r="D4" s="908">
        <v>0</v>
      </c>
      <c r="E4" s="919">
        <v>14.097722162000002</v>
      </c>
      <c r="F4" s="910"/>
      <c r="G4" s="910">
        <v>1.0888587288959999</v>
      </c>
      <c r="H4" s="911">
        <f>SUM(I4:K4)</f>
        <v>7.0330680000000001</v>
      </c>
      <c r="I4" s="912"/>
      <c r="J4" s="913"/>
      <c r="K4" s="914">
        <v>7.0330680000000001</v>
      </c>
      <c r="L4" s="911">
        <f>SUM(M4:Z4)</f>
        <v>1717.0624747879344</v>
      </c>
      <c r="M4" s="912">
        <v>0</v>
      </c>
      <c r="N4" s="912">
        <v>0</v>
      </c>
      <c r="O4" s="914"/>
      <c r="P4" s="914">
        <v>364.52221864444448</v>
      </c>
      <c r="Q4" s="914">
        <v>21.672508399360005</v>
      </c>
      <c r="R4" s="914">
        <v>156.29379915984001</v>
      </c>
      <c r="S4" s="914">
        <v>986.60611760112999</v>
      </c>
      <c r="T4" s="914">
        <v>35.289733288720633</v>
      </c>
      <c r="U4" s="914">
        <v>102.14625414775992</v>
      </c>
      <c r="V4" s="914">
        <v>2.9088437938490893E-3</v>
      </c>
      <c r="W4" s="910">
        <v>36.297317128453038</v>
      </c>
      <c r="X4" s="910">
        <v>5.4694689952000006</v>
      </c>
      <c r="Y4" s="910">
        <v>1.8500297569930473E-2</v>
      </c>
      <c r="Z4" s="914">
        <v>8.7436482816626366</v>
      </c>
      <c r="AA4" s="911">
        <v>0</v>
      </c>
      <c r="AB4" s="915">
        <f>SUM(AC4:AM4)</f>
        <v>9.4476585178560004</v>
      </c>
      <c r="AC4" s="916"/>
      <c r="AD4" s="914"/>
      <c r="AE4" s="914">
        <v>0.41264639999999991</v>
      </c>
      <c r="AF4" s="914"/>
      <c r="AG4" s="914"/>
      <c r="AH4" s="914"/>
      <c r="AI4" s="914">
        <v>9.0350121178560006</v>
      </c>
      <c r="AJ4" s="914">
        <v>0</v>
      </c>
      <c r="AK4" s="912"/>
      <c r="AL4" s="912"/>
      <c r="AM4" s="910"/>
      <c r="AN4" s="917"/>
      <c r="AO4" s="917">
        <v>141.83539077999998</v>
      </c>
      <c r="AP4" s="915"/>
      <c r="AQ4" s="918">
        <f t="shared" si="0"/>
        <v>1890.5651729766864</v>
      </c>
    </row>
    <row r="5" spans="1:45" ht="12.75" customHeight="1">
      <c r="A5" s="516" t="s">
        <v>123</v>
      </c>
      <c r="B5" s="906"/>
      <c r="C5" s="907">
        <f>SUM(D5:G5)</f>
        <v>0</v>
      </c>
      <c r="D5" s="908"/>
      <c r="E5" s="919"/>
      <c r="F5" s="910"/>
      <c r="G5" s="910"/>
      <c r="H5" s="911">
        <f>SUM(I5:K5)</f>
        <v>0</v>
      </c>
      <c r="I5" s="912"/>
      <c r="J5" s="913"/>
      <c r="K5" s="914"/>
      <c r="L5" s="911">
        <f>SUM(M5:Z5)</f>
        <v>172.71258946798309</v>
      </c>
      <c r="M5" s="912"/>
      <c r="N5" s="912"/>
      <c r="O5" s="914"/>
      <c r="P5" s="914"/>
      <c r="Q5" s="914"/>
      <c r="R5" s="914"/>
      <c r="S5" s="914">
        <v>15.730078096892656</v>
      </c>
      <c r="T5" s="914"/>
      <c r="U5" s="914">
        <v>156.98251137109042</v>
      </c>
      <c r="V5" s="914"/>
      <c r="W5" s="910"/>
      <c r="X5" s="910"/>
      <c r="Y5" s="910"/>
      <c r="Z5" s="914"/>
      <c r="AA5" s="911"/>
      <c r="AB5" s="915">
        <f>SUM(AC5:AM5)</f>
        <v>0</v>
      </c>
      <c r="AC5" s="916"/>
      <c r="AD5" s="914"/>
      <c r="AE5" s="914"/>
      <c r="AF5" s="914"/>
      <c r="AG5" s="914"/>
      <c r="AH5" s="914"/>
      <c r="AI5" s="914"/>
      <c r="AJ5" s="914"/>
      <c r="AK5" s="912"/>
      <c r="AL5" s="912"/>
      <c r="AM5" s="910"/>
      <c r="AN5" s="917"/>
      <c r="AO5" s="917"/>
      <c r="AP5" s="915"/>
      <c r="AQ5" s="918">
        <f t="shared" si="0"/>
        <v>172.71258946798309</v>
      </c>
    </row>
    <row r="6" spans="1:45" ht="12.75" customHeight="1" thickBot="1">
      <c r="A6" s="517" t="s">
        <v>1089</v>
      </c>
      <c r="B6" s="920"/>
      <c r="C6" s="907">
        <f>SUM(D6:G6)</f>
        <v>-101.25634942971131</v>
      </c>
      <c r="D6" s="921">
        <v>-101.869888772661</v>
      </c>
      <c r="E6" s="910">
        <v>-0.8079766727235479</v>
      </c>
      <c r="F6" s="922"/>
      <c r="G6" s="922">
        <v>1.4215160156732278</v>
      </c>
      <c r="H6" s="923">
        <f>SUM(I6:K6)</f>
        <v>-122.93905189963694</v>
      </c>
      <c r="I6" s="924">
        <v>-136.53826589963694</v>
      </c>
      <c r="J6" s="925">
        <v>0</v>
      </c>
      <c r="K6" s="924">
        <v>13.599214000000003</v>
      </c>
      <c r="L6" s="923">
        <f>SUM(M6:Z6)</f>
        <v>151.33981188504902</v>
      </c>
      <c r="M6" s="912">
        <v>38.730964773999993</v>
      </c>
      <c r="N6" s="912">
        <v>-8.8751519999999999</v>
      </c>
      <c r="O6" s="914"/>
      <c r="P6" s="914">
        <v>-9.6980083333333713</v>
      </c>
      <c r="Q6" s="914">
        <v>12.883201938880001</v>
      </c>
      <c r="R6" s="914">
        <v>82.12024884504001</v>
      </c>
      <c r="S6" s="914">
        <v>23.637599999999999</v>
      </c>
      <c r="T6" s="914">
        <v>1.4659197380156652</v>
      </c>
      <c r="U6" s="914">
        <v>8.3874136006762399</v>
      </c>
      <c r="V6" s="914">
        <v>3.2040911090633046</v>
      </c>
      <c r="W6" s="922">
        <v>-0.51646778729281662</v>
      </c>
      <c r="X6" s="922">
        <v>0</v>
      </c>
      <c r="Y6" s="922">
        <v>0</v>
      </c>
      <c r="Z6" s="924">
        <v>0</v>
      </c>
      <c r="AA6" s="923">
        <v>0</v>
      </c>
      <c r="AB6" s="926">
        <f>SUM(AC6:AM6)</f>
        <v>4.4601014379600006</v>
      </c>
      <c r="AC6" s="927"/>
      <c r="AD6" s="928"/>
      <c r="AE6" s="928">
        <v>0.26707427819999968</v>
      </c>
      <c r="AF6" s="928"/>
      <c r="AG6" s="928"/>
      <c r="AH6" s="928"/>
      <c r="AI6" s="928">
        <v>1.7828522013120007</v>
      </c>
      <c r="AJ6" s="928">
        <v>2.4101749584479997</v>
      </c>
      <c r="AK6" s="924"/>
      <c r="AL6" s="924"/>
      <c r="AM6" s="922"/>
      <c r="AN6" s="929"/>
      <c r="AO6" s="929"/>
      <c r="AP6" s="926"/>
      <c r="AQ6" s="930">
        <f t="shared" si="0"/>
        <v>-68.395488006339221</v>
      </c>
    </row>
    <row r="7" spans="1:45" s="5" customFormat="1" ht="12.75" customHeight="1">
      <c r="A7" s="518" t="s">
        <v>124</v>
      </c>
      <c r="B7" s="931"/>
      <c r="C7" s="932">
        <f t="shared" ref="C7:AP7" si="1">C2+C3-C4-C5+C6</f>
        <v>787.05173223022086</v>
      </c>
      <c r="D7" s="933">
        <f t="shared" si="1"/>
        <v>727.70471229823943</v>
      </c>
      <c r="E7" s="934">
        <f t="shared" si="1"/>
        <v>46.817168899951085</v>
      </c>
      <c r="F7" s="934">
        <f t="shared" si="1"/>
        <v>0</v>
      </c>
      <c r="G7" s="934">
        <f t="shared" si="1"/>
        <v>12.529851032030438</v>
      </c>
      <c r="H7" s="935">
        <f t="shared" si="1"/>
        <v>685.95222908664709</v>
      </c>
      <c r="I7" s="933">
        <f t="shared" si="1"/>
        <v>551.68208308664714</v>
      </c>
      <c r="J7" s="936">
        <f t="shared" si="1"/>
        <v>127.70399999999999</v>
      </c>
      <c r="K7" s="934">
        <f t="shared" si="1"/>
        <v>6.5661460000000034</v>
      </c>
      <c r="L7" s="935">
        <f t="shared" si="1"/>
        <v>7400.1225475385372</v>
      </c>
      <c r="M7" s="933">
        <f t="shared" si="1"/>
        <v>3092.2052611591994</v>
      </c>
      <c r="N7" s="933">
        <f t="shared" si="1"/>
        <v>7.7582254992000017</v>
      </c>
      <c r="O7" s="934">
        <f t="shared" si="1"/>
        <v>0</v>
      </c>
      <c r="P7" s="934">
        <f t="shared" si="1"/>
        <v>190.01618135555535</v>
      </c>
      <c r="Q7" s="934">
        <f t="shared" si="1"/>
        <v>360.35708069088003</v>
      </c>
      <c r="R7" s="934">
        <f t="shared" si="1"/>
        <v>1468.0708519300797</v>
      </c>
      <c r="S7" s="934">
        <f t="shared" si="1"/>
        <v>-895.87064706723163</v>
      </c>
      <c r="T7" s="934">
        <f t="shared" si="1"/>
        <v>123.72255052198433</v>
      </c>
      <c r="U7" s="934">
        <f t="shared" si="1"/>
        <v>2681.9542281981408</v>
      </c>
      <c r="V7" s="934">
        <f t="shared" si="1"/>
        <v>169.57766154671168</v>
      </c>
      <c r="W7" s="934">
        <f t="shared" si="1"/>
        <v>-29.252130973066301</v>
      </c>
      <c r="X7" s="934">
        <f t="shared" si="1"/>
        <v>195.36275312176252</v>
      </c>
      <c r="Y7" s="934">
        <f t="shared" si="1"/>
        <v>1.2096467108549098</v>
      </c>
      <c r="Z7" s="934">
        <f t="shared" si="1"/>
        <v>35.010884844467988</v>
      </c>
      <c r="AA7" s="935">
        <f t="shared" si="1"/>
        <v>4480.2572507256682</v>
      </c>
      <c r="AB7" s="935">
        <f t="shared" si="1"/>
        <v>1481.6042993098815</v>
      </c>
      <c r="AC7" s="933">
        <f t="shared" si="1"/>
        <v>59.691708987970003</v>
      </c>
      <c r="AD7" s="934">
        <f t="shared" si="1"/>
        <v>743.01992281532614</v>
      </c>
      <c r="AE7" s="934">
        <f t="shared" si="1"/>
        <v>273.04514180129252</v>
      </c>
      <c r="AF7" s="934">
        <f t="shared" si="1"/>
        <v>139.99992739520798</v>
      </c>
      <c r="AG7" s="934">
        <f t="shared" si="1"/>
        <v>33.531818868055431</v>
      </c>
      <c r="AH7" s="934">
        <f t="shared" si="1"/>
        <v>16.813132576534866</v>
      </c>
      <c r="AI7" s="934">
        <f t="shared" si="1"/>
        <v>128.62672037577602</v>
      </c>
      <c r="AJ7" s="934">
        <f t="shared" si="1"/>
        <v>27.916404744672001</v>
      </c>
      <c r="AK7" s="937">
        <f t="shared" si="1"/>
        <v>1.8899880806415161</v>
      </c>
      <c r="AL7" s="937">
        <f t="shared" si="1"/>
        <v>13.54608560366562</v>
      </c>
      <c r="AM7" s="933">
        <f t="shared" si="1"/>
        <v>43.523448060739646</v>
      </c>
      <c r="AN7" s="935">
        <f t="shared" si="1"/>
        <v>145.43710297949829</v>
      </c>
      <c r="AO7" s="935">
        <f t="shared" si="1"/>
        <v>-2.3847739799999772</v>
      </c>
      <c r="AP7" s="938">
        <f t="shared" si="1"/>
        <v>0</v>
      </c>
      <c r="AQ7" s="939">
        <f t="shared" si="0"/>
        <v>14978.040387890453</v>
      </c>
      <c r="AR7" s="1"/>
      <c r="AS7" s="4"/>
    </row>
    <row r="8" spans="1:45" s="5" customFormat="1" ht="12.75" customHeight="1" thickBot="1">
      <c r="A8" s="519" t="s">
        <v>125</v>
      </c>
      <c r="B8" s="940"/>
      <c r="C8" s="941">
        <f t="shared" ref="C8:AP8" si="2">C7-C27</f>
        <v>787.05173223022086</v>
      </c>
      <c r="D8" s="942">
        <f t="shared" si="2"/>
        <v>727.70471229823943</v>
      </c>
      <c r="E8" s="943">
        <f t="shared" si="2"/>
        <v>46.817168899951085</v>
      </c>
      <c r="F8" s="944">
        <f t="shared" si="2"/>
        <v>0</v>
      </c>
      <c r="G8" s="944">
        <f t="shared" si="2"/>
        <v>12.529851032030438</v>
      </c>
      <c r="H8" s="945">
        <f t="shared" si="2"/>
        <v>685.95222908664709</v>
      </c>
      <c r="I8" s="942">
        <f t="shared" si="2"/>
        <v>551.68208308664714</v>
      </c>
      <c r="J8" s="946">
        <f t="shared" si="2"/>
        <v>127.70399999999999</v>
      </c>
      <c r="K8" s="943">
        <f t="shared" si="2"/>
        <v>6.5661460000000034</v>
      </c>
      <c r="L8" s="945">
        <f t="shared" si="2"/>
        <v>7168.5392628614518</v>
      </c>
      <c r="M8" s="942">
        <f t="shared" si="2"/>
        <v>3092.2052611591994</v>
      </c>
      <c r="N8" s="942">
        <f t="shared" si="2"/>
        <v>7.7582254992000017</v>
      </c>
      <c r="O8" s="943">
        <f t="shared" si="2"/>
        <v>0</v>
      </c>
      <c r="P8" s="943">
        <f t="shared" si="2"/>
        <v>190.01618135555535</v>
      </c>
      <c r="Q8" s="943">
        <f t="shared" si="2"/>
        <v>360.35708069088003</v>
      </c>
      <c r="R8" s="943">
        <f t="shared" si="2"/>
        <v>1468.0708519300797</v>
      </c>
      <c r="S8" s="943">
        <f t="shared" si="2"/>
        <v>-895.87064706723163</v>
      </c>
      <c r="T8" s="943">
        <f t="shared" si="2"/>
        <v>123.72255052198433</v>
      </c>
      <c r="U8" s="943">
        <f t="shared" si="2"/>
        <v>2681.9542281981408</v>
      </c>
      <c r="V8" s="943">
        <f t="shared" si="2"/>
        <v>169.57766154671168</v>
      </c>
      <c r="W8" s="944">
        <f t="shared" si="2"/>
        <v>-29.252130973066301</v>
      </c>
      <c r="X8" s="944">
        <f t="shared" si="2"/>
        <v>0</v>
      </c>
      <c r="Y8" s="944">
        <f t="shared" si="2"/>
        <v>0</v>
      </c>
      <c r="Z8" s="943">
        <f t="shared" si="2"/>
        <v>0</v>
      </c>
      <c r="AA8" s="945">
        <f t="shared" si="2"/>
        <v>4480.2572507256682</v>
      </c>
      <c r="AB8" s="947">
        <f t="shared" si="2"/>
        <v>1481.6042993098815</v>
      </c>
      <c r="AC8" s="942">
        <f t="shared" si="2"/>
        <v>59.691708987970003</v>
      </c>
      <c r="AD8" s="943">
        <f t="shared" si="2"/>
        <v>743.01992281532614</v>
      </c>
      <c r="AE8" s="943">
        <f t="shared" si="2"/>
        <v>273.04514180129252</v>
      </c>
      <c r="AF8" s="943">
        <f t="shared" si="2"/>
        <v>139.99992739520798</v>
      </c>
      <c r="AG8" s="943">
        <f t="shared" si="2"/>
        <v>33.531818868055431</v>
      </c>
      <c r="AH8" s="943">
        <f t="shared" si="2"/>
        <v>16.813132576534866</v>
      </c>
      <c r="AI8" s="943">
        <f t="shared" si="2"/>
        <v>128.62672037577602</v>
      </c>
      <c r="AJ8" s="943">
        <f t="shared" si="2"/>
        <v>27.916404744672001</v>
      </c>
      <c r="AK8" s="948">
        <f t="shared" si="2"/>
        <v>1.8899880806415161</v>
      </c>
      <c r="AL8" s="948">
        <f t="shared" si="2"/>
        <v>13.54608560366562</v>
      </c>
      <c r="AM8" s="942">
        <f t="shared" si="2"/>
        <v>43.523448060739646</v>
      </c>
      <c r="AN8" s="945">
        <f t="shared" si="2"/>
        <v>145.43710297949829</v>
      </c>
      <c r="AO8" s="945">
        <f t="shared" si="2"/>
        <v>-2.3847739799999772</v>
      </c>
      <c r="AP8" s="942">
        <f t="shared" si="2"/>
        <v>0</v>
      </c>
      <c r="AQ8" s="949">
        <f t="shared" si="0"/>
        <v>14746.457103213368</v>
      </c>
      <c r="AR8" s="1"/>
      <c r="AS8" s="4"/>
    </row>
    <row r="9" spans="1:45" s="5" customFormat="1" ht="12.75" customHeight="1">
      <c r="A9" s="518" t="s">
        <v>126</v>
      </c>
      <c r="B9" s="931"/>
      <c r="C9" s="932">
        <f t="shared" ref="C9:AP9" si="3">SUM(C10:C14)</f>
        <v>489.13419536754503</v>
      </c>
      <c r="D9" s="937">
        <f t="shared" si="3"/>
        <v>489.13419536754503</v>
      </c>
      <c r="E9" s="934">
        <f t="shared" si="3"/>
        <v>0</v>
      </c>
      <c r="F9" s="950">
        <f t="shared" si="3"/>
        <v>0</v>
      </c>
      <c r="G9" s="950">
        <f t="shared" si="3"/>
        <v>0</v>
      </c>
      <c r="H9" s="935">
        <f t="shared" si="3"/>
        <v>541.02658367795425</v>
      </c>
      <c r="I9" s="937">
        <f t="shared" si="3"/>
        <v>541.02658367795425</v>
      </c>
      <c r="J9" s="936">
        <f t="shared" si="3"/>
        <v>0</v>
      </c>
      <c r="K9" s="934">
        <f t="shared" si="3"/>
        <v>0</v>
      </c>
      <c r="L9" s="935">
        <f t="shared" si="3"/>
        <v>3165.7216476484605</v>
      </c>
      <c r="M9" s="934">
        <f t="shared" si="3"/>
        <v>3092.2052611591994</v>
      </c>
      <c r="N9" s="934">
        <f>SUM(N10:N14)</f>
        <v>38.786602361842682</v>
      </c>
      <c r="O9" s="934">
        <f t="shared" si="3"/>
        <v>0</v>
      </c>
      <c r="P9" s="934">
        <f t="shared" si="3"/>
        <v>0</v>
      </c>
      <c r="Q9" s="934">
        <f t="shared" si="3"/>
        <v>0</v>
      </c>
      <c r="R9" s="934">
        <f t="shared" si="3"/>
        <v>0</v>
      </c>
      <c r="S9" s="934">
        <f t="shared" si="3"/>
        <v>25.868327226603597</v>
      </c>
      <c r="T9" s="934">
        <f t="shared" si="3"/>
        <v>0.63499472294399995</v>
      </c>
      <c r="U9" s="934">
        <f t="shared" si="3"/>
        <v>8.2264621778709284</v>
      </c>
      <c r="V9" s="934">
        <f t="shared" si="3"/>
        <v>0</v>
      </c>
      <c r="W9" s="950">
        <f t="shared" si="3"/>
        <v>0</v>
      </c>
      <c r="X9" s="950">
        <f t="shared" si="3"/>
        <v>0</v>
      </c>
      <c r="Y9" s="950">
        <f t="shared" si="3"/>
        <v>0</v>
      </c>
      <c r="Z9" s="934">
        <f t="shared" si="3"/>
        <v>0</v>
      </c>
      <c r="AA9" s="935">
        <f t="shared" si="3"/>
        <v>2501.2994242635782</v>
      </c>
      <c r="AB9" s="933">
        <f t="shared" si="3"/>
        <v>215.90352917717644</v>
      </c>
      <c r="AC9" s="951">
        <f t="shared" si="3"/>
        <v>0</v>
      </c>
      <c r="AD9" s="934">
        <f t="shared" si="3"/>
        <v>0</v>
      </c>
      <c r="AE9" s="934">
        <f t="shared" si="3"/>
        <v>76.028615684916531</v>
      </c>
      <c r="AF9" s="934">
        <f>SUM(AF10:AF14)</f>
        <v>99.30702317107577</v>
      </c>
      <c r="AG9" s="934">
        <f t="shared" si="3"/>
        <v>33.531818868055431</v>
      </c>
      <c r="AH9" s="934">
        <f t="shared" si="3"/>
        <v>7.0360714531287174</v>
      </c>
      <c r="AI9" s="934">
        <f t="shared" si="3"/>
        <v>0</v>
      </c>
      <c r="AJ9" s="934">
        <f>SUM(AJ10:AJ14)</f>
        <v>0</v>
      </c>
      <c r="AK9" s="937">
        <f t="shared" si="3"/>
        <v>0</v>
      </c>
      <c r="AL9" s="937">
        <f>SUM(AL10:AL14)</f>
        <v>0</v>
      </c>
      <c r="AM9" s="950">
        <f t="shared" si="3"/>
        <v>0</v>
      </c>
      <c r="AN9" s="935">
        <f t="shared" si="3"/>
        <v>90.714163374524205</v>
      </c>
      <c r="AO9" s="935">
        <f t="shared" si="3"/>
        <v>54.38453208</v>
      </c>
      <c r="AP9" s="933">
        <f t="shared" si="3"/>
        <v>0</v>
      </c>
      <c r="AQ9" s="952">
        <f t="shared" si="0"/>
        <v>7058.184075589239</v>
      </c>
      <c r="AR9" s="1"/>
      <c r="AS9" s="4"/>
    </row>
    <row r="10" spans="1:45" ht="12.75" customHeight="1">
      <c r="A10" s="520" t="s">
        <v>127</v>
      </c>
      <c r="B10" s="953"/>
      <c r="C10" s="954">
        <f>SUM(D10:G10)</f>
        <v>489.13419536754503</v>
      </c>
      <c r="D10" s="955">
        <v>489.13419536754503</v>
      </c>
      <c r="E10" s="956"/>
      <c r="F10" s="957"/>
      <c r="G10" s="957"/>
      <c r="H10" s="958">
        <f>SUM(I10:K10)</f>
        <v>467.10845991760607</v>
      </c>
      <c r="I10" s="955">
        <v>467.10845991760607</v>
      </c>
      <c r="J10" s="959">
        <v>0</v>
      </c>
      <c r="K10" s="956"/>
      <c r="L10" s="958">
        <f>SUM(M10:Z10)</f>
        <v>34.094789404474525</v>
      </c>
      <c r="M10" s="956"/>
      <c r="N10" s="956"/>
      <c r="O10" s="956"/>
      <c r="P10" s="956"/>
      <c r="Q10" s="956"/>
      <c r="R10" s="956"/>
      <c r="S10" s="956">
        <v>25.868327226603597</v>
      </c>
      <c r="T10" s="956"/>
      <c r="U10" s="956">
        <v>8.2264621778709284</v>
      </c>
      <c r="V10" s="956"/>
      <c r="W10" s="957"/>
      <c r="X10" s="957"/>
      <c r="Y10" s="957"/>
      <c r="Z10" s="956"/>
      <c r="AA10" s="958">
        <v>2187.6033883210698</v>
      </c>
      <c r="AB10" s="960">
        <f>SUM(AC10:AM10)</f>
        <v>205.30590173319058</v>
      </c>
      <c r="AC10" s="961"/>
      <c r="AD10" s="956"/>
      <c r="AE10" s="956">
        <v>72.467059694059387</v>
      </c>
      <c r="AF10" s="956">
        <v>99.30702317107577</v>
      </c>
      <c r="AG10" s="956">
        <v>33.531818868055431</v>
      </c>
      <c r="AH10" s="956"/>
      <c r="AI10" s="956"/>
      <c r="AJ10" s="956"/>
      <c r="AK10" s="955"/>
      <c r="AL10" s="955"/>
      <c r="AM10" s="957"/>
      <c r="AN10" s="962">
        <v>90.714163374524205</v>
      </c>
      <c r="AO10" s="958"/>
      <c r="AP10" s="960"/>
      <c r="AQ10" s="963">
        <f t="shared" si="0"/>
        <v>3473.9608981184101</v>
      </c>
    </row>
    <row r="11" spans="1:45" ht="12.75" customHeight="1">
      <c r="A11" s="516" t="s">
        <v>128</v>
      </c>
      <c r="B11" s="906"/>
      <c r="C11" s="907">
        <f>SUM(D11:G11)</f>
        <v>0</v>
      </c>
      <c r="D11" s="912">
        <v>0</v>
      </c>
      <c r="E11" s="914"/>
      <c r="F11" s="910"/>
      <c r="G11" s="910"/>
      <c r="H11" s="911">
        <f>SUM(I11:K11)</f>
        <v>5.8425469182429177</v>
      </c>
      <c r="I11" s="912">
        <v>5.8425469182429177</v>
      </c>
      <c r="J11" s="913"/>
      <c r="K11" s="914"/>
      <c r="L11" s="911">
        <f>SUM(M11:Z11)</f>
        <v>0.63499472294399995</v>
      </c>
      <c r="M11" s="914"/>
      <c r="N11" s="964"/>
      <c r="O11" s="964">
        <v>0</v>
      </c>
      <c r="P11" s="914"/>
      <c r="Q11" s="914"/>
      <c r="R11" s="914"/>
      <c r="S11" s="914">
        <v>0</v>
      </c>
      <c r="T11" s="914">
        <v>0.63499472294399995</v>
      </c>
      <c r="U11" s="914">
        <v>0</v>
      </c>
      <c r="V11" s="914"/>
      <c r="W11" s="910"/>
      <c r="X11" s="910"/>
      <c r="Y11" s="910"/>
      <c r="Z11" s="914"/>
      <c r="AA11" s="911">
        <v>272.96145103491432</v>
      </c>
      <c r="AB11" s="915">
        <f>SUM(AC11:AM11)</f>
        <v>10.597627443985861</v>
      </c>
      <c r="AC11" s="916"/>
      <c r="AD11" s="914"/>
      <c r="AE11" s="914">
        <v>3.5615559908571428</v>
      </c>
      <c r="AF11" s="914"/>
      <c r="AG11" s="914"/>
      <c r="AH11" s="914">
        <v>7.0360714531287174</v>
      </c>
      <c r="AI11" s="914"/>
      <c r="AJ11" s="914"/>
      <c r="AK11" s="912"/>
      <c r="AL11" s="912"/>
      <c r="AM11" s="910"/>
      <c r="AN11" s="917"/>
      <c r="AO11" s="917"/>
      <c r="AP11" s="915"/>
      <c r="AQ11" s="918">
        <f t="shared" si="0"/>
        <v>290.03662012008709</v>
      </c>
    </row>
    <row r="12" spans="1:45" ht="12.75" customHeight="1">
      <c r="A12" s="516" t="s">
        <v>129</v>
      </c>
      <c r="B12" s="906"/>
      <c r="C12" s="907"/>
      <c r="D12" s="912"/>
      <c r="E12" s="914"/>
      <c r="F12" s="910"/>
      <c r="G12" s="910"/>
      <c r="H12" s="911"/>
      <c r="I12" s="912"/>
      <c r="J12" s="913"/>
      <c r="K12" s="914"/>
      <c r="L12" s="911"/>
      <c r="M12" s="914"/>
      <c r="N12" s="964"/>
      <c r="O12" s="964"/>
      <c r="P12" s="914"/>
      <c r="Q12" s="914"/>
      <c r="R12" s="914"/>
      <c r="S12" s="914"/>
      <c r="T12" s="914"/>
      <c r="U12" s="914"/>
      <c r="V12" s="914"/>
      <c r="W12" s="910"/>
      <c r="X12" s="910"/>
      <c r="Y12" s="910"/>
      <c r="Z12" s="914"/>
      <c r="AA12" s="911"/>
      <c r="AB12" s="915"/>
      <c r="AC12" s="916"/>
      <c r="AD12" s="914"/>
      <c r="AE12" s="914"/>
      <c r="AF12" s="914"/>
      <c r="AG12" s="914"/>
      <c r="AH12" s="914"/>
      <c r="AI12" s="914"/>
      <c r="AJ12" s="914"/>
      <c r="AK12" s="912"/>
      <c r="AL12" s="912"/>
      <c r="AM12" s="910"/>
      <c r="AN12" s="917"/>
      <c r="AO12" s="917">
        <v>42.942060079999997</v>
      </c>
      <c r="AP12" s="915"/>
      <c r="AQ12" s="918">
        <f t="shared" si="0"/>
        <v>42.942060079999997</v>
      </c>
    </row>
    <row r="13" spans="1:45" ht="12.75" customHeight="1">
      <c r="A13" s="516" t="s">
        <v>130</v>
      </c>
      <c r="B13" s="906"/>
      <c r="C13" s="907">
        <f>SUM(D13:G13)</f>
        <v>0</v>
      </c>
      <c r="D13" s="912"/>
      <c r="E13" s="910"/>
      <c r="F13" s="910"/>
      <c r="G13" s="910"/>
      <c r="H13" s="911">
        <f>SUM(I13:K13)</f>
        <v>68.075576842105264</v>
      </c>
      <c r="I13" s="912">
        <v>68.075576842105264</v>
      </c>
      <c r="J13" s="913"/>
      <c r="K13" s="914"/>
      <c r="L13" s="911">
        <f>SUM(M13:Z13)</f>
        <v>0</v>
      </c>
      <c r="M13" s="914"/>
      <c r="N13" s="914"/>
      <c r="O13" s="914"/>
      <c r="P13" s="914"/>
      <c r="Q13" s="914"/>
      <c r="R13" s="914"/>
      <c r="S13" s="914"/>
      <c r="T13" s="914"/>
      <c r="U13" s="914"/>
      <c r="V13" s="914"/>
      <c r="W13" s="910"/>
      <c r="X13" s="910"/>
      <c r="Y13" s="910"/>
      <c r="Z13" s="914"/>
      <c r="AA13" s="911"/>
      <c r="AB13" s="915">
        <f>SUM(AC13:AM13)</f>
        <v>0</v>
      </c>
      <c r="AC13" s="916"/>
      <c r="AD13" s="914"/>
      <c r="AE13" s="914"/>
      <c r="AF13" s="914"/>
      <c r="AG13" s="914"/>
      <c r="AH13" s="914"/>
      <c r="AI13" s="914"/>
      <c r="AJ13" s="914"/>
      <c r="AK13" s="912"/>
      <c r="AL13" s="912"/>
      <c r="AM13" s="910"/>
      <c r="AN13" s="917"/>
      <c r="AO13" s="917"/>
      <c r="AP13" s="915"/>
      <c r="AQ13" s="918">
        <f t="shared" si="0"/>
        <v>68.075576842105264</v>
      </c>
    </row>
    <row r="14" spans="1:45" ht="12.75" customHeight="1">
      <c r="A14" s="521" t="s">
        <v>131</v>
      </c>
      <c r="B14" s="965"/>
      <c r="C14" s="966">
        <f>SUM(D14:G14)</f>
        <v>0</v>
      </c>
      <c r="D14" s="967"/>
      <c r="E14" s="968"/>
      <c r="F14" s="969"/>
      <c r="G14" s="969"/>
      <c r="H14" s="970">
        <f>SUM(I14:K14)</f>
        <v>0</v>
      </c>
      <c r="I14" s="967"/>
      <c r="J14" s="971"/>
      <c r="K14" s="968"/>
      <c r="L14" s="970">
        <f>SUM(M14:Z14)</f>
        <v>3130.991863521042</v>
      </c>
      <c r="M14" s="968">
        <v>3092.2052611591994</v>
      </c>
      <c r="N14" s="968">
        <v>38.786602361842682</v>
      </c>
      <c r="O14" s="968"/>
      <c r="P14" s="968"/>
      <c r="Q14" s="968"/>
      <c r="R14" s="968"/>
      <c r="S14" s="968"/>
      <c r="T14" s="968"/>
      <c r="U14" s="968"/>
      <c r="V14" s="968"/>
      <c r="W14" s="969"/>
      <c r="X14" s="969"/>
      <c r="Y14" s="969"/>
      <c r="Z14" s="968"/>
      <c r="AA14" s="970">
        <v>40.734584907594211</v>
      </c>
      <c r="AB14" s="972">
        <f>SUM(AC14:AM14)</f>
        <v>0</v>
      </c>
      <c r="AC14" s="973"/>
      <c r="AD14" s="968"/>
      <c r="AE14" s="968"/>
      <c r="AF14" s="968"/>
      <c r="AG14" s="968"/>
      <c r="AH14" s="968"/>
      <c r="AI14" s="968"/>
      <c r="AJ14" s="968"/>
      <c r="AK14" s="967"/>
      <c r="AL14" s="967"/>
      <c r="AM14" s="969"/>
      <c r="AN14" s="974"/>
      <c r="AO14" s="974">
        <v>11.442471999999999</v>
      </c>
      <c r="AP14" s="972"/>
      <c r="AQ14" s="975">
        <f t="shared" si="0"/>
        <v>3183.1689204286363</v>
      </c>
    </row>
    <row r="15" spans="1:45" s="5" customFormat="1" ht="12.75" customHeight="1">
      <c r="A15" s="522" t="s">
        <v>132</v>
      </c>
      <c r="B15" s="976"/>
      <c r="C15" s="977">
        <f t="shared" ref="C15:AP15" si="4">SUM(C16:C20)</f>
        <v>0</v>
      </c>
      <c r="D15" s="978">
        <f t="shared" si="4"/>
        <v>0</v>
      </c>
      <c r="E15" s="979">
        <f t="shared" si="4"/>
        <v>0</v>
      </c>
      <c r="F15" s="980">
        <f t="shared" si="4"/>
        <v>0</v>
      </c>
      <c r="G15" s="980">
        <f t="shared" si="4"/>
        <v>0</v>
      </c>
      <c r="H15" s="981">
        <f t="shared" si="4"/>
        <v>64.671797999999995</v>
      </c>
      <c r="I15" s="978">
        <f t="shared" si="4"/>
        <v>0</v>
      </c>
      <c r="J15" s="982">
        <f t="shared" si="4"/>
        <v>0</v>
      </c>
      <c r="K15" s="979">
        <f t="shared" si="4"/>
        <v>64.671797999999995</v>
      </c>
      <c r="L15" s="981">
        <f t="shared" si="4"/>
        <v>3166.7858692089685</v>
      </c>
      <c r="M15" s="979">
        <f t="shared" si="4"/>
        <v>0</v>
      </c>
      <c r="N15" s="979">
        <f t="shared" si="4"/>
        <v>0</v>
      </c>
      <c r="O15" s="979">
        <f t="shared" si="4"/>
        <v>90.017983923640699</v>
      </c>
      <c r="P15" s="979">
        <f t="shared" si="4"/>
        <v>640.53679657777786</v>
      </c>
      <c r="Q15" s="979">
        <f t="shared" si="4"/>
        <v>226.77459106847999</v>
      </c>
      <c r="R15" s="979">
        <f t="shared" si="4"/>
        <v>0</v>
      </c>
      <c r="S15" s="979">
        <f t="shared" si="4"/>
        <v>960.95017928079096</v>
      </c>
      <c r="T15" s="979">
        <f t="shared" si="4"/>
        <v>64.797462901984332</v>
      </c>
      <c r="U15" s="979">
        <f t="shared" si="4"/>
        <v>1146.9502117491124</v>
      </c>
      <c r="V15" s="979">
        <f t="shared" si="4"/>
        <v>0</v>
      </c>
      <c r="W15" s="980">
        <f t="shared" si="4"/>
        <v>36.758643707182323</v>
      </c>
      <c r="X15" s="980">
        <f t="shared" si="4"/>
        <v>0</v>
      </c>
      <c r="Y15" s="980">
        <f t="shared" si="4"/>
        <v>0</v>
      </c>
      <c r="Z15" s="979">
        <f t="shared" si="4"/>
        <v>0</v>
      </c>
      <c r="AA15" s="981">
        <f t="shared" si="4"/>
        <v>0</v>
      </c>
      <c r="AB15" s="983">
        <f t="shared" si="4"/>
        <v>0</v>
      </c>
      <c r="AC15" s="984">
        <f t="shared" si="4"/>
        <v>0</v>
      </c>
      <c r="AD15" s="979">
        <f t="shared" si="4"/>
        <v>0</v>
      </c>
      <c r="AE15" s="979">
        <f t="shared" si="4"/>
        <v>0</v>
      </c>
      <c r="AF15" s="979">
        <f t="shared" si="4"/>
        <v>0</v>
      </c>
      <c r="AG15" s="985">
        <f t="shared" si="4"/>
        <v>0</v>
      </c>
      <c r="AH15" s="985">
        <f t="shared" si="4"/>
        <v>0</v>
      </c>
      <c r="AI15" s="985">
        <f t="shared" si="4"/>
        <v>0</v>
      </c>
      <c r="AJ15" s="985">
        <f t="shared" si="4"/>
        <v>0</v>
      </c>
      <c r="AK15" s="978">
        <f t="shared" si="4"/>
        <v>0</v>
      </c>
      <c r="AL15" s="978">
        <f t="shared" si="4"/>
        <v>0</v>
      </c>
      <c r="AM15" s="980">
        <f t="shared" si="4"/>
        <v>0</v>
      </c>
      <c r="AN15" s="981">
        <f t="shared" si="4"/>
        <v>0</v>
      </c>
      <c r="AO15" s="981">
        <f t="shared" si="4"/>
        <v>1873.361490524092</v>
      </c>
      <c r="AP15" s="983">
        <f t="shared" si="4"/>
        <v>0</v>
      </c>
      <c r="AQ15" s="986">
        <f t="shared" si="0"/>
        <v>5104.8191577330599</v>
      </c>
      <c r="AR15" s="1"/>
      <c r="AS15" s="4"/>
    </row>
    <row r="16" spans="1:45" ht="12.75" customHeight="1">
      <c r="A16" s="520" t="s">
        <v>127</v>
      </c>
      <c r="B16" s="953"/>
      <c r="C16" s="954">
        <f>SUM(D16:G16)</f>
        <v>0</v>
      </c>
      <c r="D16" s="955"/>
      <c r="E16" s="956"/>
      <c r="F16" s="957"/>
      <c r="G16" s="957"/>
      <c r="H16" s="958">
        <f>SUM(I16:K16)</f>
        <v>0</v>
      </c>
      <c r="I16" s="955"/>
      <c r="J16" s="956"/>
      <c r="K16" s="956"/>
      <c r="L16" s="958">
        <f>SUM(M16:Z16)</f>
        <v>0</v>
      </c>
      <c r="M16" s="956"/>
      <c r="N16" s="956"/>
      <c r="O16" s="956"/>
      <c r="P16" s="956"/>
      <c r="Q16" s="956"/>
      <c r="R16" s="956"/>
      <c r="S16" s="956"/>
      <c r="T16" s="956"/>
      <c r="U16" s="956"/>
      <c r="V16" s="956"/>
      <c r="W16" s="957"/>
      <c r="X16" s="957"/>
      <c r="Y16" s="957"/>
      <c r="Z16" s="956"/>
      <c r="AA16" s="958"/>
      <c r="AB16" s="960">
        <f>SUM(AC16:AL16)</f>
        <v>0</v>
      </c>
      <c r="AC16" s="961"/>
      <c r="AD16" s="956"/>
      <c r="AE16" s="956"/>
      <c r="AF16" s="956"/>
      <c r="AG16" s="964"/>
      <c r="AH16" s="964"/>
      <c r="AI16" s="964"/>
      <c r="AJ16" s="964"/>
      <c r="AK16" s="955"/>
      <c r="AL16" s="955"/>
      <c r="AM16" s="957"/>
      <c r="AN16" s="962"/>
      <c r="AO16" s="962">
        <v>1667.7865923774164</v>
      </c>
      <c r="AP16" s="960"/>
      <c r="AQ16" s="987">
        <f>C16+H16+L16+AA16+AO16+AP16</f>
        <v>1667.7865923774164</v>
      </c>
    </row>
    <row r="17" spans="1:45" ht="12.75" customHeight="1">
      <c r="A17" s="516" t="s">
        <v>128</v>
      </c>
      <c r="B17" s="906"/>
      <c r="C17" s="907">
        <f>SUM(D17:G17)</f>
        <v>0</v>
      </c>
      <c r="D17" s="912"/>
      <c r="E17" s="914"/>
      <c r="F17" s="910"/>
      <c r="G17" s="910"/>
      <c r="H17" s="911">
        <f>SUM(I17:K17)</f>
        <v>0</v>
      </c>
      <c r="I17" s="912"/>
      <c r="J17" s="914"/>
      <c r="K17" s="914"/>
      <c r="L17" s="911">
        <f>SUM(M17:Z17)</f>
        <v>0</v>
      </c>
      <c r="M17" s="914"/>
      <c r="N17" s="914"/>
      <c r="O17" s="914"/>
      <c r="P17" s="914"/>
      <c r="Q17" s="914"/>
      <c r="R17" s="914"/>
      <c r="S17" s="914"/>
      <c r="T17" s="914"/>
      <c r="U17" s="914"/>
      <c r="V17" s="914"/>
      <c r="W17" s="910"/>
      <c r="X17" s="910"/>
      <c r="Y17" s="910"/>
      <c r="Z17" s="914"/>
      <c r="AA17" s="911"/>
      <c r="AB17" s="915">
        <f>SUM(AC17:AL17)</f>
        <v>0</v>
      </c>
      <c r="AC17" s="916"/>
      <c r="AD17" s="914"/>
      <c r="AE17" s="914"/>
      <c r="AF17" s="914"/>
      <c r="AG17" s="914"/>
      <c r="AH17" s="914"/>
      <c r="AI17" s="914"/>
      <c r="AJ17" s="914"/>
      <c r="AK17" s="912"/>
      <c r="AL17" s="912"/>
      <c r="AM17" s="910"/>
      <c r="AN17" s="917"/>
      <c r="AO17" s="988">
        <v>185.14395873624346</v>
      </c>
      <c r="AP17" s="915"/>
      <c r="AQ17" s="918">
        <f>C17+H17+L17+AA17+AO17+AP17</f>
        <v>185.14395873624346</v>
      </c>
    </row>
    <row r="18" spans="1:45" ht="12.75" customHeight="1">
      <c r="A18" s="516" t="s">
        <v>133</v>
      </c>
      <c r="B18" s="906"/>
      <c r="C18" s="907"/>
      <c r="D18" s="912"/>
      <c r="E18" s="914"/>
      <c r="F18" s="910"/>
      <c r="G18" s="910"/>
      <c r="H18" s="911"/>
      <c r="I18" s="912"/>
      <c r="J18" s="914"/>
      <c r="K18" s="914"/>
      <c r="L18" s="911"/>
      <c r="M18" s="914"/>
      <c r="N18" s="914"/>
      <c r="O18" s="914"/>
      <c r="P18" s="914"/>
      <c r="Q18" s="914"/>
      <c r="R18" s="914"/>
      <c r="S18" s="914"/>
      <c r="T18" s="914"/>
      <c r="U18" s="914"/>
      <c r="V18" s="914"/>
      <c r="W18" s="910"/>
      <c r="X18" s="910"/>
      <c r="Y18" s="910"/>
      <c r="Z18" s="914"/>
      <c r="AA18" s="911"/>
      <c r="AB18" s="915"/>
      <c r="AC18" s="916"/>
      <c r="AD18" s="914"/>
      <c r="AE18" s="914"/>
      <c r="AF18" s="914"/>
      <c r="AG18" s="914"/>
      <c r="AH18" s="914"/>
      <c r="AI18" s="914"/>
      <c r="AJ18" s="914"/>
      <c r="AK18" s="912"/>
      <c r="AL18" s="912"/>
      <c r="AM18" s="910"/>
      <c r="AN18" s="917"/>
      <c r="AO18" s="917">
        <v>20.430939410432</v>
      </c>
      <c r="AP18" s="915"/>
      <c r="AQ18" s="918">
        <f t="shared" si="0"/>
        <v>20.430939410432</v>
      </c>
    </row>
    <row r="19" spans="1:45" ht="12.75" customHeight="1">
      <c r="A19" s="516" t="s">
        <v>130</v>
      </c>
      <c r="B19" s="906"/>
      <c r="C19" s="907"/>
      <c r="D19" s="1"/>
      <c r="E19" s="914"/>
      <c r="F19" s="910"/>
      <c r="G19" s="910"/>
      <c r="H19" s="911">
        <f>SUM(I19:K19)</f>
        <v>64.671797999999995</v>
      </c>
      <c r="I19" s="912"/>
      <c r="J19" s="914"/>
      <c r="K19" s="914">
        <v>64.671797999999995</v>
      </c>
      <c r="L19" s="911">
        <f>SUM(M19:Z19)</f>
        <v>0</v>
      </c>
      <c r="M19" s="914"/>
      <c r="N19" s="914"/>
      <c r="O19" s="914"/>
      <c r="P19" s="914"/>
      <c r="Q19" s="914"/>
      <c r="R19" s="914"/>
      <c r="S19" s="914"/>
      <c r="T19" s="914"/>
      <c r="U19" s="914"/>
      <c r="V19" s="914"/>
      <c r="W19" s="910"/>
      <c r="X19" s="910"/>
      <c r="Y19" s="910"/>
      <c r="Z19" s="914"/>
      <c r="AA19" s="911"/>
      <c r="AB19" s="915">
        <f>SUM(AC19:AL19)</f>
        <v>0</v>
      </c>
      <c r="AC19" s="916"/>
      <c r="AD19" s="914"/>
      <c r="AE19" s="914"/>
      <c r="AF19" s="914"/>
      <c r="AG19" s="914"/>
      <c r="AH19" s="914"/>
      <c r="AI19" s="914"/>
      <c r="AJ19" s="914"/>
      <c r="AK19" s="912"/>
      <c r="AL19" s="912"/>
      <c r="AM19" s="910"/>
      <c r="AN19" s="917"/>
      <c r="AO19" s="917"/>
      <c r="AP19" s="915"/>
      <c r="AQ19" s="918">
        <f t="shared" si="0"/>
        <v>64.671797999999995</v>
      </c>
    </row>
    <row r="20" spans="1:45" ht="12.75" customHeight="1">
      <c r="A20" s="521" t="s">
        <v>134</v>
      </c>
      <c r="B20" s="965"/>
      <c r="C20" s="966"/>
      <c r="D20" s="967"/>
      <c r="E20" s="968"/>
      <c r="F20" s="969"/>
      <c r="G20" s="969"/>
      <c r="H20" s="970">
        <f>SUM(I20:K20)</f>
        <v>0</v>
      </c>
      <c r="I20" s="967"/>
      <c r="J20" s="968"/>
      <c r="K20" s="968"/>
      <c r="L20" s="970">
        <f>SUM(M20:Z20)</f>
        <v>3166.7858692089685</v>
      </c>
      <c r="M20" s="968"/>
      <c r="N20" s="968"/>
      <c r="O20" s="968">
        <v>90.017983923640699</v>
      </c>
      <c r="P20" s="968">
        <v>640.53679657777786</v>
      </c>
      <c r="Q20" s="968">
        <v>226.77459106847999</v>
      </c>
      <c r="R20" s="968">
        <v>0</v>
      </c>
      <c r="S20" s="968">
        <v>960.95017928079096</v>
      </c>
      <c r="T20" s="968">
        <v>64.797462901984332</v>
      </c>
      <c r="U20" s="968">
        <v>1146.9502117491124</v>
      </c>
      <c r="V20" s="968"/>
      <c r="W20" s="969">
        <v>36.758643707182323</v>
      </c>
      <c r="X20" s="969"/>
      <c r="Y20" s="969"/>
      <c r="Z20" s="968"/>
      <c r="AA20" s="970"/>
      <c r="AB20" s="972">
        <f>SUM(AC20:AL20)</f>
        <v>0</v>
      </c>
      <c r="AC20" s="973"/>
      <c r="AD20" s="968"/>
      <c r="AE20" s="968"/>
      <c r="AF20" s="968"/>
      <c r="AG20" s="968"/>
      <c r="AH20" s="968"/>
      <c r="AI20" s="968"/>
      <c r="AJ20" s="968"/>
      <c r="AK20" s="967"/>
      <c r="AL20" s="967"/>
      <c r="AM20" s="969"/>
      <c r="AN20" s="974"/>
      <c r="AO20" s="974"/>
      <c r="AP20" s="972"/>
      <c r="AQ20" s="975">
        <f t="shared" si="0"/>
        <v>3166.7858692089685</v>
      </c>
    </row>
    <row r="21" spans="1:45" ht="12.75" customHeight="1">
      <c r="A21" s="523" t="s">
        <v>135</v>
      </c>
      <c r="B21" s="989"/>
      <c r="C21" s="990">
        <f>SUM(C22:C24)</f>
        <v>22.240061570656763</v>
      </c>
      <c r="D21" s="991">
        <f>SUM(D22:D24)</f>
        <v>-17.141361188350004</v>
      </c>
      <c r="E21" s="992">
        <f>SUM(E22:E24)</f>
        <v>39.381422759006767</v>
      </c>
      <c r="F21" s="993">
        <f>SUM(F22:F24)</f>
        <v>0</v>
      </c>
      <c r="G21" s="993">
        <f>SUM(G22:G24)</f>
        <v>0</v>
      </c>
      <c r="H21" s="994">
        <f>SUM(I21:K21)</f>
        <v>0</v>
      </c>
      <c r="I21" s="991">
        <f>SUM(I22:I24)</f>
        <v>0</v>
      </c>
      <c r="J21" s="992">
        <f>SUM(J22:J24)</f>
        <v>0</v>
      </c>
      <c r="K21" s="992">
        <f>SUM(K22:K24)</f>
        <v>0</v>
      </c>
      <c r="L21" s="994">
        <f>SUM(M21:Z21)</f>
        <v>-24.684016341344112</v>
      </c>
      <c r="M21" s="992">
        <f t="shared" ref="M21:AQ21" si="5">SUM(M22:M24)</f>
        <v>0</v>
      </c>
      <c r="N21" s="992">
        <f t="shared" si="5"/>
        <v>30.880435114089789</v>
      </c>
      <c r="O21" s="992">
        <f t="shared" si="5"/>
        <v>0</v>
      </c>
      <c r="P21" s="992">
        <f t="shared" si="5"/>
        <v>-31.331710700000009</v>
      </c>
      <c r="Q21" s="992">
        <f t="shared" si="5"/>
        <v>361.91080481920005</v>
      </c>
      <c r="R21" s="992">
        <f t="shared" si="5"/>
        <v>-361.12225342559998</v>
      </c>
      <c r="S21" s="992">
        <f t="shared" si="5"/>
        <v>-0.17168420677966101</v>
      </c>
      <c r="T21" s="992">
        <f t="shared" si="5"/>
        <v>0</v>
      </c>
      <c r="U21" s="992">
        <f t="shared" si="5"/>
        <v>-2.6095463715975598</v>
      </c>
      <c r="V21" s="992">
        <f t="shared" si="5"/>
        <v>-22.240061570656767</v>
      </c>
      <c r="W21" s="993">
        <f t="shared" si="5"/>
        <v>0</v>
      </c>
      <c r="X21" s="993">
        <f t="shared" si="5"/>
        <v>0</v>
      </c>
      <c r="Y21" s="993">
        <f t="shared" si="5"/>
        <v>0</v>
      </c>
      <c r="Z21" s="992">
        <f t="shared" si="5"/>
        <v>0</v>
      </c>
      <c r="AA21" s="994">
        <f t="shared" si="5"/>
        <v>0</v>
      </c>
      <c r="AB21" s="995">
        <f t="shared" si="5"/>
        <v>-804.60161988393759</v>
      </c>
      <c r="AC21" s="996">
        <f t="shared" si="5"/>
        <v>-59.691708987970003</v>
      </c>
      <c r="AD21" s="992">
        <f t="shared" si="5"/>
        <v>-743.01992281532614</v>
      </c>
      <c r="AE21" s="992">
        <f t="shared" si="5"/>
        <v>0</v>
      </c>
      <c r="AF21" s="992">
        <f t="shared" si="5"/>
        <v>0</v>
      </c>
      <c r="AG21" s="997">
        <f t="shared" si="5"/>
        <v>0</v>
      </c>
      <c r="AH21" s="997">
        <f t="shared" si="5"/>
        <v>0</v>
      </c>
      <c r="AI21" s="997">
        <f t="shared" si="5"/>
        <v>0</v>
      </c>
      <c r="AJ21" s="997">
        <f t="shared" si="5"/>
        <v>0</v>
      </c>
      <c r="AK21" s="991">
        <f t="shared" si="5"/>
        <v>-1.8899880806415161</v>
      </c>
      <c r="AL21" s="997">
        <f t="shared" si="5"/>
        <v>0</v>
      </c>
      <c r="AM21" s="993">
        <f t="shared" si="5"/>
        <v>0</v>
      </c>
      <c r="AN21" s="998">
        <f t="shared" si="5"/>
        <v>0</v>
      </c>
      <c r="AO21" s="994">
        <f t="shared" si="5"/>
        <v>804.60161988393759</v>
      </c>
      <c r="AP21" s="995">
        <f t="shared" si="5"/>
        <v>0</v>
      </c>
      <c r="AQ21" s="999">
        <f t="shared" si="5"/>
        <v>-2.4439547706873483</v>
      </c>
    </row>
    <row r="22" spans="1:45" ht="12.75" customHeight="1">
      <c r="A22" s="520" t="s">
        <v>136</v>
      </c>
      <c r="B22" s="953"/>
      <c r="C22" s="1000"/>
      <c r="D22" s="1001"/>
      <c r="E22" s="1002"/>
      <c r="F22" s="957"/>
      <c r="G22" s="957"/>
      <c r="H22" s="958"/>
      <c r="I22" s="1003"/>
      <c r="J22" s="956"/>
      <c r="K22" s="956"/>
      <c r="L22" s="958"/>
      <c r="M22" s="956"/>
      <c r="N22" s="956"/>
      <c r="O22" s="956"/>
      <c r="P22" s="956"/>
      <c r="Q22" s="956"/>
      <c r="R22" s="956"/>
      <c r="S22" s="956"/>
      <c r="T22" s="956"/>
      <c r="U22" s="956"/>
      <c r="V22" s="956"/>
      <c r="W22" s="957"/>
      <c r="X22" s="957"/>
      <c r="Y22" s="957"/>
      <c r="Z22" s="956"/>
      <c r="AA22" s="958"/>
      <c r="AB22" s="960">
        <f>SUM(AC22:AM22)</f>
        <v>-804.60161988393759</v>
      </c>
      <c r="AC22" s="961">
        <f>-AC2</f>
        <v>-59.691708987970003</v>
      </c>
      <c r="AD22" s="956">
        <f>-AD2</f>
        <v>-743.01992281532614</v>
      </c>
      <c r="AE22" s="956"/>
      <c r="AF22" s="956"/>
      <c r="AG22" s="964"/>
      <c r="AH22" s="964"/>
      <c r="AI22" s="964"/>
      <c r="AJ22" s="964"/>
      <c r="AK22" s="955">
        <v>-1.8899880806415161</v>
      </c>
      <c r="AL22" s="964"/>
      <c r="AM22" s="957"/>
      <c r="AN22" s="962"/>
      <c r="AO22" s="958">
        <f>-(C22+H22+L22+AA22+AB22)</f>
        <v>804.60161988393759</v>
      </c>
      <c r="AP22" s="960"/>
      <c r="AQ22" s="987">
        <f>C22+H22+L22+AA22+AB22+AN22+AO22+AP22</f>
        <v>0</v>
      </c>
    </row>
    <row r="23" spans="1:45" ht="12.75" customHeight="1">
      <c r="A23" s="11" t="s">
        <v>137</v>
      </c>
      <c r="B23" s="976"/>
      <c r="C23" s="1004"/>
      <c r="D23" s="1005"/>
      <c r="E23" s="979"/>
      <c r="F23" s="1006"/>
      <c r="G23" s="1006"/>
      <c r="H23" s="981"/>
      <c r="I23" s="1007"/>
      <c r="J23" s="1008"/>
      <c r="K23" s="1008"/>
      <c r="L23" s="981"/>
      <c r="M23" s="1008"/>
      <c r="N23" s="1008"/>
      <c r="O23" s="1008"/>
      <c r="P23" s="1008"/>
      <c r="Q23" s="1008"/>
      <c r="R23" s="1008"/>
      <c r="S23" s="1008"/>
      <c r="T23" s="1008"/>
      <c r="U23" s="1008"/>
      <c r="V23" s="1008"/>
      <c r="W23" s="1006"/>
      <c r="X23" s="1006"/>
      <c r="Y23" s="1006"/>
      <c r="Z23" s="1008"/>
      <c r="AA23" s="981"/>
      <c r="AB23" s="983"/>
      <c r="AC23" s="1009"/>
      <c r="AD23" s="1008"/>
      <c r="AE23" s="1008"/>
      <c r="AF23" s="1008"/>
      <c r="AG23" s="1008"/>
      <c r="AH23" s="1008"/>
      <c r="AI23" s="1008"/>
      <c r="AJ23" s="1008"/>
      <c r="AK23" s="1010"/>
      <c r="AL23" s="1010"/>
      <c r="AM23" s="1006"/>
      <c r="AN23" s="1011"/>
      <c r="AO23" s="981"/>
      <c r="AP23" s="983"/>
      <c r="AQ23" s="1012">
        <f>C23+H23+L23+AA23+AB23+AN23+AO23+AP23</f>
        <v>0</v>
      </c>
    </row>
    <row r="24" spans="1:45" ht="12.75" customHeight="1" thickBot="1">
      <c r="A24" s="517" t="s">
        <v>138</v>
      </c>
      <c r="B24" s="920"/>
      <c r="C24" s="1013">
        <f>SUM(D24:G24)</f>
        <v>22.240061570656763</v>
      </c>
      <c r="D24" s="1014">
        <v>-17.141361188350004</v>
      </c>
      <c r="E24" s="928">
        <f>-D24-V24</f>
        <v>39.381422759006767</v>
      </c>
      <c r="F24" s="922"/>
      <c r="G24" s="922"/>
      <c r="H24" s="923"/>
      <c r="I24" s="1015"/>
      <c r="J24" s="928"/>
      <c r="K24" s="928"/>
      <c r="L24" s="923">
        <f>SUM(N24:Z24)</f>
        <v>-24.684016341344112</v>
      </c>
      <c r="M24" s="928"/>
      <c r="N24" s="928">
        <v>30.880435114089789</v>
      </c>
      <c r="O24" s="928"/>
      <c r="P24" s="928">
        <v>-31.331710700000009</v>
      </c>
      <c r="Q24" s="928">
        <v>361.91080481920005</v>
      </c>
      <c r="R24" s="928">
        <v>-361.12225342559998</v>
      </c>
      <c r="S24" s="928">
        <v>-0.17168420677966101</v>
      </c>
      <c r="T24" s="928"/>
      <c r="U24" s="928">
        <v>-2.6095463715975598</v>
      </c>
      <c r="V24" s="922">
        <v>-22.240061570656767</v>
      </c>
      <c r="W24" s="922">
        <v>0</v>
      </c>
      <c r="X24" s="922"/>
      <c r="Y24" s="922"/>
      <c r="Z24" s="928"/>
      <c r="AA24" s="923"/>
      <c r="AB24" s="923">
        <f>SUM(AC24:AM24)</f>
        <v>0</v>
      </c>
      <c r="AC24" s="927"/>
      <c r="AD24" s="928"/>
      <c r="AE24" s="928"/>
      <c r="AF24" s="928"/>
      <c r="AG24" s="928"/>
      <c r="AH24" s="928"/>
      <c r="AI24" s="928"/>
      <c r="AJ24" s="928"/>
      <c r="AK24" s="924"/>
      <c r="AL24" s="924"/>
      <c r="AM24" s="922"/>
      <c r="AN24" s="929"/>
      <c r="AO24" s="923"/>
      <c r="AP24" s="926"/>
      <c r="AQ24" s="930">
        <f>C24+H24+L24+AA24+AB24+AN24+AO24+AP24</f>
        <v>-2.4439547706873483</v>
      </c>
    </row>
    <row r="25" spans="1:45" ht="12.75" customHeight="1" thickBot="1">
      <c r="A25" s="522" t="s">
        <v>139</v>
      </c>
      <c r="B25" s="976"/>
      <c r="C25" s="977">
        <f>SUM(D25:G25)</f>
        <v>0</v>
      </c>
      <c r="D25" s="978"/>
      <c r="E25" s="979"/>
      <c r="F25" s="1006"/>
      <c r="G25" s="1006"/>
      <c r="H25" s="981">
        <f>SUM(I25:K25)</f>
        <v>10.28324833984202</v>
      </c>
      <c r="I25" s="1006">
        <v>10.28324833984202</v>
      </c>
      <c r="J25" s="1016"/>
      <c r="K25" s="1008"/>
      <c r="L25" s="981">
        <f>SUM(O25:Z25)</f>
        <v>98.284657617035819</v>
      </c>
      <c r="M25" s="1008"/>
      <c r="N25" s="1008"/>
      <c r="O25" s="1008">
        <v>95.274692021714102</v>
      </c>
      <c r="P25" s="1008"/>
      <c r="Q25" s="1008"/>
      <c r="R25" s="1008"/>
      <c r="S25" s="1008">
        <v>0</v>
      </c>
      <c r="T25" s="1008">
        <v>4.1693256233877908E-3</v>
      </c>
      <c r="U25" s="1008">
        <v>3.0057962696983291</v>
      </c>
      <c r="V25" s="1008"/>
      <c r="W25" s="1006"/>
      <c r="X25" s="1006"/>
      <c r="Y25" s="1006"/>
      <c r="Z25" s="1008"/>
      <c r="AA25" s="981">
        <v>57.528599543766255</v>
      </c>
      <c r="AB25" s="983">
        <f>SUM(AC25:AI25)</f>
        <v>0</v>
      </c>
      <c r="AC25" s="984"/>
      <c r="AD25" s="1008"/>
      <c r="AE25" s="1008"/>
      <c r="AF25" s="1008"/>
      <c r="AG25" s="1008"/>
      <c r="AH25" s="1008"/>
      <c r="AI25" s="1008"/>
      <c r="AJ25" s="1008"/>
      <c r="AK25" s="1010"/>
      <c r="AL25" s="1010"/>
      <c r="AM25" s="1006"/>
      <c r="AN25" s="1011"/>
      <c r="AO25" s="981">
        <v>259.46681438260055</v>
      </c>
      <c r="AP25" s="983"/>
      <c r="AQ25" s="1012">
        <f>C25+H25+L25+AA25+AB25+AN25+AO25+AP25</f>
        <v>425.56331988324462</v>
      </c>
    </row>
    <row r="26" spans="1:45" s="5" customFormat="1" ht="12.75" customHeight="1" thickBot="1">
      <c r="A26" s="524" t="s">
        <v>140</v>
      </c>
      <c r="B26" s="1017"/>
      <c r="C26" s="1018">
        <f t="shared" ref="C26:AP26" si="6">C7-C9+C15+C21-C25</f>
        <v>320.15759843333262</v>
      </c>
      <c r="D26" s="1019">
        <f t="shared" si="6"/>
        <v>221.42915574234439</v>
      </c>
      <c r="E26" s="1020">
        <f t="shared" si="6"/>
        <v>86.198591658957852</v>
      </c>
      <c r="F26" s="1020">
        <f t="shared" si="6"/>
        <v>0</v>
      </c>
      <c r="G26" s="1020">
        <f t="shared" si="6"/>
        <v>12.529851032030438</v>
      </c>
      <c r="H26" s="1021">
        <f t="shared" si="6"/>
        <v>199.31419506885081</v>
      </c>
      <c r="I26" s="1019">
        <f t="shared" si="6"/>
        <v>0.37225106885087023</v>
      </c>
      <c r="J26" s="1022">
        <f t="shared" si="6"/>
        <v>127.70399999999999</v>
      </c>
      <c r="K26" s="1020">
        <f t="shared" si="6"/>
        <v>71.237943999999999</v>
      </c>
      <c r="L26" s="1021">
        <f t="shared" si="6"/>
        <v>7278.2180951406654</v>
      </c>
      <c r="M26" s="1020">
        <f t="shared" si="6"/>
        <v>0</v>
      </c>
      <c r="N26" s="1020">
        <f t="shared" si="6"/>
        <v>-0.14794174855289199</v>
      </c>
      <c r="O26" s="1020">
        <f t="shared" si="6"/>
        <v>-5.2567080980734033</v>
      </c>
      <c r="P26" s="1020">
        <f t="shared" si="6"/>
        <v>799.22126723333315</v>
      </c>
      <c r="Q26" s="1020">
        <f t="shared" si="6"/>
        <v>949.04247657856001</v>
      </c>
      <c r="R26" s="1020">
        <f t="shared" si="6"/>
        <v>1106.9485985044798</v>
      </c>
      <c r="S26" s="1020">
        <f t="shared" si="6"/>
        <v>39.03952078017609</v>
      </c>
      <c r="T26" s="1020">
        <f t="shared" si="6"/>
        <v>187.88084937540125</v>
      </c>
      <c r="U26" s="1020">
        <f t="shared" si="6"/>
        <v>3815.0626351280866</v>
      </c>
      <c r="V26" s="1020">
        <f t="shared" si="6"/>
        <v>147.33759997605492</v>
      </c>
      <c r="W26" s="1020">
        <f t="shared" si="6"/>
        <v>7.506512734116022</v>
      </c>
      <c r="X26" s="1020">
        <f t="shared" si="6"/>
        <v>195.36275312176252</v>
      </c>
      <c r="Y26" s="1020">
        <f t="shared" si="6"/>
        <v>1.2096467108549098</v>
      </c>
      <c r="Z26" s="1020">
        <f t="shared" si="6"/>
        <v>35.010884844467988</v>
      </c>
      <c r="AA26" s="1021">
        <f t="shared" si="6"/>
        <v>1921.4292269183238</v>
      </c>
      <c r="AB26" s="1023">
        <f t="shared" si="6"/>
        <v>461.09915024876761</v>
      </c>
      <c r="AC26" s="951">
        <f t="shared" si="6"/>
        <v>0</v>
      </c>
      <c r="AD26" s="934">
        <f t="shared" si="6"/>
        <v>0</v>
      </c>
      <c r="AE26" s="934">
        <f t="shared" si="6"/>
        <v>197.01652611637599</v>
      </c>
      <c r="AF26" s="934">
        <f t="shared" si="6"/>
        <v>40.692904224132207</v>
      </c>
      <c r="AG26" s="934">
        <f t="shared" si="6"/>
        <v>0</v>
      </c>
      <c r="AH26" s="934">
        <f t="shared" si="6"/>
        <v>9.7770611234061491</v>
      </c>
      <c r="AI26" s="934">
        <f t="shared" si="6"/>
        <v>128.62672037577602</v>
      </c>
      <c r="AJ26" s="934">
        <f t="shared" si="6"/>
        <v>27.916404744672001</v>
      </c>
      <c r="AK26" s="937">
        <f t="shared" si="6"/>
        <v>0</v>
      </c>
      <c r="AL26" s="937">
        <f t="shared" si="6"/>
        <v>13.54608560366562</v>
      </c>
      <c r="AM26" s="1024">
        <f t="shared" si="6"/>
        <v>43.523448060739646</v>
      </c>
      <c r="AN26" s="1021">
        <f t="shared" si="6"/>
        <v>54.722939604974087</v>
      </c>
      <c r="AO26" s="1021">
        <f t="shared" si="6"/>
        <v>2361.7269899654289</v>
      </c>
      <c r="AP26" s="1023">
        <f t="shared" si="6"/>
        <v>0</v>
      </c>
      <c r="AQ26" s="1025">
        <f>C26+H26+L26+AA26+AB26+AN26+AO26+AP26</f>
        <v>12596.668195380342</v>
      </c>
      <c r="AR26" s="1"/>
      <c r="AS26" s="4"/>
    </row>
    <row r="27" spans="1:45" s="5" customFormat="1" ht="12.75" customHeight="1">
      <c r="A27" s="518" t="s">
        <v>141</v>
      </c>
      <c r="B27" s="931"/>
      <c r="C27" s="932">
        <f t="shared" ref="C27:V27" si="7">C28</f>
        <v>0</v>
      </c>
      <c r="D27" s="937">
        <f t="shared" si="7"/>
        <v>0</v>
      </c>
      <c r="E27" s="934">
        <f t="shared" si="7"/>
        <v>0</v>
      </c>
      <c r="F27" s="950">
        <f t="shared" si="7"/>
        <v>0</v>
      </c>
      <c r="G27" s="950">
        <f t="shared" si="7"/>
        <v>0</v>
      </c>
      <c r="H27" s="935">
        <f t="shared" si="7"/>
        <v>0</v>
      </c>
      <c r="I27" s="937">
        <f t="shared" si="7"/>
        <v>0</v>
      </c>
      <c r="J27" s="936">
        <f t="shared" si="7"/>
        <v>0</v>
      </c>
      <c r="K27" s="934">
        <f t="shared" si="7"/>
        <v>0</v>
      </c>
      <c r="L27" s="935">
        <f t="shared" si="7"/>
        <v>231.58328467708543</v>
      </c>
      <c r="M27" s="934">
        <f t="shared" si="7"/>
        <v>0</v>
      </c>
      <c r="N27" s="934">
        <f t="shared" si="7"/>
        <v>0</v>
      </c>
      <c r="O27" s="934">
        <f t="shared" si="7"/>
        <v>0</v>
      </c>
      <c r="P27" s="934">
        <f t="shared" si="7"/>
        <v>0</v>
      </c>
      <c r="Q27" s="934">
        <f t="shared" si="7"/>
        <v>0</v>
      </c>
      <c r="R27" s="934">
        <f t="shared" si="7"/>
        <v>0</v>
      </c>
      <c r="S27" s="934">
        <f t="shared" si="7"/>
        <v>0</v>
      </c>
      <c r="T27" s="934">
        <f t="shared" si="7"/>
        <v>0</v>
      </c>
      <c r="U27" s="934">
        <f t="shared" si="7"/>
        <v>0</v>
      </c>
      <c r="V27" s="934">
        <f t="shared" si="7"/>
        <v>0</v>
      </c>
      <c r="W27" s="950"/>
      <c r="X27" s="950">
        <f t="shared" ref="X27:AQ27" si="8">X28</f>
        <v>195.36275312176252</v>
      </c>
      <c r="Y27" s="950">
        <f t="shared" si="8"/>
        <v>1.2096467108549098</v>
      </c>
      <c r="Z27" s="934">
        <f t="shared" si="8"/>
        <v>35.010884844467988</v>
      </c>
      <c r="AA27" s="935">
        <f t="shared" si="8"/>
        <v>0</v>
      </c>
      <c r="AB27" s="933">
        <f t="shared" si="8"/>
        <v>0</v>
      </c>
      <c r="AC27" s="951">
        <f t="shared" si="8"/>
        <v>0</v>
      </c>
      <c r="AD27" s="934">
        <f t="shared" si="8"/>
        <v>0</v>
      </c>
      <c r="AE27" s="934">
        <f t="shared" si="8"/>
        <v>0</v>
      </c>
      <c r="AF27" s="934">
        <f t="shared" si="8"/>
        <v>0</v>
      </c>
      <c r="AG27" s="934">
        <f t="shared" si="8"/>
        <v>0</v>
      </c>
      <c r="AH27" s="934">
        <f t="shared" si="8"/>
        <v>0</v>
      </c>
      <c r="AI27" s="934">
        <f t="shared" si="8"/>
        <v>0</v>
      </c>
      <c r="AJ27" s="934">
        <f t="shared" si="8"/>
        <v>0</v>
      </c>
      <c r="AK27" s="937">
        <f t="shared" si="8"/>
        <v>0</v>
      </c>
      <c r="AL27" s="937">
        <f t="shared" si="8"/>
        <v>0</v>
      </c>
      <c r="AM27" s="950">
        <f t="shared" si="8"/>
        <v>0</v>
      </c>
      <c r="AN27" s="935">
        <f t="shared" si="8"/>
        <v>0</v>
      </c>
      <c r="AO27" s="935">
        <f t="shared" si="8"/>
        <v>0</v>
      </c>
      <c r="AP27" s="933">
        <f t="shared" si="8"/>
        <v>0</v>
      </c>
      <c r="AQ27" s="939">
        <f t="shared" si="8"/>
        <v>231.58328467708543</v>
      </c>
      <c r="AR27" s="1"/>
      <c r="AS27" s="4"/>
    </row>
    <row r="28" spans="1:45" ht="12.75" customHeight="1" thickBot="1">
      <c r="A28" s="525" t="s">
        <v>1090</v>
      </c>
      <c r="B28" s="1026"/>
      <c r="C28" s="1027">
        <f>SUM(D28:G28)</f>
        <v>0</v>
      </c>
      <c r="D28" s="991"/>
      <c r="E28" s="992"/>
      <c r="F28" s="993"/>
      <c r="G28" s="993"/>
      <c r="H28" s="998">
        <f>SUM(I28:K28)</f>
        <v>0</v>
      </c>
      <c r="I28" s="991"/>
      <c r="J28" s="1028"/>
      <c r="K28" s="992"/>
      <c r="L28" s="998">
        <f>SUM(M28:Z28)</f>
        <v>231.58328467708543</v>
      </c>
      <c r="M28" s="992"/>
      <c r="N28" s="992"/>
      <c r="O28" s="992"/>
      <c r="P28" s="992"/>
      <c r="Q28" s="992"/>
      <c r="R28" s="992"/>
      <c r="S28" s="992"/>
      <c r="T28" s="992"/>
      <c r="U28" s="992"/>
      <c r="V28" s="992"/>
      <c r="W28" s="993"/>
      <c r="X28" s="993">
        <f>X26</f>
        <v>195.36275312176252</v>
      </c>
      <c r="Y28" s="993">
        <f>Y26</f>
        <v>1.2096467108549098</v>
      </c>
      <c r="Z28" s="992">
        <f>Z26</f>
        <v>35.010884844467988</v>
      </c>
      <c r="AA28" s="998">
        <v>0</v>
      </c>
      <c r="AB28" s="1029">
        <f>SUM(AC28:AI28)</f>
        <v>0</v>
      </c>
      <c r="AC28" s="996"/>
      <c r="AD28" s="992"/>
      <c r="AE28" s="992"/>
      <c r="AF28" s="992"/>
      <c r="AG28" s="992"/>
      <c r="AH28" s="992"/>
      <c r="AI28" s="992"/>
      <c r="AJ28" s="992"/>
      <c r="AK28" s="991"/>
      <c r="AL28" s="991"/>
      <c r="AM28" s="993"/>
      <c r="AN28" s="998"/>
      <c r="AO28" s="998"/>
      <c r="AP28" s="1029"/>
      <c r="AQ28" s="999">
        <f t="shared" ref="AQ28:AQ72" si="9">C28+H28+L28+AA28+AB28+AN28+AO28+AP28</f>
        <v>231.58328467708543</v>
      </c>
    </row>
    <row r="29" spans="1:45" s="5" customFormat="1" ht="12.75" customHeight="1" thickBot="1">
      <c r="A29" s="518" t="s">
        <v>142</v>
      </c>
      <c r="B29" s="931"/>
      <c r="C29" s="932">
        <f t="shared" ref="C29:AQ29" si="10">C30+C45+C56+C58+C65+C70+C71</f>
        <v>322.73713313616526</v>
      </c>
      <c r="D29" s="937">
        <f t="shared" si="10"/>
        <v>221.25198906014759</v>
      </c>
      <c r="E29" s="934">
        <f t="shared" si="10"/>
        <v>89.647280058277374</v>
      </c>
      <c r="F29" s="950">
        <f t="shared" si="10"/>
        <v>0</v>
      </c>
      <c r="G29" s="950">
        <f t="shared" si="10"/>
        <v>11.837385289740231</v>
      </c>
      <c r="H29" s="935">
        <f t="shared" si="10"/>
        <v>197.36847005356</v>
      </c>
      <c r="I29" s="937">
        <f t="shared" si="10"/>
        <v>0.82966372355999995</v>
      </c>
      <c r="J29" s="1030">
        <f t="shared" si="10"/>
        <v>127.70399999999999</v>
      </c>
      <c r="K29" s="937">
        <f t="shared" si="10"/>
        <v>68.834806329999992</v>
      </c>
      <c r="L29" s="935">
        <f t="shared" si="10"/>
        <v>7044.2916862331467</v>
      </c>
      <c r="M29" s="934">
        <f t="shared" si="10"/>
        <v>0</v>
      </c>
      <c r="N29" s="934">
        <f t="shared" si="10"/>
        <v>0</v>
      </c>
      <c r="O29" s="934">
        <f t="shared" si="10"/>
        <v>0</v>
      </c>
      <c r="P29" s="934">
        <f t="shared" si="10"/>
        <v>824.24502392197087</v>
      </c>
      <c r="Q29" s="934">
        <f t="shared" si="10"/>
        <v>934.32541284991999</v>
      </c>
      <c r="R29" s="934">
        <f t="shared" si="10"/>
        <v>1102.8442060797599</v>
      </c>
      <c r="S29" s="934">
        <f t="shared" si="10"/>
        <v>31.039400915077643</v>
      </c>
      <c r="T29" s="934">
        <f t="shared" si="10"/>
        <v>181.32381570558746</v>
      </c>
      <c r="U29" s="934">
        <f t="shared" si="10"/>
        <v>3824.001555864289</v>
      </c>
      <c r="V29" s="934">
        <f t="shared" si="10"/>
        <v>146.51227089654276</v>
      </c>
      <c r="W29" s="950">
        <f t="shared" si="10"/>
        <v>0</v>
      </c>
      <c r="X29" s="950">
        <f t="shared" si="10"/>
        <v>0</v>
      </c>
      <c r="Y29" s="950">
        <f t="shared" si="10"/>
        <v>0</v>
      </c>
      <c r="Z29" s="937">
        <f t="shared" si="10"/>
        <v>0</v>
      </c>
      <c r="AA29" s="1021">
        <f t="shared" si="10"/>
        <v>1961.7039372255224</v>
      </c>
      <c r="AB29" s="933">
        <f t="shared" si="10"/>
        <v>463.5152964293224</v>
      </c>
      <c r="AC29" s="951">
        <f t="shared" si="10"/>
        <v>0</v>
      </c>
      <c r="AD29" s="934">
        <f t="shared" si="10"/>
        <v>0</v>
      </c>
      <c r="AE29" s="934">
        <f t="shared" si="10"/>
        <v>201.73619537368276</v>
      </c>
      <c r="AF29" s="934">
        <f t="shared" si="10"/>
        <v>40.692904224132199</v>
      </c>
      <c r="AG29" s="934">
        <f t="shared" si="10"/>
        <v>0</v>
      </c>
      <c r="AH29" s="934">
        <f t="shared" si="10"/>
        <v>9.7770611234061491</v>
      </c>
      <c r="AI29" s="934">
        <f t="shared" si="10"/>
        <v>126.96834918892804</v>
      </c>
      <c r="AJ29" s="934">
        <f t="shared" si="10"/>
        <v>27.271252854767994</v>
      </c>
      <c r="AK29" s="933">
        <f t="shared" si="10"/>
        <v>0</v>
      </c>
      <c r="AL29" s="933">
        <f t="shared" si="10"/>
        <v>13.546085603665619</v>
      </c>
      <c r="AM29" s="933">
        <f t="shared" si="10"/>
        <v>43.523448060739653</v>
      </c>
      <c r="AN29" s="933">
        <f t="shared" si="10"/>
        <v>54.722939604974094</v>
      </c>
      <c r="AO29" s="935">
        <f t="shared" si="10"/>
        <v>2397.4208343089181</v>
      </c>
      <c r="AP29" s="933">
        <f t="shared" si="10"/>
        <v>0</v>
      </c>
      <c r="AQ29" s="1025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1"/>
      <c r="C30" s="1032">
        <f>SUM(C31:C44)</f>
        <v>105.42502802800003</v>
      </c>
      <c r="D30" s="1033">
        <v>105.4245493</v>
      </c>
      <c r="E30" s="1033">
        <v>0</v>
      </c>
      <c r="F30" s="1034"/>
      <c r="G30" s="1034"/>
      <c r="H30" s="1035">
        <f t="shared" ref="H30:P30" si="11">SUM(H31:H44)</f>
        <v>0.82966372355999995</v>
      </c>
      <c r="I30" s="1036">
        <f t="shared" si="11"/>
        <v>0.82966372355999995</v>
      </c>
      <c r="J30" s="1033">
        <f t="shared" si="11"/>
        <v>0</v>
      </c>
      <c r="K30" s="1033">
        <f t="shared" si="11"/>
        <v>0</v>
      </c>
      <c r="L30" s="1035">
        <f t="shared" si="11"/>
        <v>333.21700779482637</v>
      </c>
      <c r="M30" s="1033">
        <f t="shared" si="11"/>
        <v>0</v>
      </c>
      <c r="N30" s="1033">
        <f t="shared" si="11"/>
        <v>0</v>
      </c>
      <c r="O30" s="1033">
        <f t="shared" si="11"/>
        <v>0</v>
      </c>
      <c r="P30" s="1033">
        <f t="shared" si="11"/>
        <v>0</v>
      </c>
      <c r="Q30" s="1033">
        <v>5.8273117756492638</v>
      </c>
      <c r="R30" s="1033">
        <f>SUM(R31:R44)</f>
        <v>0</v>
      </c>
      <c r="S30" s="1033">
        <v>30.396553446461994</v>
      </c>
      <c r="T30" s="1033">
        <v>55.10581048870722</v>
      </c>
      <c r="U30" s="1033">
        <v>100.77893291075623</v>
      </c>
      <c r="V30" s="1033">
        <v>141.10839917325163</v>
      </c>
      <c r="W30" s="1033">
        <f>SUM(W31:W44)</f>
        <v>0</v>
      </c>
      <c r="X30" s="1033">
        <f>SUM(X31:X44)</f>
        <v>0</v>
      </c>
      <c r="Y30" s="1033">
        <f>SUM(Y31:Y44)</f>
        <v>0</v>
      </c>
      <c r="Z30" s="1033">
        <f>SUM(Z31:Z44)</f>
        <v>0</v>
      </c>
      <c r="AA30" s="1035">
        <v>1006.4294471460221</v>
      </c>
      <c r="AB30" s="1037">
        <f t="shared" ref="AB30:AN30" si="12">SUM(AB31:AB44)</f>
        <v>198.81521058080656</v>
      </c>
      <c r="AC30" s="1038">
        <f t="shared" si="12"/>
        <v>0</v>
      </c>
      <c r="AD30" s="1033">
        <f t="shared" si="12"/>
        <v>0</v>
      </c>
      <c r="AE30" s="1033">
        <f t="shared" si="12"/>
        <v>153.96698996806381</v>
      </c>
      <c r="AF30" s="1033">
        <f t="shared" si="12"/>
        <v>40.692904224132199</v>
      </c>
      <c r="AG30" s="1033">
        <f t="shared" si="12"/>
        <v>0</v>
      </c>
      <c r="AH30" s="1033">
        <f t="shared" si="12"/>
        <v>4.1553163886105651</v>
      </c>
      <c r="AI30" s="1033">
        <f t="shared" si="12"/>
        <v>0</v>
      </c>
      <c r="AJ30" s="1033">
        <f t="shared" si="12"/>
        <v>0</v>
      </c>
      <c r="AK30" s="1033">
        <f t="shared" si="12"/>
        <v>0</v>
      </c>
      <c r="AL30" s="1033">
        <f t="shared" si="12"/>
        <v>0</v>
      </c>
      <c r="AM30" s="1039">
        <f t="shared" si="12"/>
        <v>0</v>
      </c>
      <c r="AN30" s="1036">
        <f t="shared" si="12"/>
        <v>54.722939604974094</v>
      </c>
      <c r="AO30" s="1035">
        <v>562.37095164267794</v>
      </c>
      <c r="AP30" s="1037">
        <f>SUM(AP31:AP44)</f>
        <v>0</v>
      </c>
      <c r="AQ30" s="952">
        <f>C30+H30+L30+AA30+AB30+AN30+AO30+AP30</f>
        <v>2261.8102485208669</v>
      </c>
      <c r="AR30" s="1"/>
      <c r="AS30" s="4"/>
    </row>
    <row r="31" spans="1:45" ht="12.75" customHeight="1">
      <c r="A31" s="526" t="s">
        <v>144</v>
      </c>
      <c r="B31" s="1040" t="s">
        <v>145</v>
      </c>
      <c r="C31" s="1041">
        <f t="shared" ref="C31:C43" si="13">SUM(D31:G31)</f>
        <v>0</v>
      </c>
      <c r="D31" s="961">
        <v>0</v>
      </c>
      <c r="E31" s="1042"/>
      <c r="F31" s="1042"/>
      <c r="G31" s="1043"/>
      <c r="H31" s="1044">
        <f t="shared" ref="H31:H43" si="14">SUM(I31:K31)</f>
        <v>0</v>
      </c>
      <c r="I31" s="1045"/>
      <c r="J31" s="1046"/>
      <c r="K31" s="964"/>
      <c r="L31" s="1044">
        <f t="shared" ref="L31:L43" si="15">SUM(M31:Z31)</f>
        <v>15.076944231866809</v>
      </c>
      <c r="M31" s="964"/>
      <c r="N31" s="964"/>
      <c r="O31" s="964"/>
      <c r="P31" s="1047"/>
      <c r="Q31" s="1003">
        <v>0.252</v>
      </c>
      <c r="R31" s="1042"/>
      <c r="S31" s="1003">
        <v>0</v>
      </c>
      <c r="T31" s="1003">
        <v>9.0944231866809708E-2</v>
      </c>
      <c r="U31" s="1003">
        <v>14.734</v>
      </c>
      <c r="V31" s="1003">
        <v>0</v>
      </c>
      <c r="W31" s="1042"/>
      <c r="X31" s="1045"/>
      <c r="Y31" s="1047"/>
      <c r="Z31" s="964"/>
      <c r="AA31" s="962">
        <v>11.321518316813064</v>
      </c>
      <c r="AB31" s="1048">
        <f t="shared" ref="AB31:AB43" si="16">SUM(AC31:AM31)</f>
        <v>0</v>
      </c>
      <c r="AC31" s="1049"/>
      <c r="AD31" s="964"/>
      <c r="AE31" s="964"/>
      <c r="AF31" s="964"/>
      <c r="AG31" s="964"/>
      <c r="AH31" s="964"/>
      <c r="AI31" s="964"/>
      <c r="AJ31" s="964"/>
      <c r="AK31" s="955"/>
      <c r="AL31" s="957"/>
      <c r="AM31" s="964"/>
      <c r="AN31" s="962"/>
      <c r="AO31" s="962">
        <v>18.942945216847264</v>
      </c>
      <c r="AP31" s="1048"/>
      <c r="AQ31" s="963">
        <f t="shared" si="9"/>
        <v>45.341407765527137</v>
      </c>
    </row>
    <row r="32" spans="1:45" ht="12.75" customHeight="1">
      <c r="A32" s="527" t="s">
        <v>146</v>
      </c>
      <c r="B32" s="1050" t="s">
        <v>147</v>
      </c>
      <c r="C32" s="907">
        <f t="shared" si="13"/>
        <v>18.505815952000003</v>
      </c>
      <c r="D32" s="916">
        <v>18.505815952000003</v>
      </c>
      <c r="E32" s="1051"/>
      <c r="F32" s="1051"/>
      <c r="G32" s="1052"/>
      <c r="H32" s="911">
        <f t="shared" si="14"/>
        <v>0.82966372355999995</v>
      </c>
      <c r="I32" s="912">
        <v>0.82966372355999995</v>
      </c>
      <c r="J32" s="913"/>
      <c r="K32" s="914"/>
      <c r="L32" s="911">
        <f t="shared" si="15"/>
        <v>65.081234617624631</v>
      </c>
      <c r="M32" s="914"/>
      <c r="N32" s="914"/>
      <c r="O32" s="914"/>
      <c r="P32" s="1047"/>
      <c r="Q32" s="1051">
        <v>1.514</v>
      </c>
      <c r="R32" s="1051"/>
      <c r="S32" s="1051">
        <v>22.968462416696998</v>
      </c>
      <c r="T32" s="1051">
        <v>29.49577220092764</v>
      </c>
      <c r="U32" s="1051">
        <v>11.103</v>
      </c>
      <c r="V32" s="1051">
        <v>0</v>
      </c>
      <c r="W32" s="1051"/>
      <c r="X32" s="912"/>
      <c r="Y32" s="910"/>
      <c r="Z32" s="914"/>
      <c r="AA32" s="917">
        <v>272.71139495674981</v>
      </c>
      <c r="AB32" s="915">
        <f t="shared" si="16"/>
        <v>27.983335383690566</v>
      </c>
      <c r="AC32" s="916"/>
      <c r="AD32" s="914"/>
      <c r="AE32" s="914">
        <v>23.828018995080001</v>
      </c>
      <c r="AF32" s="914"/>
      <c r="AG32" s="964"/>
      <c r="AH32" s="964">
        <v>4.1553163886105651</v>
      </c>
      <c r="AI32" s="964"/>
      <c r="AJ32" s="964"/>
      <c r="AK32" s="912"/>
      <c r="AL32" s="910"/>
      <c r="AM32" s="914"/>
      <c r="AN32" s="917"/>
      <c r="AO32" s="917">
        <v>95.275088867672153</v>
      </c>
      <c r="AP32" s="915"/>
      <c r="AQ32" s="918">
        <f t="shared" si="9"/>
        <v>480.38653350129721</v>
      </c>
    </row>
    <row r="33" spans="1:45" ht="12.75" customHeight="1">
      <c r="A33" s="527" t="s">
        <v>148</v>
      </c>
      <c r="B33" s="1053" t="s">
        <v>149</v>
      </c>
      <c r="C33" s="907">
        <f t="shared" si="13"/>
        <v>0</v>
      </c>
      <c r="D33" s="916">
        <v>0</v>
      </c>
      <c r="E33" s="1051"/>
      <c r="F33" s="1051"/>
      <c r="G33" s="1052"/>
      <c r="H33" s="911">
        <f t="shared" si="14"/>
        <v>0</v>
      </c>
      <c r="I33" s="912"/>
      <c r="J33" s="913"/>
      <c r="K33" s="914"/>
      <c r="L33" s="911">
        <f t="shared" si="15"/>
        <v>4.2587599630269795</v>
      </c>
      <c r="M33" s="914"/>
      <c r="N33" s="914"/>
      <c r="O33" s="914"/>
      <c r="P33" s="1047"/>
      <c r="Q33" s="1051">
        <v>7.6999999999999999E-2</v>
      </c>
      <c r="R33" s="1051"/>
      <c r="S33" s="1051">
        <v>0</v>
      </c>
      <c r="T33" s="1051">
        <v>3.9077599630269795</v>
      </c>
      <c r="U33" s="1051">
        <v>0.27400000000000002</v>
      </c>
      <c r="V33" s="1051">
        <v>0</v>
      </c>
      <c r="W33" s="1051"/>
      <c r="X33" s="912"/>
      <c r="Y33" s="910"/>
      <c r="Z33" s="914"/>
      <c r="AA33" s="917">
        <v>3.3044502133205622</v>
      </c>
      <c r="AB33" s="915">
        <f t="shared" si="16"/>
        <v>0</v>
      </c>
      <c r="AC33" s="916"/>
      <c r="AD33" s="914"/>
      <c r="AE33" s="914"/>
      <c r="AF33" s="914"/>
      <c r="AG33" s="964"/>
      <c r="AH33" s="964"/>
      <c r="AI33" s="964"/>
      <c r="AJ33" s="964"/>
      <c r="AK33" s="912"/>
      <c r="AL33" s="910"/>
      <c r="AM33" s="914"/>
      <c r="AN33" s="917"/>
      <c r="AO33" s="917">
        <v>2.6521774464642336</v>
      </c>
      <c r="AP33" s="915"/>
      <c r="AQ33" s="918">
        <f t="shared" si="9"/>
        <v>10.215387622811775</v>
      </c>
    </row>
    <row r="34" spans="1:45" ht="12.75" customHeight="1">
      <c r="A34" s="527" t="s">
        <v>150</v>
      </c>
      <c r="B34" s="1053" t="s">
        <v>151</v>
      </c>
      <c r="C34" s="907">
        <f t="shared" si="13"/>
        <v>0</v>
      </c>
      <c r="D34" s="916">
        <v>0</v>
      </c>
      <c r="E34" s="1051"/>
      <c r="F34" s="1051"/>
      <c r="G34" s="1052"/>
      <c r="H34" s="911">
        <f t="shared" si="14"/>
        <v>0</v>
      </c>
      <c r="I34" s="912"/>
      <c r="J34" s="913"/>
      <c r="K34" s="914"/>
      <c r="L34" s="911">
        <f t="shared" si="15"/>
        <v>3.2131895506092896</v>
      </c>
      <c r="M34" s="914"/>
      <c r="N34" s="914"/>
      <c r="O34" s="914"/>
      <c r="P34" s="1047"/>
      <c r="Q34" s="1051">
        <v>0.17699999999999999</v>
      </c>
      <c r="R34" s="1051"/>
      <c r="S34" s="1051">
        <v>0</v>
      </c>
      <c r="T34" s="1051">
        <v>0.60818955060928981</v>
      </c>
      <c r="U34" s="1051">
        <v>2.4279999999999999</v>
      </c>
      <c r="V34" s="1051">
        <v>0</v>
      </c>
      <c r="W34" s="1051"/>
      <c r="X34" s="912"/>
      <c r="Y34" s="910"/>
      <c r="Z34" s="914"/>
      <c r="AA34" s="917">
        <v>9.6605545809524642</v>
      </c>
      <c r="AB34" s="915">
        <f t="shared" si="16"/>
        <v>127.91319688416</v>
      </c>
      <c r="AC34" s="916"/>
      <c r="AD34" s="914"/>
      <c r="AE34" s="914">
        <v>127.91319688416</v>
      </c>
      <c r="AF34" s="914"/>
      <c r="AG34" s="964"/>
      <c r="AH34" s="964"/>
      <c r="AI34" s="964"/>
      <c r="AJ34" s="964"/>
      <c r="AK34" s="912"/>
      <c r="AL34" s="910"/>
      <c r="AM34" s="914"/>
      <c r="AN34" s="917"/>
      <c r="AO34" s="917">
        <v>24.722008913423029</v>
      </c>
      <c r="AP34" s="915"/>
      <c r="AQ34" s="918">
        <f t="shared" si="9"/>
        <v>165.50894992914479</v>
      </c>
    </row>
    <row r="35" spans="1:45" ht="12.75" customHeight="1">
      <c r="A35" s="527" t="s">
        <v>152</v>
      </c>
      <c r="B35" s="1053" t="s">
        <v>153</v>
      </c>
      <c r="C35" s="907">
        <f t="shared" si="13"/>
        <v>0</v>
      </c>
      <c r="D35" s="916">
        <v>0</v>
      </c>
      <c r="E35" s="1051"/>
      <c r="F35" s="1051"/>
      <c r="G35" s="1052"/>
      <c r="H35" s="911">
        <f t="shared" si="14"/>
        <v>0</v>
      </c>
      <c r="I35" s="912"/>
      <c r="J35" s="913"/>
      <c r="K35" s="914"/>
      <c r="L35" s="911">
        <f t="shared" si="15"/>
        <v>1.6055046049530732</v>
      </c>
      <c r="M35" s="914"/>
      <c r="N35" s="914"/>
      <c r="O35" s="914"/>
      <c r="P35" s="1047"/>
      <c r="Q35" s="1051">
        <v>9.6000000000000002E-2</v>
      </c>
      <c r="R35" s="1051"/>
      <c r="S35" s="1051">
        <v>0</v>
      </c>
      <c r="T35" s="1051">
        <v>0.62950460495307337</v>
      </c>
      <c r="U35" s="1051">
        <v>0.88</v>
      </c>
      <c r="V35" s="1051">
        <v>0</v>
      </c>
      <c r="W35" s="1051"/>
      <c r="X35" s="912"/>
      <c r="Y35" s="910"/>
      <c r="Z35" s="914"/>
      <c r="AA35" s="917">
        <v>14.125994102315383</v>
      </c>
      <c r="AB35" s="915">
        <f t="shared" si="16"/>
        <v>0</v>
      </c>
      <c r="AC35" s="916"/>
      <c r="AD35" s="914"/>
      <c r="AE35" s="914"/>
      <c r="AF35" s="914"/>
      <c r="AG35" s="964"/>
      <c r="AH35" s="964"/>
      <c r="AI35" s="964"/>
      <c r="AJ35" s="964"/>
      <c r="AK35" s="912"/>
      <c r="AL35" s="910"/>
      <c r="AM35" s="914"/>
      <c r="AN35" s="917"/>
      <c r="AO35" s="917">
        <v>10.336268211589791</v>
      </c>
      <c r="AP35" s="915"/>
      <c r="AQ35" s="918">
        <f t="shared" si="9"/>
        <v>26.067766918858247</v>
      </c>
    </row>
    <row r="36" spans="1:45" ht="12.75" customHeight="1">
      <c r="A36" s="527" t="s">
        <v>154</v>
      </c>
      <c r="B36" s="1053" t="s">
        <v>155</v>
      </c>
      <c r="C36" s="907">
        <f t="shared" si="13"/>
        <v>0</v>
      </c>
      <c r="D36" s="1049">
        <v>0</v>
      </c>
      <c r="E36" s="1051"/>
      <c r="F36" s="1051"/>
      <c r="G36" s="1052"/>
      <c r="H36" s="911">
        <f t="shared" si="14"/>
        <v>0</v>
      </c>
      <c r="I36" s="912"/>
      <c r="J36" s="913"/>
      <c r="K36" s="914"/>
      <c r="L36" s="911">
        <f t="shared" si="15"/>
        <v>21.418897222529047</v>
      </c>
      <c r="M36" s="914"/>
      <c r="N36" s="914"/>
      <c r="O36" s="914"/>
      <c r="P36" s="1047"/>
      <c r="Q36" s="1042">
        <v>0.30599999999999994</v>
      </c>
      <c r="R36" s="1051"/>
      <c r="S36" s="1042">
        <v>2.7458233928999998</v>
      </c>
      <c r="T36" s="1042">
        <v>3.9702841224354111</v>
      </c>
      <c r="U36" s="1042">
        <v>4.5789999999999997</v>
      </c>
      <c r="V36" s="1042">
        <v>9.8177897071936346</v>
      </c>
      <c r="W36" s="1051"/>
      <c r="X36" s="912"/>
      <c r="Y36" s="910"/>
      <c r="Z36" s="914"/>
      <c r="AA36" s="1054">
        <v>129.58450822372785</v>
      </c>
      <c r="AB36" s="915">
        <f t="shared" si="16"/>
        <v>0</v>
      </c>
      <c r="AC36" s="916"/>
      <c r="AD36" s="914"/>
      <c r="AE36" s="914">
        <v>0</v>
      </c>
      <c r="AF36" s="914"/>
      <c r="AG36" s="964"/>
      <c r="AH36" s="964"/>
      <c r="AI36" s="964"/>
      <c r="AJ36" s="964"/>
      <c r="AK36" s="1045"/>
      <c r="AL36" s="1047"/>
      <c r="AM36" s="914"/>
      <c r="AN36" s="1054"/>
      <c r="AO36" s="1054">
        <v>76.140196178045755</v>
      </c>
      <c r="AP36" s="915"/>
      <c r="AQ36" s="918">
        <f t="shared" si="9"/>
        <v>227.14360162430265</v>
      </c>
    </row>
    <row r="37" spans="1:45" ht="12.75" customHeight="1">
      <c r="A37" s="527" t="s">
        <v>156</v>
      </c>
      <c r="B37" s="1053" t="s">
        <v>157</v>
      </c>
      <c r="C37" s="907">
        <f t="shared" si="13"/>
        <v>0</v>
      </c>
      <c r="D37" s="916">
        <v>0</v>
      </c>
      <c r="E37" s="1051"/>
      <c r="F37" s="1051"/>
      <c r="G37" s="1052"/>
      <c r="H37" s="911">
        <f t="shared" si="14"/>
        <v>0</v>
      </c>
      <c r="I37" s="912"/>
      <c r="J37" s="913"/>
      <c r="K37" s="914"/>
      <c r="L37" s="911">
        <f t="shared" si="15"/>
        <v>4.1927665829180274</v>
      </c>
      <c r="M37" s="914"/>
      <c r="N37" s="914"/>
      <c r="O37" s="914"/>
      <c r="P37" s="1047"/>
      <c r="Q37" s="1051">
        <v>0.53500000000000003</v>
      </c>
      <c r="R37" s="1051"/>
      <c r="S37" s="1051">
        <v>0</v>
      </c>
      <c r="T37" s="1051">
        <v>2.1897665829180273</v>
      </c>
      <c r="U37" s="1051">
        <v>1.468</v>
      </c>
      <c r="V37" s="1051">
        <v>0</v>
      </c>
      <c r="W37" s="1051"/>
      <c r="X37" s="912"/>
      <c r="Y37" s="910"/>
      <c r="Z37" s="914"/>
      <c r="AA37" s="917">
        <v>17.456036015436883</v>
      </c>
      <c r="AB37" s="915">
        <f t="shared" si="16"/>
        <v>0</v>
      </c>
      <c r="AC37" s="916"/>
      <c r="AD37" s="914"/>
      <c r="AE37" s="914"/>
      <c r="AF37" s="914"/>
      <c r="AG37" s="964"/>
      <c r="AH37" s="964"/>
      <c r="AI37" s="964"/>
      <c r="AJ37" s="964"/>
      <c r="AK37" s="912"/>
      <c r="AL37" s="910"/>
      <c r="AM37" s="914"/>
      <c r="AN37" s="917"/>
      <c r="AO37" s="917">
        <v>25.06049692993675</v>
      </c>
      <c r="AP37" s="915"/>
      <c r="AQ37" s="918">
        <f t="shared" si="9"/>
        <v>46.709299528291666</v>
      </c>
    </row>
    <row r="38" spans="1:45" ht="12.75" customHeight="1">
      <c r="A38" s="527" t="s">
        <v>158</v>
      </c>
      <c r="B38" s="1053" t="s">
        <v>159</v>
      </c>
      <c r="C38" s="907">
        <f t="shared" si="13"/>
        <v>86.919212076000022</v>
      </c>
      <c r="D38" s="916">
        <v>86.919212076000022</v>
      </c>
      <c r="E38" s="1051"/>
      <c r="F38" s="1051"/>
      <c r="G38" s="1052"/>
      <c r="H38" s="911">
        <f t="shared" si="14"/>
        <v>0</v>
      </c>
      <c r="I38" s="912"/>
      <c r="J38" s="913"/>
      <c r="K38" s="914"/>
      <c r="L38" s="911">
        <f t="shared" si="15"/>
        <v>160.32357118657256</v>
      </c>
      <c r="M38" s="914"/>
      <c r="N38" s="914"/>
      <c r="O38" s="914"/>
      <c r="P38" s="1047"/>
      <c r="Q38" s="1051">
        <v>1.1439999999999999</v>
      </c>
      <c r="R38" s="1051"/>
      <c r="S38" s="1051">
        <v>0</v>
      </c>
      <c r="T38" s="1051">
        <v>2.6359617205145627</v>
      </c>
      <c r="U38" s="1051">
        <v>25.253</v>
      </c>
      <c r="V38" s="1051">
        <v>131.29060946605799</v>
      </c>
      <c r="W38" s="1051"/>
      <c r="X38" s="912"/>
      <c r="Y38" s="910"/>
      <c r="Z38" s="914"/>
      <c r="AA38" s="917">
        <v>46.760404850906049</v>
      </c>
      <c r="AB38" s="915">
        <f t="shared" si="16"/>
        <v>42.918678312955997</v>
      </c>
      <c r="AC38" s="916"/>
      <c r="AD38" s="914"/>
      <c r="AE38" s="914">
        <v>2.2257740888237998</v>
      </c>
      <c r="AF38" s="914">
        <v>40.692904224132199</v>
      </c>
      <c r="AG38" s="964"/>
      <c r="AH38" s="964"/>
      <c r="AI38" s="964"/>
      <c r="AJ38" s="964"/>
      <c r="AK38" s="912"/>
      <c r="AL38" s="910"/>
      <c r="AM38" s="914"/>
      <c r="AN38" s="917">
        <v>54.722939604974094</v>
      </c>
      <c r="AO38" s="917">
        <v>73.686158058321269</v>
      </c>
      <c r="AP38" s="915"/>
      <c r="AQ38" s="918">
        <f t="shared" si="9"/>
        <v>465.33096408973</v>
      </c>
    </row>
    <row r="39" spans="1:45" ht="12.75" customHeight="1">
      <c r="A39" s="527" t="s">
        <v>160</v>
      </c>
      <c r="B39" s="1053" t="s">
        <v>161</v>
      </c>
      <c r="C39" s="907">
        <f t="shared" si="13"/>
        <v>0</v>
      </c>
      <c r="D39" s="916">
        <v>0</v>
      </c>
      <c r="E39" s="1051"/>
      <c r="F39" s="1051"/>
      <c r="G39" s="1052"/>
      <c r="H39" s="911">
        <f t="shared" si="14"/>
        <v>0</v>
      </c>
      <c r="I39" s="912"/>
      <c r="J39" s="913"/>
      <c r="K39" s="914"/>
      <c r="L39" s="911">
        <f t="shared" si="15"/>
        <v>5.6776554397216028</v>
      </c>
      <c r="M39" s="914"/>
      <c r="N39" s="914"/>
      <c r="O39" s="914"/>
      <c r="P39" s="1047"/>
      <c r="Q39" s="1051">
        <v>0.33800000000000002</v>
      </c>
      <c r="R39" s="1051"/>
      <c r="S39" s="1051">
        <v>1.0397614907400001</v>
      </c>
      <c r="T39" s="1051">
        <v>1.5488939489816029</v>
      </c>
      <c r="U39" s="1051">
        <v>2.7509999999999999</v>
      </c>
      <c r="V39" s="1051">
        <v>0</v>
      </c>
      <c r="W39" s="1051"/>
      <c r="X39" s="912"/>
      <c r="Y39" s="910"/>
      <c r="Z39" s="914"/>
      <c r="AA39" s="917">
        <v>411.95146425902993</v>
      </c>
      <c r="AB39" s="915">
        <f t="shared" si="16"/>
        <v>0</v>
      </c>
      <c r="AC39" s="916"/>
      <c r="AD39" s="914"/>
      <c r="AE39" s="914"/>
      <c r="AF39" s="914"/>
      <c r="AG39" s="964"/>
      <c r="AH39" s="964"/>
      <c r="AI39" s="964"/>
      <c r="AJ39" s="964"/>
      <c r="AK39" s="912"/>
      <c r="AL39" s="910"/>
      <c r="AM39" s="914"/>
      <c r="AN39" s="917"/>
      <c r="AO39" s="917">
        <v>67.595437712394457</v>
      </c>
      <c r="AP39" s="915"/>
      <c r="AQ39" s="918">
        <f t="shared" si="9"/>
        <v>485.22455741114601</v>
      </c>
    </row>
    <row r="40" spans="1:45" ht="12.75" customHeight="1">
      <c r="A40" s="527" t="s">
        <v>162</v>
      </c>
      <c r="B40" s="1053" t="s">
        <v>163</v>
      </c>
      <c r="C40" s="907">
        <f t="shared" si="13"/>
        <v>0</v>
      </c>
      <c r="D40" s="916">
        <v>0</v>
      </c>
      <c r="E40" s="1051"/>
      <c r="F40" s="1051"/>
      <c r="G40" s="1052"/>
      <c r="H40" s="911">
        <f t="shared" si="14"/>
        <v>0</v>
      </c>
      <c r="I40" s="912"/>
      <c r="J40" s="913"/>
      <c r="K40" s="914"/>
      <c r="L40" s="911">
        <f t="shared" si="15"/>
        <v>4.0583976227701353</v>
      </c>
      <c r="M40" s="914"/>
      <c r="N40" s="914"/>
      <c r="O40" s="914"/>
      <c r="P40" s="1047"/>
      <c r="Q40" s="1051">
        <v>0.14399999999999999</v>
      </c>
      <c r="R40" s="1051"/>
      <c r="S40" s="1051">
        <v>0</v>
      </c>
      <c r="T40" s="1051">
        <v>2.2053976227701355</v>
      </c>
      <c r="U40" s="1051">
        <v>1.7090000000000001</v>
      </c>
      <c r="V40" s="1051">
        <v>0</v>
      </c>
      <c r="W40" s="1051"/>
      <c r="X40" s="912"/>
      <c r="Y40" s="910"/>
      <c r="Z40" s="914"/>
      <c r="AA40" s="917">
        <v>14.088542834314019</v>
      </c>
      <c r="AB40" s="915">
        <f t="shared" si="16"/>
        <v>0</v>
      </c>
      <c r="AC40" s="916"/>
      <c r="AD40" s="914"/>
      <c r="AE40" s="914"/>
      <c r="AF40" s="914"/>
      <c r="AG40" s="964"/>
      <c r="AH40" s="964"/>
      <c r="AI40" s="964"/>
      <c r="AJ40" s="964"/>
      <c r="AK40" s="912"/>
      <c r="AL40" s="910"/>
      <c r="AM40" s="914"/>
      <c r="AN40" s="917"/>
      <c r="AO40" s="917">
        <v>17.033790245657055</v>
      </c>
      <c r="AP40" s="915"/>
      <c r="AQ40" s="918">
        <f t="shared" si="9"/>
        <v>35.180730702741215</v>
      </c>
    </row>
    <row r="41" spans="1:45" ht="12.75" customHeight="1">
      <c r="A41" s="527" t="s">
        <v>164</v>
      </c>
      <c r="B41" s="1053" t="s">
        <v>165</v>
      </c>
      <c r="C41" s="907">
        <f t="shared" si="13"/>
        <v>0</v>
      </c>
      <c r="D41" s="1049">
        <v>0</v>
      </c>
      <c r="E41" s="1051"/>
      <c r="F41" s="1051"/>
      <c r="G41" s="1052"/>
      <c r="H41" s="911">
        <f t="shared" si="14"/>
        <v>0</v>
      </c>
      <c r="I41" s="912"/>
      <c r="J41" s="913"/>
      <c r="K41" s="914"/>
      <c r="L41" s="911">
        <f t="shared" si="15"/>
        <v>2.3538976736397665</v>
      </c>
      <c r="M41" s="914"/>
      <c r="N41" s="914"/>
      <c r="O41" s="914"/>
      <c r="P41" s="1047"/>
      <c r="Q41" s="1042">
        <v>0.184</v>
      </c>
      <c r="R41" s="1051"/>
      <c r="S41" s="1042">
        <v>0</v>
      </c>
      <c r="T41" s="1042">
        <v>1.4408976736397665</v>
      </c>
      <c r="U41" s="1042">
        <v>0.72899999999999998</v>
      </c>
      <c r="V41" s="1042">
        <v>0</v>
      </c>
      <c r="W41" s="1051"/>
      <c r="X41" s="912"/>
      <c r="Y41" s="910"/>
      <c r="Z41" s="914"/>
      <c r="AA41" s="1054">
        <v>20.514556235548469</v>
      </c>
      <c r="AB41" s="915">
        <f t="shared" si="16"/>
        <v>0</v>
      </c>
      <c r="AC41" s="916"/>
      <c r="AD41" s="914"/>
      <c r="AE41" s="914"/>
      <c r="AF41" s="914"/>
      <c r="AG41" s="964"/>
      <c r="AH41" s="964"/>
      <c r="AI41" s="964"/>
      <c r="AJ41" s="964"/>
      <c r="AK41" s="1045"/>
      <c r="AL41" s="1047"/>
      <c r="AM41" s="914"/>
      <c r="AN41" s="1054"/>
      <c r="AO41" s="1054">
        <v>88.215343376908805</v>
      </c>
      <c r="AP41" s="915"/>
      <c r="AQ41" s="918">
        <f t="shared" si="9"/>
        <v>111.08379728609704</v>
      </c>
    </row>
    <row r="42" spans="1:45" ht="12.75" customHeight="1">
      <c r="A42" s="527" t="s">
        <v>166</v>
      </c>
      <c r="B42" s="1053" t="s">
        <v>167</v>
      </c>
      <c r="C42" s="907">
        <f t="shared" si="13"/>
        <v>0</v>
      </c>
      <c r="D42" s="916">
        <v>0</v>
      </c>
      <c r="E42" s="1051"/>
      <c r="F42" s="1051"/>
      <c r="G42" s="1052"/>
      <c r="H42" s="911">
        <f t="shared" si="14"/>
        <v>0</v>
      </c>
      <c r="I42" s="912"/>
      <c r="J42" s="913"/>
      <c r="K42" s="914"/>
      <c r="L42" s="911">
        <f t="shared" si="15"/>
        <v>1.2106523548972861</v>
      </c>
      <c r="M42" s="914"/>
      <c r="N42" s="914"/>
      <c r="O42" s="914"/>
      <c r="P42" s="1047"/>
      <c r="Q42" s="1051">
        <v>6.6000000000000003E-2</v>
      </c>
      <c r="R42" s="1051"/>
      <c r="S42" s="1051">
        <v>0</v>
      </c>
      <c r="T42" s="1051">
        <v>0.92365235489728603</v>
      </c>
      <c r="U42" s="1051">
        <v>0.221</v>
      </c>
      <c r="V42" s="1051">
        <v>0</v>
      </c>
      <c r="W42" s="1051"/>
      <c r="X42" s="912"/>
      <c r="Y42" s="910"/>
      <c r="Z42" s="914"/>
      <c r="AA42" s="917">
        <v>0.86574847863158677</v>
      </c>
      <c r="AB42" s="915">
        <f t="shared" si="16"/>
        <v>0</v>
      </c>
      <c r="AC42" s="916"/>
      <c r="AD42" s="914"/>
      <c r="AE42" s="914"/>
      <c r="AF42" s="914"/>
      <c r="AG42" s="964"/>
      <c r="AH42" s="964"/>
      <c r="AI42" s="964"/>
      <c r="AJ42" s="964"/>
      <c r="AK42" s="1010"/>
      <c r="AL42" s="1006"/>
      <c r="AM42" s="914"/>
      <c r="AN42" s="1011"/>
      <c r="AO42" s="917">
        <v>2.5758112476166248</v>
      </c>
      <c r="AP42" s="915"/>
      <c r="AQ42" s="918">
        <f t="shared" si="9"/>
        <v>4.6522120811454979</v>
      </c>
    </row>
    <row r="43" spans="1:45" ht="12.75" customHeight="1">
      <c r="A43" s="527" t="s">
        <v>168</v>
      </c>
      <c r="B43" s="1053" t="s">
        <v>169</v>
      </c>
      <c r="C43" s="907">
        <f t="shared" si="13"/>
        <v>0</v>
      </c>
      <c r="D43" s="916">
        <v>0</v>
      </c>
      <c r="E43" s="1051"/>
      <c r="F43" s="1051"/>
      <c r="G43" s="1052"/>
      <c r="H43" s="911">
        <f t="shared" si="14"/>
        <v>0</v>
      </c>
      <c r="I43" s="912"/>
      <c r="J43" s="913"/>
      <c r="K43" s="914">
        <v>0</v>
      </c>
      <c r="L43" s="911">
        <f t="shared" si="15"/>
        <v>12.040386855324506</v>
      </c>
      <c r="M43" s="914"/>
      <c r="N43" s="914"/>
      <c r="O43" s="914"/>
      <c r="P43" s="910"/>
      <c r="Q43" s="1051">
        <v>0.29299999999999998</v>
      </c>
      <c r="R43" s="1051"/>
      <c r="S43" s="1051">
        <v>3.6425061461249997</v>
      </c>
      <c r="T43" s="1051">
        <v>4.9848807091995067</v>
      </c>
      <c r="U43" s="1051">
        <v>3.12</v>
      </c>
      <c r="V43" s="1051">
        <v>0</v>
      </c>
      <c r="W43" s="1051"/>
      <c r="X43" s="912"/>
      <c r="Y43" s="910"/>
      <c r="Z43" s="914"/>
      <c r="AA43" s="917">
        <v>49.987455777023783</v>
      </c>
      <c r="AB43" s="915">
        <f t="shared" si="16"/>
        <v>0</v>
      </c>
      <c r="AC43" s="916"/>
      <c r="AD43" s="914"/>
      <c r="AE43" s="914"/>
      <c r="AF43" s="914"/>
      <c r="AG43" s="914"/>
      <c r="AH43" s="914"/>
      <c r="AI43" s="914"/>
      <c r="AJ43" s="914"/>
      <c r="AK43" s="912"/>
      <c r="AL43" s="910"/>
      <c r="AM43" s="914"/>
      <c r="AN43" s="917"/>
      <c r="AO43" s="917">
        <v>50.192200180420599</v>
      </c>
      <c r="AP43" s="915"/>
      <c r="AQ43" s="918">
        <f t="shared" si="9"/>
        <v>112.2200428127689</v>
      </c>
    </row>
    <row r="44" spans="1:45" ht="12.75" customHeight="1">
      <c r="A44" s="528" t="s">
        <v>784</v>
      </c>
      <c r="B44" s="1055" t="s">
        <v>785</v>
      </c>
      <c r="C44" s="966">
        <f>SUM(D44:G44)</f>
        <v>0</v>
      </c>
      <c r="D44" s="973">
        <v>0</v>
      </c>
      <c r="E44" s="1056"/>
      <c r="F44" s="1056"/>
      <c r="G44" s="1057"/>
      <c r="H44" s="970">
        <f>SUM(I44:K44)</f>
        <v>0</v>
      </c>
      <c r="I44" s="967"/>
      <c r="J44" s="968"/>
      <c r="K44" s="968"/>
      <c r="L44" s="970">
        <f>SUM(M44:Z44)</f>
        <v>32.705149888372631</v>
      </c>
      <c r="M44" s="968"/>
      <c r="N44" s="968"/>
      <c r="O44" s="968"/>
      <c r="P44" s="969"/>
      <c r="Q44" s="1056">
        <v>0.70131177564926306</v>
      </c>
      <c r="R44" s="1056"/>
      <c r="S44" s="1056">
        <v>0</v>
      </c>
      <c r="T44" s="1056">
        <v>0.47390520196714231</v>
      </c>
      <c r="U44" s="1056">
        <v>31.529932910756227</v>
      </c>
      <c r="V44" s="1056">
        <v>0</v>
      </c>
      <c r="W44" s="1056"/>
      <c r="X44" s="967"/>
      <c r="Y44" s="969"/>
      <c r="Z44" s="968"/>
      <c r="AA44" s="974">
        <v>4.0968183012521333</v>
      </c>
      <c r="AB44" s="972">
        <f>SUM(AC44:AM44)</f>
        <v>0</v>
      </c>
      <c r="AC44" s="973"/>
      <c r="AD44" s="968"/>
      <c r="AE44" s="968"/>
      <c r="AF44" s="968"/>
      <c r="AG44" s="968"/>
      <c r="AH44" s="968"/>
      <c r="AI44" s="968"/>
      <c r="AJ44" s="968"/>
      <c r="AK44" s="967"/>
      <c r="AL44" s="969"/>
      <c r="AM44" s="968"/>
      <c r="AN44" s="974"/>
      <c r="AO44" s="974">
        <v>9.9430290573801638</v>
      </c>
      <c r="AP44" s="972"/>
      <c r="AQ44" s="975">
        <f>C44+H44+L44+AA44+AB44+AN44+AO44+AP44</f>
        <v>46.744997247004932</v>
      </c>
    </row>
    <row r="45" spans="1:45" s="5" customFormat="1" ht="12.75" customHeight="1">
      <c r="A45" s="61" t="s">
        <v>170</v>
      </c>
      <c r="B45" s="976"/>
      <c r="C45" s="1058">
        <f t="shared" ref="C45:AP45" si="17">SUM(C46:C55)</f>
        <v>0</v>
      </c>
      <c r="D45" s="1059">
        <f t="shared" si="17"/>
        <v>0</v>
      </c>
      <c r="E45" s="1059">
        <f t="shared" si="17"/>
        <v>0</v>
      </c>
      <c r="F45" s="1060">
        <f t="shared" si="17"/>
        <v>0</v>
      </c>
      <c r="G45" s="1060">
        <f t="shared" si="17"/>
        <v>0</v>
      </c>
      <c r="H45" s="1061">
        <f t="shared" si="17"/>
        <v>0</v>
      </c>
      <c r="I45" s="1062">
        <f t="shared" si="17"/>
        <v>0</v>
      </c>
      <c r="J45" s="1063">
        <f t="shared" si="17"/>
        <v>0</v>
      </c>
      <c r="K45" s="1059">
        <f t="shared" si="17"/>
        <v>0</v>
      </c>
      <c r="L45" s="1061">
        <f t="shared" si="17"/>
        <v>5012.6665578559823</v>
      </c>
      <c r="M45" s="1059">
        <f t="shared" si="17"/>
        <v>0</v>
      </c>
      <c r="N45" s="1059">
        <f>SUM(N46:N55)</f>
        <v>0</v>
      </c>
      <c r="O45" s="1059">
        <f t="shared" si="17"/>
        <v>0</v>
      </c>
      <c r="P45" s="1059">
        <f t="shared" si="17"/>
        <v>824.24502392197087</v>
      </c>
      <c r="Q45" s="1059">
        <f t="shared" si="17"/>
        <v>0</v>
      </c>
      <c r="R45" s="1059">
        <f t="shared" si="17"/>
        <v>1102.8442060797599</v>
      </c>
      <c r="S45" s="1059">
        <f t="shared" si="17"/>
        <v>0</v>
      </c>
      <c r="T45" s="1059">
        <f t="shared" si="17"/>
        <v>1.8520724281984335</v>
      </c>
      <c r="U45" s="1059">
        <f>SUM(U46:U55)</f>
        <v>3083.7252554260544</v>
      </c>
      <c r="V45" s="1059">
        <f t="shared" si="17"/>
        <v>0</v>
      </c>
      <c r="W45" s="1060">
        <f t="shared" si="17"/>
        <v>0</v>
      </c>
      <c r="X45" s="1060">
        <f t="shared" si="17"/>
        <v>0</v>
      </c>
      <c r="Y45" s="1060">
        <f t="shared" si="17"/>
        <v>0</v>
      </c>
      <c r="Z45" s="1059">
        <f t="shared" si="17"/>
        <v>0</v>
      </c>
      <c r="AA45" s="1061">
        <f t="shared" si="17"/>
        <v>22.560835415583806</v>
      </c>
      <c r="AB45" s="1064">
        <f t="shared" si="17"/>
        <v>154.23960204369604</v>
      </c>
      <c r="AC45" s="1065">
        <f t="shared" si="17"/>
        <v>0</v>
      </c>
      <c r="AD45" s="1059">
        <f t="shared" si="17"/>
        <v>0</v>
      </c>
      <c r="AE45" s="1059">
        <f t="shared" si="17"/>
        <v>0</v>
      </c>
      <c r="AF45" s="1059">
        <f>SUM(AF46:AF55)</f>
        <v>0</v>
      </c>
      <c r="AG45" s="1059">
        <f t="shared" si="17"/>
        <v>0</v>
      </c>
      <c r="AH45" s="1059">
        <f t="shared" si="17"/>
        <v>0</v>
      </c>
      <c r="AI45" s="1059">
        <f t="shared" si="17"/>
        <v>126.96834918892804</v>
      </c>
      <c r="AJ45" s="1059">
        <f>SUM(AJ46:AJ55)</f>
        <v>27.271252854767994</v>
      </c>
      <c r="AK45" s="1062">
        <f t="shared" si="17"/>
        <v>0</v>
      </c>
      <c r="AL45" s="1060">
        <f>SUM(AL46:AL55)</f>
        <v>0</v>
      </c>
      <c r="AM45" s="1059">
        <f t="shared" si="17"/>
        <v>0</v>
      </c>
      <c r="AN45" s="1061">
        <f t="shared" si="17"/>
        <v>0</v>
      </c>
      <c r="AO45" s="1061">
        <f t="shared" si="17"/>
        <v>5.3733816232262495</v>
      </c>
      <c r="AP45" s="1064">
        <f t="shared" si="17"/>
        <v>0</v>
      </c>
      <c r="AQ45" s="1066">
        <f t="shared" si="9"/>
        <v>5194.8403769384886</v>
      </c>
      <c r="AR45" s="1"/>
      <c r="AS45" s="4"/>
    </row>
    <row r="46" spans="1:45" ht="12.75" customHeight="1">
      <c r="A46" s="529" t="s">
        <v>171</v>
      </c>
      <c r="B46" s="953"/>
      <c r="C46" s="954">
        <f t="shared" ref="C46:C64" si="18">SUM(D46:G46)</f>
        <v>0</v>
      </c>
      <c r="D46" s="1067"/>
      <c r="E46" s="1002"/>
      <c r="F46" s="957"/>
      <c r="G46" s="957"/>
      <c r="H46" s="958">
        <f t="shared" ref="H46:H64" si="19">SUM(I46:K46)</f>
        <v>0</v>
      </c>
      <c r="I46" s="955"/>
      <c r="J46" s="959"/>
      <c r="K46" s="956"/>
      <c r="L46" s="958">
        <f t="shared" ref="L46:L64" si="20">SUM(M46:Z46)</f>
        <v>703.5908900281911</v>
      </c>
      <c r="M46" s="956"/>
      <c r="N46" s="956"/>
      <c r="O46" s="956"/>
      <c r="P46" s="956"/>
      <c r="Q46" s="956"/>
      <c r="R46" s="956"/>
      <c r="S46" s="956"/>
      <c r="T46" s="956"/>
      <c r="U46" s="956">
        <v>703.5908900281911</v>
      </c>
      <c r="V46" s="956"/>
      <c r="W46" s="957"/>
      <c r="X46" s="957"/>
      <c r="Y46" s="957"/>
      <c r="Z46" s="956"/>
      <c r="AA46" s="962">
        <v>2.9723185667999998E-2</v>
      </c>
      <c r="AB46" s="960">
        <f t="shared" ref="AB46:AB64" si="21">SUM(AC46:AM46)</f>
        <v>30.162309971808927</v>
      </c>
      <c r="AC46" s="961"/>
      <c r="AD46" s="956"/>
      <c r="AE46" s="956"/>
      <c r="AF46" s="956"/>
      <c r="AG46" s="956"/>
      <c r="AH46" s="956"/>
      <c r="AI46" s="956">
        <v>30.162309971808927</v>
      </c>
      <c r="AJ46" s="956">
        <v>0</v>
      </c>
      <c r="AK46" s="955"/>
      <c r="AL46" s="957"/>
      <c r="AM46" s="956"/>
      <c r="AN46" s="958"/>
      <c r="AO46" s="962"/>
      <c r="AP46" s="960"/>
      <c r="AQ46" s="987">
        <f t="shared" si="9"/>
        <v>733.78292318566798</v>
      </c>
    </row>
    <row r="47" spans="1:45" ht="12.75" customHeight="1">
      <c r="A47" s="526" t="s">
        <v>172</v>
      </c>
      <c r="B47" s="1068"/>
      <c r="C47" s="907">
        <f t="shared" si="18"/>
        <v>0</v>
      </c>
      <c r="D47" s="1069"/>
      <c r="E47" s="1070"/>
      <c r="F47" s="1047"/>
      <c r="G47" s="1047"/>
      <c r="H47" s="911">
        <f t="shared" si="19"/>
        <v>0</v>
      </c>
      <c r="I47" s="1045"/>
      <c r="J47" s="1046"/>
      <c r="K47" s="964"/>
      <c r="L47" s="1044">
        <f t="shared" si="20"/>
        <v>329.18377939153407</v>
      </c>
      <c r="M47" s="964"/>
      <c r="N47" s="964"/>
      <c r="O47" s="964"/>
      <c r="P47" s="964"/>
      <c r="Q47" s="964"/>
      <c r="R47" s="964"/>
      <c r="S47" s="964"/>
      <c r="T47" s="964"/>
      <c r="U47" s="964">
        <v>329.18377939153407</v>
      </c>
      <c r="V47" s="964"/>
      <c r="W47" s="1047"/>
      <c r="X47" s="1047"/>
      <c r="Y47" s="1047"/>
      <c r="Z47" s="964"/>
      <c r="AA47" s="1054"/>
      <c r="AB47" s="1048">
        <f t="shared" si="21"/>
        <v>14.111813174984674</v>
      </c>
      <c r="AC47" s="1049"/>
      <c r="AD47" s="964"/>
      <c r="AE47" s="964"/>
      <c r="AF47" s="964"/>
      <c r="AG47" s="964"/>
      <c r="AH47" s="964"/>
      <c r="AI47" s="964">
        <v>14.111813174984674</v>
      </c>
      <c r="AJ47" s="964">
        <v>0</v>
      </c>
      <c r="AK47" s="1045"/>
      <c r="AL47" s="1047"/>
      <c r="AM47" s="964"/>
      <c r="AN47" s="1044"/>
      <c r="AO47" s="1054"/>
      <c r="AP47" s="1048"/>
      <c r="AQ47" s="963">
        <f t="shared" si="9"/>
        <v>343.29559256651874</v>
      </c>
    </row>
    <row r="48" spans="1:45" ht="12.75" customHeight="1">
      <c r="A48" s="527" t="s">
        <v>173</v>
      </c>
      <c r="B48" s="906"/>
      <c r="C48" s="907">
        <f t="shared" si="18"/>
        <v>0</v>
      </c>
      <c r="D48" s="908"/>
      <c r="E48" s="919"/>
      <c r="F48" s="910"/>
      <c r="G48" s="910"/>
      <c r="H48" s="911">
        <f t="shared" si="19"/>
        <v>0</v>
      </c>
      <c r="I48" s="912"/>
      <c r="J48" s="913"/>
      <c r="K48" s="914"/>
      <c r="L48" s="911">
        <f t="shared" si="20"/>
        <v>1988.8117004276846</v>
      </c>
      <c r="M48" s="914"/>
      <c r="N48" s="914"/>
      <c r="O48" s="914"/>
      <c r="P48" s="914">
        <v>674.58043053629058</v>
      </c>
      <c r="Q48" s="914"/>
      <c r="R48" s="914"/>
      <c r="S48" s="914"/>
      <c r="T48" s="914">
        <v>1.8520724281984335</v>
      </c>
      <c r="U48" s="914">
        <v>1312.3791974631956</v>
      </c>
      <c r="V48" s="914"/>
      <c r="W48" s="910"/>
      <c r="X48" s="910"/>
      <c r="Y48" s="910"/>
      <c r="Z48" s="914"/>
      <c r="AA48" s="917"/>
      <c r="AB48" s="915">
        <f t="shared" si="21"/>
        <v>78.598025526444061</v>
      </c>
      <c r="AC48" s="916"/>
      <c r="AD48" s="914"/>
      <c r="AE48" s="914"/>
      <c r="AF48" s="914"/>
      <c r="AG48" s="914"/>
      <c r="AH48" s="914"/>
      <c r="AI48" s="914">
        <v>56.260518314631256</v>
      </c>
      <c r="AJ48" s="914">
        <v>22.33750721181281</v>
      </c>
      <c r="AK48" s="912"/>
      <c r="AL48" s="910"/>
      <c r="AM48" s="914"/>
      <c r="AN48" s="911"/>
      <c r="AO48" s="917">
        <v>1.0652907432262495</v>
      </c>
      <c r="AP48" s="915"/>
      <c r="AQ48" s="918">
        <f t="shared" si="9"/>
        <v>2068.4750166973549</v>
      </c>
    </row>
    <row r="49" spans="1:45" ht="12.75" customHeight="1">
      <c r="A49" s="527" t="s">
        <v>174</v>
      </c>
      <c r="B49" s="906"/>
      <c r="C49" s="907">
        <f t="shared" si="18"/>
        <v>0</v>
      </c>
      <c r="D49" s="908"/>
      <c r="E49" s="919"/>
      <c r="F49" s="910"/>
      <c r="G49" s="910"/>
      <c r="H49" s="911">
        <f t="shared" si="19"/>
        <v>0</v>
      </c>
      <c r="I49" s="912"/>
      <c r="J49" s="913"/>
      <c r="K49" s="914"/>
      <c r="L49" s="911">
        <f t="shared" si="20"/>
        <v>132.19128758585111</v>
      </c>
      <c r="M49" s="914"/>
      <c r="N49" s="914"/>
      <c r="O49" s="914"/>
      <c r="P49" s="914">
        <v>6.5053363986760129</v>
      </c>
      <c r="Q49" s="914"/>
      <c r="R49" s="914"/>
      <c r="S49" s="914"/>
      <c r="T49" s="914"/>
      <c r="U49" s="914">
        <v>125.68595118717511</v>
      </c>
      <c r="V49" s="914"/>
      <c r="W49" s="910"/>
      <c r="X49" s="910"/>
      <c r="Y49" s="910"/>
      <c r="Z49" s="914"/>
      <c r="AA49" s="917"/>
      <c r="AB49" s="915">
        <f t="shared" si="21"/>
        <v>5.6034563359273175</v>
      </c>
      <c r="AC49" s="916"/>
      <c r="AD49" s="914"/>
      <c r="AE49" s="914"/>
      <c r="AF49" s="914"/>
      <c r="AG49" s="914"/>
      <c r="AH49" s="914"/>
      <c r="AI49" s="914">
        <v>5.3880439223102039</v>
      </c>
      <c r="AJ49" s="914">
        <v>0.21541241361711327</v>
      </c>
      <c r="AK49" s="912"/>
      <c r="AL49" s="910"/>
      <c r="AM49" s="914"/>
      <c r="AN49" s="911"/>
      <c r="AO49" s="917"/>
      <c r="AP49" s="915"/>
      <c r="AQ49" s="918">
        <f t="shared" si="9"/>
        <v>137.79474392177843</v>
      </c>
    </row>
    <row r="50" spans="1:45" ht="12.75" customHeight="1">
      <c r="A50" s="527" t="s">
        <v>175</v>
      </c>
      <c r="B50" s="906"/>
      <c r="C50" s="907">
        <f t="shared" si="18"/>
        <v>0</v>
      </c>
      <c r="D50" s="908"/>
      <c r="E50" s="919"/>
      <c r="F50" s="910"/>
      <c r="G50" s="910"/>
      <c r="H50" s="911">
        <f t="shared" si="19"/>
        <v>0</v>
      </c>
      <c r="I50" s="912"/>
      <c r="J50" s="913"/>
      <c r="K50" s="914"/>
      <c r="L50" s="911">
        <f t="shared" si="20"/>
        <v>38.043221783939138</v>
      </c>
      <c r="M50" s="914"/>
      <c r="N50" s="914"/>
      <c r="O50" s="914"/>
      <c r="P50" s="914"/>
      <c r="Q50" s="914"/>
      <c r="R50" s="1071"/>
      <c r="S50" s="914"/>
      <c r="T50" s="914"/>
      <c r="U50" s="914">
        <v>38.043221783939138</v>
      </c>
      <c r="V50" s="914"/>
      <c r="W50" s="910"/>
      <c r="X50" s="910"/>
      <c r="Y50" s="910"/>
      <c r="Z50" s="914"/>
      <c r="AA50" s="917"/>
      <c r="AB50" s="915">
        <f t="shared" si="21"/>
        <v>0</v>
      </c>
      <c r="AC50" s="916"/>
      <c r="AD50" s="914"/>
      <c r="AE50" s="914"/>
      <c r="AF50" s="914"/>
      <c r="AG50" s="914"/>
      <c r="AH50" s="914"/>
      <c r="AI50" s="914">
        <v>0</v>
      </c>
      <c r="AJ50" s="914"/>
      <c r="AK50" s="912"/>
      <c r="AL50" s="910"/>
      <c r="AM50" s="914"/>
      <c r="AN50" s="911"/>
      <c r="AO50" s="917">
        <v>4.30809088</v>
      </c>
      <c r="AP50" s="915"/>
      <c r="AQ50" s="918">
        <f t="shared" si="9"/>
        <v>42.35131266393914</v>
      </c>
    </row>
    <row r="51" spans="1:45" ht="12.75" customHeight="1">
      <c r="A51" s="527" t="s">
        <v>176</v>
      </c>
      <c r="B51" s="906"/>
      <c r="C51" s="907">
        <f t="shared" si="18"/>
        <v>0</v>
      </c>
      <c r="D51" s="908"/>
      <c r="E51" s="919"/>
      <c r="F51" s="910"/>
      <c r="G51" s="910"/>
      <c r="H51" s="911">
        <f t="shared" si="19"/>
        <v>0</v>
      </c>
      <c r="I51" s="912"/>
      <c r="J51" s="913"/>
      <c r="K51" s="914"/>
      <c r="L51" s="911">
        <f t="shared" si="20"/>
        <v>5.5768892778871395</v>
      </c>
      <c r="M51" s="914"/>
      <c r="N51" s="914"/>
      <c r="O51" s="914"/>
      <c r="P51" s="914">
        <v>0.66818888888888883</v>
      </c>
      <c r="Q51" s="914"/>
      <c r="R51" s="914">
        <v>4.908700388998251</v>
      </c>
      <c r="S51" s="914"/>
      <c r="T51" s="914"/>
      <c r="U51" s="914"/>
      <c r="V51" s="914"/>
      <c r="W51" s="910"/>
      <c r="X51" s="910"/>
      <c r="Y51" s="910"/>
      <c r="Z51" s="914"/>
      <c r="AA51" s="917"/>
      <c r="AB51" s="915">
        <f t="shared" si="21"/>
        <v>0</v>
      </c>
      <c r="AC51" s="916"/>
      <c r="AD51" s="914"/>
      <c r="AE51" s="914"/>
      <c r="AF51" s="914"/>
      <c r="AG51" s="914"/>
      <c r="AH51" s="914"/>
      <c r="AI51" s="914"/>
      <c r="AJ51" s="914"/>
      <c r="AK51" s="912"/>
      <c r="AL51" s="910"/>
      <c r="AM51" s="914"/>
      <c r="AN51" s="911"/>
      <c r="AO51" s="917"/>
      <c r="AP51" s="915"/>
      <c r="AQ51" s="918">
        <f t="shared" si="9"/>
        <v>5.5768892778871395</v>
      </c>
    </row>
    <row r="52" spans="1:45" ht="12.75" customHeight="1">
      <c r="A52" s="527" t="s">
        <v>177</v>
      </c>
      <c r="B52" s="1053"/>
      <c r="C52" s="1072">
        <f t="shared" si="18"/>
        <v>0</v>
      </c>
      <c r="D52" s="1071"/>
      <c r="E52" s="1071"/>
      <c r="F52" s="1073"/>
      <c r="G52" s="1073"/>
      <c r="H52" s="1074">
        <f t="shared" si="19"/>
        <v>0</v>
      </c>
      <c r="I52" s="1075"/>
      <c r="J52" s="1076"/>
      <c r="K52" s="1071"/>
      <c r="L52" s="1074">
        <f t="shared" si="20"/>
        <v>1097.9355056907616</v>
      </c>
      <c r="M52" s="1071"/>
      <c r="N52" s="1071"/>
      <c r="O52" s="1071"/>
      <c r="P52" s="964"/>
      <c r="Q52" s="1071"/>
      <c r="R52" s="1071">
        <v>1097.9355056907616</v>
      </c>
      <c r="S52" s="1071"/>
      <c r="T52" s="1071"/>
      <c r="U52" s="1071"/>
      <c r="V52" s="1071"/>
      <c r="W52" s="1073"/>
      <c r="X52" s="1073"/>
      <c r="Y52" s="1073"/>
      <c r="Z52" s="1071"/>
      <c r="AA52" s="1054"/>
      <c r="AB52" s="1077">
        <f t="shared" si="21"/>
        <v>0</v>
      </c>
      <c r="AC52" s="1078"/>
      <c r="AD52" s="1071"/>
      <c r="AE52" s="1071"/>
      <c r="AF52" s="1071"/>
      <c r="AG52" s="1071"/>
      <c r="AH52" s="1071"/>
      <c r="AI52" s="1071"/>
      <c r="AJ52" s="1071"/>
      <c r="AK52" s="1045"/>
      <c r="AL52" s="1047"/>
      <c r="AM52" s="1071"/>
      <c r="AN52" s="1054"/>
      <c r="AO52" s="1054"/>
      <c r="AP52" s="1077"/>
      <c r="AQ52" s="1079">
        <f t="shared" si="9"/>
        <v>1097.9355056907616</v>
      </c>
    </row>
    <row r="53" spans="1:45" ht="12.75" customHeight="1">
      <c r="A53" s="527" t="s">
        <v>178</v>
      </c>
      <c r="B53" s="1053"/>
      <c r="C53" s="1072">
        <f t="shared" si="18"/>
        <v>0</v>
      </c>
      <c r="D53" s="1075"/>
      <c r="E53" s="1071"/>
      <c r="F53" s="1073"/>
      <c r="G53" s="1073"/>
      <c r="H53" s="1074">
        <f t="shared" si="19"/>
        <v>0</v>
      </c>
      <c r="I53" s="1075"/>
      <c r="J53" s="1076"/>
      <c r="K53" s="1071"/>
      <c r="L53" s="1074">
        <f t="shared" si="20"/>
        <v>176.59351048332516</v>
      </c>
      <c r="M53" s="1071"/>
      <c r="N53" s="1071"/>
      <c r="O53" s="1071"/>
      <c r="P53" s="1071">
        <v>0</v>
      </c>
      <c r="Q53" s="1071"/>
      <c r="R53" s="1071"/>
      <c r="S53" s="1071"/>
      <c r="T53" s="1071"/>
      <c r="U53" s="1071">
        <v>176.59351048332516</v>
      </c>
      <c r="V53" s="1071"/>
      <c r="W53" s="1073"/>
      <c r="X53" s="1073"/>
      <c r="Y53" s="1073"/>
      <c r="Z53" s="1071"/>
      <c r="AA53" s="1054"/>
      <c r="AB53" s="1077">
        <f t="shared" si="21"/>
        <v>7.570405299014781</v>
      </c>
      <c r="AC53" s="1078"/>
      <c r="AD53" s="1071"/>
      <c r="AE53" s="1071"/>
      <c r="AF53" s="1071"/>
      <c r="AG53" s="1071"/>
      <c r="AH53" s="1071"/>
      <c r="AI53" s="914">
        <v>7.570405299014781</v>
      </c>
      <c r="AJ53" s="914">
        <v>0</v>
      </c>
      <c r="AK53" s="1071"/>
      <c r="AL53" s="1071"/>
      <c r="AM53" s="1071"/>
      <c r="AN53" s="1054"/>
      <c r="AO53" s="917"/>
      <c r="AP53" s="1077"/>
      <c r="AQ53" s="1079">
        <f t="shared" si="9"/>
        <v>184.16391578233996</v>
      </c>
    </row>
    <row r="54" spans="1:45" ht="12.75" customHeight="1">
      <c r="A54" s="516" t="s">
        <v>179</v>
      </c>
      <c r="B54" s="906"/>
      <c r="C54" s="1072">
        <f t="shared" si="18"/>
        <v>0</v>
      </c>
      <c r="D54" s="1075"/>
      <c r="E54" s="1071"/>
      <c r="F54" s="1073"/>
      <c r="G54" s="1073"/>
      <c r="H54" s="1074">
        <f t="shared" si="19"/>
        <v>0</v>
      </c>
      <c r="I54" s="1075"/>
      <c r="J54" s="1076"/>
      <c r="K54" s="1071"/>
      <c r="L54" s="1074">
        <f t="shared" si="20"/>
        <v>83.913724293678101</v>
      </c>
      <c r="M54" s="1071"/>
      <c r="N54" s="1071"/>
      <c r="O54" s="1071"/>
      <c r="P54" s="1071"/>
      <c r="Q54" s="1071"/>
      <c r="R54" s="1071"/>
      <c r="S54" s="1071"/>
      <c r="T54" s="1071"/>
      <c r="U54" s="1071">
        <v>83.913724293678101</v>
      </c>
      <c r="V54" s="1071"/>
      <c r="W54" s="1073"/>
      <c r="X54" s="1073"/>
      <c r="Y54" s="1073"/>
      <c r="Z54" s="1071"/>
      <c r="AA54" s="1011"/>
      <c r="AB54" s="1077">
        <f t="shared" si="21"/>
        <v>0</v>
      </c>
      <c r="AC54" s="1078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1011"/>
      <c r="AO54" s="1054"/>
      <c r="AP54" s="1077"/>
      <c r="AQ54" s="1079">
        <f t="shared" si="9"/>
        <v>83.913724293678101</v>
      </c>
    </row>
    <row r="55" spans="1:45" ht="12.75" customHeight="1">
      <c r="A55" s="521" t="s">
        <v>180</v>
      </c>
      <c r="B55" s="965"/>
      <c r="C55" s="966">
        <f t="shared" si="18"/>
        <v>0</v>
      </c>
      <c r="D55" s="1080"/>
      <c r="E55" s="1081"/>
      <c r="F55" s="969"/>
      <c r="G55" s="969"/>
      <c r="H55" s="970">
        <f t="shared" si="19"/>
        <v>0</v>
      </c>
      <c r="I55" s="967"/>
      <c r="J55" s="971"/>
      <c r="K55" s="968"/>
      <c r="L55" s="970">
        <f t="shared" si="20"/>
        <v>456.8260488931312</v>
      </c>
      <c r="M55" s="968"/>
      <c r="N55" s="968"/>
      <c r="O55" s="968"/>
      <c r="P55" s="968">
        <v>142.49106809811542</v>
      </c>
      <c r="Q55" s="968"/>
      <c r="R55" s="968"/>
      <c r="S55" s="968">
        <v>0</v>
      </c>
      <c r="T55" s="968"/>
      <c r="U55" s="968">
        <v>314.33498079501578</v>
      </c>
      <c r="V55" s="968"/>
      <c r="W55" s="969"/>
      <c r="X55" s="969"/>
      <c r="Y55" s="969"/>
      <c r="Z55" s="968"/>
      <c r="AA55" s="974">
        <v>22.531112229915806</v>
      </c>
      <c r="AB55" s="972">
        <f t="shared" si="21"/>
        <v>18.193591735516275</v>
      </c>
      <c r="AC55" s="973"/>
      <c r="AD55" s="968"/>
      <c r="AE55" s="968"/>
      <c r="AF55" s="968"/>
      <c r="AG55" s="968"/>
      <c r="AH55" s="968"/>
      <c r="AI55" s="968">
        <v>13.475258506178202</v>
      </c>
      <c r="AJ55" s="968">
        <v>4.7183332293380724</v>
      </c>
      <c r="AK55" s="967"/>
      <c r="AL55" s="969"/>
      <c r="AM55" s="968"/>
      <c r="AN55" s="970"/>
      <c r="AO55" s="974"/>
      <c r="AP55" s="972"/>
      <c r="AQ55" s="975">
        <f t="shared" si="9"/>
        <v>497.55075285856333</v>
      </c>
    </row>
    <row r="56" spans="1:45" s="18" customFormat="1" ht="12.75" customHeight="1">
      <c r="A56" s="61" t="s">
        <v>1</v>
      </c>
      <c r="B56" s="1082"/>
      <c r="C56" s="1083">
        <f t="shared" si="18"/>
        <v>216.79218330365393</v>
      </c>
      <c r="D56" s="1084">
        <v>115.30751795563631</v>
      </c>
      <c r="E56" s="909">
        <v>89.647280058277374</v>
      </c>
      <c r="F56" s="1085"/>
      <c r="G56" s="1085">
        <v>11.837385289740231</v>
      </c>
      <c r="H56" s="1086">
        <f t="shared" si="19"/>
        <v>196.53880633</v>
      </c>
      <c r="I56" s="1084"/>
      <c r="J56" s="1087">
        <v>127.70399999999999</v>
      </c>
      <c r="K56" s="985">
        <v>68.834806329999992</v>
      </c>
      <c r="L56" s="1086">
        <f t="shared" si="20"/>
        <v>1254.8255059886615</v>
      </c>
      <c r="M56" s="985"/>
      <c r="N56" s="985"/>
      <c r="O56" s="985"/>
      <c r="P56" s="985">
        <v>0</v>
      </c>
      <c r="Q56" s="985">
        <v>865.67110107427072</v>
      </c>
      <c r="R56" s="985"/>
      <c r="S56" s="985">
        <v>0</v>
      </c>
      <c r="T56" s="985">
        <v>53.841522983216713</v>
      </c>
      <c r="U56" s="985">
        <v>329.909010207883</v>
      </c>
      <c r="V56" s="985">
        <v>5.4038717232911377</v>
      </c>
      <c r="W56" s="1085"/>
      <c r="X56" s="1085"/>
      <c r="Y56" s="1085"/>
      <c r="Z56" s="985"/>
      <c r="AA56" s="1086">
        <v>604.09375845912712</v>
      </c>
      <c r="AB56" s="1088">
        <f t="shared" si="21"/>
        <v>71.026669556951646</v>
      </c>
      <c r="AC56" s="1089"/>
      <c r="AD56" s="985"/>
      <c r="AE56" s="985">
        <v>29.776082158378955</v>
      </c>
      <c r="AF56" s="985"/>
      <c r="AG56" s="985"/>
      <c r="AH56" s="985"/>
      <c r="AI56" s="985"/>
      <c r="AJ56" s="985"/>
      <c r="AK56" s="1084"/>
      <c r="AL56" s="1085">
        <v>13.379590942008413</v>
      </c>
      <c r="AM56" s="985">
        <v>27.870996456564281</v>
      </c>
      <c r="AN56" s="1086"/>
      <c r="AO56" s="1086">
        <v>702.94473599999992</v>
      </c>
      <c r="AP56" s="1088"/>
      <c r="AQ56" s="986">
        <f t="shared" si="9"/>
        <v>3046.2216596383942</v>
      </c>
      <c r="AR56" s="16"/>
      <c r="AS56" s="17"/>
    </row>
    <row r="57" spans="1:45" s="5" customFormat="1" ht="12.75" customHeight="1">
      <c r="A57" s="530" t="s">
        <v>786</v>
      </c>
      <c r="B57" s="1082"/>
      <c r="C57" s="1083">
        <f>C58+C65</f>
        <v>0.51992180451127823</v>
      </c>
      <c r="D57" s="985">
        <f t="shared" ref="D57:AP57" si="22">D58+D65</f>
        <v>0.51992180451127823</v>
      </c>
      <c r="E57" s="985">
        <f t="shared" si="22"/>
        <v>0</v>
      </c>
      <c r="F57" s="1085">
        <f t="shared" si="22"/>
        <v>0</v>
      </c>
      <c r="G57" s="1085">
        <f t="shared" si="22"/>
        <v>0</v>
      </c>
      <c r="H57" s="1086">
        <f t="shared" si="22"/>
        <v>0</v>
      </c>
      <c r="I57" s="1084">
        <f t="shared" si="22"/>
        <v>0</v>
      </c>
      <c r="J57" s="1084">
        <f t="shared" si="22"/>
        <v>0</v>
      </c>
      <c r="K57" s="1084">
        <f t="shared" si="22"/>
        <v>0</v>
      </c>
      <c r="L57" s="1086">
        <f t="shared" si="22"/>
        <v>240.86725727408077</v>
      </c>
      <c r="M57" s="985">
        <f t="shared" si="22"/>
        <v>0</v>
      </c>
      <c r="N57" s="985">
        <f t="shared" si="22"/>
        <v>0</v>
      </c>
      <c r="O57" s="985">
        <f t="shared" si="22"/>
        <v>0</v>
      </c>
      <c r="P57" s="985">
        <f t="shared" si="22"/>
        <v>0</v>
      </c>
      <c r="Q57" s="985">
        <f t="shared" si="22"/>
        <v>62.827000000000005</v>
      </c>
      <c r="R57" s="985">
        <f t="shared" si="22"/>
        <v>0</v>
      </c>
      <c r="S57" s="985">
        <f t="shared" si="22"/>
        <v>0.64284746861564912</v>
      </c>
      <c r="T57" s="985">
        <f t="shared" si="22"/>
        <v>70.524409805465098</v>
      </c>
      <c r="U57" s="985">
        <f t="shared" si="22"/>
        <v>106.87300000000002</v>
      </c>
      <c r="V57" s="985">
        <f t="shared" si="22"/>
        <v>0</v>
      </c>
      <c r="W57" s="1085">
        <f t="shared" si="22"/>
        <v>0</v>
      </c>
      <c r="X57" s="1085">
        <f t="shared" si="22"/>
        <v>0</v>
      </c>
      <c r="Y57" s="1085">
        <f t="shared" si="22"/>
        <v>0</v>
      </c>
      <c r="Z57" s="1084">
        <f t="shared" si="22"/>
        <v>0</v>
      </c>
      <c r="AA57" s="1086">
        <f t="shared" si="22"/>
        <v>328.6198962047896</v>
      </c>
      <c r="AB57" s="1088">
        <f t="shared" si="22"/>
        <v>39.433814247868156</v>
      </c>
      <c r="AC57" s="1089">
        <f t="shared" si="22"/>
        <v>0</v>
      </c>
      <c r="AD57" s="985">
        <f t="shared" si="22"/>
        <v>0</v>
      </c>
      <c r="AE57" s="985">
        <f t="shared" si="22"/>
        <v>17.99312324724</v>
      </c>
      <c r="AF57" s="985">
        <f t="shared" si="22"/>
        <v>0</v>
      </c>
      <c r="AG57" s="985">
        <f t="shared" si="22"/>
        <v>0</v>
      </c>
      <c r="AH57" s="985">
        <f t="shared" si="22"/>
        <v>5.621744734795584</v>
      </c>
      <c r="AI57" s="985">
        <f t="shared" si="22"/>
        <v>0</v>
      </c>
      <c r="AJ57" s="985">
        <f t="shared" si="22"/>
        <v>0</v>
      </c>
      <c r="AK57" s="985">
        <f t="shared" si="22"/>
        <v>0</v>
      </c>
      <c r="AL57" s="985">
        <f t="shared" si="22"/>
        <v>0.16649466165720572</v>
      </c>
      <c r="AM57" s="1084">
        <f t="shared" si="22"/>
        <v>15.65245160417537</v>
      </c>
      <c r="AN57" s="1086">
        <f t="shared" si="22"/>
        <v>0</v>
      </c>
      <c r="AO57" s="1086">
        <f t="shared" si="22"/>
        <v>1078.743765043014</v>
      </c>
      <c r="AP57" s="1088">
        <f t="shared" si="22"/>
        <v>0</v>
      </c>
      <c r="AQ57" s="1090">
        <f t="shared" si="9"/>
        <v>1688.184654574264</v>
      </c>
      <c r="AR57" s="1"/>
      <c r="AS57" s="14"/>
    </row>
    <row r="58" spans="1:45" ht="12.75" customHeight="1">
      <c r="A58" s="61" t="s">
        <v>787</v>
      </c>
      <c r="B58" s="1082"/>
      <c r="C58" s="1083">
        <f t="shared" si="18"/>
        <v>0.5149225563909775</v>
      </c>
      <c r="D58" s="1089">
        <v>0.5149225563909775</v>
      </c>
      <c r="E58" s="1088">
        <v>0</v>
      </c>
      <c r="F58" s="1088">
        <f>SUM(F59:F64)</f>
        <v>0</v>
      </c>
      <c r="G58" s="1091">
        <v>0</v>
      </c>
      <c r="H58" s="1086">
        <f t="shared" si="19"/>
        <v>0</v>
      </c>
      <c r="I58" s="1084">
        <f>SUM(I59:I64)</f>
        <v>0</v>
      </c>
      <c r="J58" s="1092">
        <f>SUM(J59:J64)</f>
        <v>0</v>
      </c>
      <c r="K58" s="1084">
        <f>SUM(K59:K64)</f>
        <v>0</v>
      </c>
      <c r="L58" s="1086">
        <f t="shared" si="20"/>
        <v>109.16310972047087</v>
      </c>
      <c r="M58" s="985">
        <f t="shared" ref="M58:AN58" si="23">SUM(M59:M64)</f>
        <v>0</v>
      </c>
      <c r="N58" s="1085">
        <f t="shared" si="23"/>
        <v>0</v>
      </c>
      <c r="O58" s="1085">
        <f t="shared" si="23"/>
        <v>0</v>
      </c>
      <c r="P58" s="1088">
        <f t="shared" si="23"/>
        <v>0</v>
      </c>
      <c r="Q58" s="1088">
        <v>15.841000000000001</v>
      </c>
      <c r="R58" s="1088">
        <f t="shared" si="23"/>
        <v>0</v>
      </c>
      <c r="S58" s="1088">
        <v>0</v>
      </c>
      <c r="T58" s="1088">
        <v>41.074109720470858</v>
      </c>
      <c r="U58" s="1088">
        <v>52.248000000000012</v>
      </c>
      <c r="V58" s="1088">
        <f t="shared" si="23"/>
        <v>0</v>
      </c>
      <c r="W58" s="1088">
        <f t="shared" si="23"/>
        <v>0</v>
      </c>
      <c r="X58" s="1088">
        <f t="shared" si="23"/>
        <v>0</v>
      </c>
      <c r="Y58" s="1085">
        <f t="shared" si="23"/>
        <v>0</v>
      </c>
      <c r="Z58" s="1084">
        <f t="shared" si="23"/>
        <v>0</v>
      </c>
      <c r="AA58" s="1086">
        <v>206.51565457653467</v>
      </c>
      <c r="AB58" s="1088">
        <f t="shared" si="21"/>
        <v>20.523795887314584</v>
      </c>
      <c r="AC58" s="1089">
        <f t="shared" si="23"/>
        <v>0</v>
      </c>
      <c r="AD58" s="985">
        <f t="shared" si="23"/>
        <v>0</v>
      </c>
      <c r="AE58" s="985">
        <f t="shared" si="23"/>
        <v>3.9004188670820072</v>
      </c>
      <c r="AF58" s="985"/>
      <c r="AG58" s="985">
        <f t="shared" si="23"/>
        <v>0</v>
      </c>
      <c r="AH58" s="985">
        <f t="shared" si="23"/>
        <v>0.80443075440000011</v>
      </c>
      <c r="AI58" s="985">
        <f t="shared" si="23"/>
        <v>0</v>
      </c>
      <c r="AJ58" s="985">
        <f t="shared" si="23"/>
        <v>0</v>
      </c>
      <c r="AK58" s="985"/>
      <c r="AL58" s="985">
        <v>0.16649466165720572</v>
      </c>
      <c r="AM58" s="1085">
        <v>15.65245160417537</v>
      </c>
      <c r="AN58" s="1086">
        <f t="shared" si="23"/>
        <v>0</v>
      </c>
      <c r="AO58" s="1086">
        <v>828.90452168344279</v>
      </c>
      <c r="AP58" s="1088">
        <f>SUM(AP59:AP64)</f>
        <v>0</v>
      </c>
      <c r="AQ58" s="1090">
        <f t="shared" si="9"/>
        <v>1165.6220044241538</v>
      </c>
      <c r="AS58" s="15"/>
    </row>
    <row r="59" spans="1:45" ht="12.75" customHeight="1">
      <c r="A59" s="531" t="s">
        <v>788</v>
      </c>
      <c r="B59" s="1093" t="s">
        <v>789</v>
      </c>
      <c r="C59" s="954">
        <f t="shared" si="18"/>
        <v>3.9993984962406011E-3</v>
      </c>
      <c r="D59" s="916">
        <v>3.9993984962406011E-3</v>
      </c>
      <c r="E59" s="960"/>
      <c r="F59" s="960"/>
      <c r="G59" s="1000"/>
      <c r="H59" s="958">
        <f t="shared" si="19"/>
        <v>0</v>
      </c>
      <c r="I59" s="1067"/>
      <c r="J59" s="1094"/>
      <c r="K59" s="1067"/>
      <c r="L59" s="958">
        <f t="shared" si="20"/>
        <v>29.110393287676398</v>
      </c>
      <c r="M59" s="1002"/>
      <c r="N59" s="1095"/>
      <c r="O59" s="1095"/>
      <c r="P59" s="960"/>
      <c r="Q59" s="1051">
        <v>6.548</v>
      </c>
      <c r="R59" s="960"/>
      <c r="S59" s="1051">
        <v>0</v>
      </c>
      <c r="T59" s="1051">
        <v>11.487393287676401</v>
      </c>
      <c r="U59" s="1051">
        <v>11.074999999999999</v>
      </c>
      <c r="V59" s="1051">
        <v>0</v>
      </c>
      <c r="W59" s="960"/>
      <c r="X59" s="960"/>
      <c r="Y59" s="1095"/>
      <c r="Z59" s="1067"/>
      <c r="AA59" s="917">
        <v>52.670839129321678</v>
      </c>
      <c r="AB59" s="960">
        <f t="shared" si="21"/>
        <v>1.2953271877604666</v>
      </c>
      <c r="AC59" s="1096"/>
      <c r="AD59" s="1002"/>
      <c r="AE59" s="956">
        <v>1.2953271877604666</v>
      </c>
      <c r="AF59" s="956"/>
      <c r="AG59" s="956"/>
      <c r="AH59" s="956">
        <v>0</v>
      </c>
      <c r="AI59" s="956"/>
      <c r="AJ59" s="956"/>
      <c r="AK59" s="956"/>
      <c r="AL59" s="956">
        <v>0</v>
      </c>
      <c r="AM59" s="957">
        <v>0</v>
      </c>
      <c r="AN59" s="958"/>
      <c r="AO59" s="917">
        <v>225.7085564993871</v>
      </c>
      <c r="AP59" s="960"/>
      <c r="AQ59" s="987">
        <f t="shared" si="9"/>
        <v>308.78911550264189</v>
      </c>
      <c r="AS59" s="15"/>
    </row>
    <row r="60" spans="1:45" ht="12.75" customHeight="1">
      <c r="A60" s="531" t="s">
        <v>790</v>
      </c>
      <c r="B60" s="1093" t="s">
        <v>791</v>
      </c>
      <c r="C60" s="907">
        <f t="shared" si="18"/>
        <v>8.9986466165413535E-3</v>
      </c>
      <c r="D60" s="916">
        <v>8.9986466165413535E-3</v>
      </c>
      <c r="E60" s="915"/>
      <c r="F60" s="915"/>
      <c r="G60" s="1097"/>
      <c r="H60" s="911">
        <f t="shared" si="19"/>
        <v>0</v>
      </c>
      <c r="I60" s="908"/>
      <c r="J60" s="1098"/>
      <c r="K60" s="908"/>
      <c r="L60" s="911">
        <f t="shared" si="20"/>
        <v>24.503931093823979</v>
      </c>
      <c r="M60" s="919"/>
      <c r="N60" s="909"/>
      <c r="O60" s="909"/>
      <c r="P60" s="915"/>
      <c r="Q60" s="1051">
        <v>1.2709999999999999</v>
      </c>
      <c r="R60" s="915"/>
      <c r="S60" s="1051">
        <v>0</v>
      </c>
      <c r="T60" s="1051">
        <v>1.9979310938239756</v>
      </c>
      <c r="U60" s="1051">
        <v>21.235000000000003</v>
      </c>
      <c r="V60" s="1051">
        <v>0</v>
      </c>
      <c r="W60" s="915"/>
      <c r="X60" s="915"/>
      <c r="Y60" s="909"/>
      <c r="Z60" s="908"/>
      <c r="AA60" s="917">
        <v>23.743479725066276</v>
      </c>
      <c r="AB60" s="915">
        <f t="shared" si="21"/>
        <v>1.138556689715082E-2</v>
      </c>
      <c r="AC60" s="1099"/>
      <c r="AD60" s="919"/>
      <c r="AE60" s="914">
        <v>1.138556689715082E-2</v>
      </c>
      <c r="AF60" s="914"/>
      <c r="AG60" s="914"/>
      <c r="AH60" s="914">
        <v>0</v>
      </c>
      <c r="AI60" s="914"/>
      <c r="AJ60" s="914"/>
      <c r="AK60" s="914"/>
      <c r="AL60" s="914">
        <v>0</v>
      </c>
      <c r="AM60" s="910">
        <v>0</v>
      </c>
      <c r="AN60" s="911"/>
      <c r="AO60" s="917">
        <v>81.932675558202874</v>
      </c>
      <c r="AP60" s="915"/>
      <c r="AQ60" s="918">
        <f t="shared" si="9"/>
        <v>130.20047059060681</v>
      </c>
      <c r="AS60" s="15"/>
    </row>
    <row r="61" spans="1:45" ht="12.75" customHeight="1">
      <c r="A61" s="531" t="s">
        <v>792</v>
      </c>
      <c r="B61" s="1093" t="s">
        <v>793</v>
      </c>
      <c r="C61" s="907">
        <f t="shared" si="18"/>
        <v>0.42993533834586467</v>
      </c>
      <c r="D61" s="916">
        <v>0.42993533834586467</v>
      </c>
      <c r="E61" s="915"/>
      <c r="F61" s="915"/>
      <c r="G61" s="1097"/>
      <c r="H61" s="911">
        <f t="shared" si="19"/>
        <v>0</v>
      </c>
      <c r="I61" s="908"/>
      <c r="J61" s="1098"/>
      <c r="K61" s="908"/>
      <c r="L61" s="911">
        <f t="shared" si="20"/>
        <v>27.815960601382685</v>
      </c>
      <c r="M61" s="919"/>
      <c r="N61" s="909"/>
      <c r="O61" s="909"/>
      <c r="P61" s="915"/>
      <c r="Q61" s="1051">
        <v>3.399</v>
      </c>
      <c r="R61" s="915"/>
      <c r="S61" s="1051">
        <v>0</v>
      </c>
      <c r="T61" s="1051">
        <v>19.454960601382684</v>
      </c>
      <c r="U61" s="1051">
        <v>4.9619999999999997</v>
      </c>
      <c r="V61" s="1051">
        <v>0</v>
      </c>
      <c r="W61" s="915"/>
      <c r="X61" s="915"/>
      <c r="Y61" s="909"/>
      <c r="Z61" s="908"/>
      <c r="AA61" s="917">
        <v>30.235657033103141</v>
      </c>
      <c r="AB61" s="915">
        <f t="shared" si="21"/>
        <v>0.86179983283049288</v>
      </c>
      <c r="AC61" s="1099"/>
      <c r="AD61" s="919"/>
      <c r="AE61" s="914">
        <v>0.86179983283049288</v>
      </c>
      <c r="AF61" s="914"/>
      <c r="AG61" s="914"/>
      <c r="AH61" s="914">
        <v>0</v>
      </c>
      <c r="AI61" s="914"/>
      <c r="AJ61" s="914"/>
      <c r="AK61" s="914"/>
      <c r="AL61" s="914">
        <v>0</v>
      </c>
      <c r="AM61" s="910">
        <v>0</v>
      </c>
      <c r="AN61" s="911"/>
      <c r="AO61" s="917">
        <v>126.36748353090987</v>
      </c>
      <c r="AP61" s="915"/>
      <c r="AQ61" s="918">
        <f t="shared" si="9"/>
        <v>185.71083633657204</v>
      </c>
      <c r="AS61" s="15"/>
    </row>
    <row r="62" spans="1:45" ht="12.75" customHeight="1">
      <c r="A62" s="531" t="s">
        <v>794</v>
      </c>
      <c r="B62" s="1093" t="s">
        <v>795</v>
      </c>
      <c r="C62" s="907">
        <f t="shared" si="18"/>
        <v>6.9989473684210534E-3</v>
      </c>
      <c r="D62" s="916">
        <v>6.9989473684210534E-3</v>
      </c>
      <c r="E62" s="915"/>
      <c r="F62" s="915"/>
      <c r="G62" s="1097"/>
      <c r="H62" s="911">
        <f t="shared" si="19"/>
        <v>0</v>
      </c>
      <c r="I62" s="908"/>
      <c r="J62" s="1098"/>
      <c r="K62" s="908"/>
      <c r="L62" s="911">
        <f t="shared" si="20"/>
        <v>2.6967648223282072</v>
      </c>
      <c r="M62" s="919"/>
      <c r="N62" s="909"/>
      <c r="O62" s="909"/>
      <c r="P62" s="915"/>
      <c r="Q62" s="1051">
        <v>0.36299999999999999</v>
      </c>
      <c r="R62" s="915"/>
      <c r="S62" s="1051">
        <v>0</v>
      </c>
      <c r="T62" s="1051">
        <v>0.71476482232820748</v>
      </c>
      <c r="U62" s="1051">
        <v>1.619</v>
      </c>
      <c r="V62" s="1051">
        <v>0</v>
      </c>
      <c r="W62" s="915"/>
      <c r="X62" s="915"/>
      <c r="Y62" s="909"/>
      <c r="Z62" s="908"/>
      <c r="AA62" s="917">
        <v>12.942534033472208</v>
      </c>
      <c r="AB62" s="915">
        <f t="shared" si="21"/>
        <v>4.6418080426845656E-2</v>
      </c>
      <c r="AC62" s="1099"/>
      <c r="AD62" s="919"/>
      <c r="AE62" s="914">
        <v>4.6418080426845656E-2</v>
      </c>
      <c r="AF62" s="914"/>
      <c r="AG62" s="914"/>
      <c r="AH62" s="914">
        <v>0</v>
      </c>
      <c r="AI62" s="914"/>
      <c r="AJ62" s="914"/>
      <c r="AK62" s="914"/>
      <c r="AL62" s="914">
        <v>0</v>
      </c>
      <c r="AM62" s="910">
        <v>0</v>
      </c>
      <c r="AN62" s="911"/>
      <c r="AO62" s="917">
        <v>234.42875082725587</v>
      </c>
      <c r="AP62" s="915"/>
      <c r="AQ62" s="918">
        <f t="shared" si="9"/>
        <v>250.12146671085156</v>
      </c>
      <c r="AS62" s="15"/>
    </row>
    <row r="63" spans="1:45" ht="12.75" customHeight="1">
      <c r="A63" s="531" t="s">
        <v>796</v>
      </c>
      <c r="B63" s="1093" t="s">
        <v>797</v>
      </c>
      <c r="C63" s="907">
        <f t="shared" si="18"/>
        <v>5.799127819548873E-2</v>
      </c>
      <c r="D63" s="1078">
        <v>5.799127819548873E-2</v>
      </c>
      <c r="E63" s="915"/>
      <c r="F63" s="915"/>
      <c r="G63" s="1097"/>
      <c r="H63" s="911">
        <f t="shared" si="19"/>
        <v>0</v>
      </c>
      <c r="I63" s="908"/>
      <c r="J63" s="1098"/>
      <c r="K63" s="908"/>
      <c r="L63" s="911">
        <f t="shared" si="20"/>
        <v>3.8680994311273493</v>
      </c>
      <c r="M63" s="919"/>
      <c r="N63" s="909"/>
      <c r="O63" s="909"/>
      <c r="P63" s="915"/>
      <c r="Q63" s="1100">
        <v>0.68400000000000005</v>
      </c>
      <c r="R63" s="915"/>
      <c r="S63" s="1100">
        <v>0</v>
      </c>
      <c r="T63" s="1100">
        <v>0.16909943112734929</v>
      </c>
      <c r="U63" s="1100">
        <v>3.0150000000000001</v>
      </c>
      <c r="V63" s="1100">
        <v>0</v>
      </c>
      <c r="W63" s="915"/>
      <c r="X63" s="915"/>
      <c r="Y63" s="909"/>
      <c r="Z63" s="908"/>
      <c r="AA63" s="1101">
        <v>11.636733155824563</v>
      </c>
      <c r="AB63" s="915">
        <f t="shared" si="21"/>
        <v>0.34769769678222129</v>
      </c>
      <c r="AC63" s="1099"/>
      <c r="AD63" s="919"/>
      <c r="AE63" s="914">
        <v>0.34769769678222129</v>
      </c>
      <c r="AF63" s="914"/>
      <c r="AG63" s="914"/>
      <c r="AH63" s="914">
        <v>0</v>
      </c>
      <c r="AI63" s="914"/>
      <c r="AJ63" s="914"/>
      <c r="AK63" s="914"/>
      <c r="AL63" s="914">
        <v>0</v>
      </c>
      <c r="AM63" s="910">
        <v>0</v>
      </c>
      <c r="AN63" s="911"/>
      <c r="AO63" s="1101">
        <v>42.659809837330151</v>
      </c>
      <c r="AP63" s="915"/>
      <c r="AQ63" s="918">
        <f t="shared" si="9"/>
        <v>58.570331399259771</v>
      </c>
      <c r="AS63" s="15"/>
    </row>
    <row r="64" spans="1:45" ht="12.75" customHeight="1">
      <c r="A64" s="532" t="s">
        <v>798</v>
      </c>
      <c r="B64" s="1102"/>
      <c r="C64" s="966">
        <f t="shared" si="18"/>
        <v>6.9989473684210534E-3</v>
      </c>
      <c r="D64" s="1078">
        <v>6.9989473684210534E-3</v>
      </c>
      <c r="E64" s="972"/>
      <c r="F64" s="972"/>
      <c r="G64" s="1103"/>
      <c r="H64" s="970">
        <f t="shared" si="19"/>
        <v>0</v>
      </c>
      <c r="I64" s="1080"/>
      <c r="J64" s="1104"/>
      <c r="K64" s="1080"/>
      <c r="L64" s="970">
        <f t="shared" si="20"/>
        <v>21.167960484132237</v>
      </c>
      <c r="M64" s="1081"/>
      <c r="N64" s="1105"/>
      <c r="O64" s="1105"/>
      <c r="P64" s="972"/>
      <c r="Q64" s="1100">
        <v>3.5760000000000001</v>
      </c>
      <c r="R64" s="972"/>
      <c r="S64" s="1100">
        <v>0</v>
      </c>
      <c r="T64" s="1100">
        <v>7.2499604841322363</v>
      </c>
      <c r="U64" s="1100">
        <v>10.342000000000001</v>
      </c>
      <c r="V64" s="1100">
        <v>0</v>
      </c>
      <c r="W64" s="972"/>
      <c r="X64" s="972"/>
      <c r="Y64" s="1105"/>
      <c r="Z64" s="1080"/>
      <c r="AA64" s="1101">
        <v>75.286411499746805</v>
      </c>
      <c r="AB64" s="972">
        <f t="shared" si="21"/>
        <v>17.961167522617405</v>
      </c>
      <c r="AC64" s="1106"/>
      <c r="AD64" s="1081"/>
      <c r="AE64" s="968">
        <v>1.3377905023848295</v>
      </c>
      <c r="AF64" s="968"/>
      <c r="AG64" s="968"/>
      <c r="AH64" s="968">
        <v>0.80443075440000011</v>
      </c>
      <c r="AI64" s="968"/>
      <c r="AJ64" s="968"/>
      <c r="AK64" s="968"/>
      <c r="AL64" s="968">
        <v>0.16649466165720572</v>
      </c>
      <c r="AM64" s="969">
        <v>15.65245160417537</v>
      </c>
      <c r="AN64" s="970"/>
      <c r="AO64" s="1101">
        <v>117.80724543035701</v>
      </c>
      <c r="AP64" s="972"/>
      <c r="AQ64" s="975">
        <f t="shared" si="9"/>
        <v>232.22978388422189</v>
      </c>
      <c r="AS64" s="15"/>
    </row>
    <row r="65" spans="1:45" ht="12.75" customHeight="1">
      <c r="A65" s="61" t="s">
        <v>799</v>
      </c>
      <c r="B65" s="1082"/>
      <c r="C65" s="966">
        <f t="shared" ref="C65:C71" si="24">SUM(D65:G65)</f>
        <v>4.9992481203007515E-3</v>
      </c>
      <c r="D65" s="1089">
        <f>SUM(D66:D69)</f>
        <v>4.9992481203007515E-3</v>
      </c>
      <c r="E65" s="1056"/>
      <c r="F65" s="1056"/>
      <c r="G65" s="1057"/>
      <c r="H65" s="970">
        <f t="shared" ref="H65:H71" si="25">SUM(I65:K65)</f>
        <v>0</v>
      </c>
      <c r="I65" s="967"/>
      <c r="J65" s="971">
        <v>0</v>
      </c>
      <c r="K65" s="968">
        <v>0</v>
      </c>
      <c r="L65" s="970">
        <f t="shared" ref="L65:L71" si="26">SUM(M65:Z65)</f>
        <v>131.70414755360989</v>
      </c>
      <c r="M65" s="968"/>
      <c r="N65" s="969"/>
      <c r="O65" s="969"/>
      <c r="P65" s="1056"/>
      <c r="Q65" s="1088">
        <v>46.986000000000004</v>
      </c>
      <c r="R65" s="1056"/>
      <c r="S65" s="1088">
        <v>0.64284746861564912</v>
      </c>
      <c r="T65" s="1088">
        <v>29.45030008499424</v>
      </c>
      <c r="U65" s="1088">
        <v>54.625</v>
      </c>
      <c r="V65" s="1088">
        <f>SUM(V66:V69)</f>
        <v>0</v>
      </c>
      <c r="W65" s="1056"/>
      <c r="X65" s="1056"/>
      <c r="Y65" s="969"/>
      <c r="Z65" s="968"/>
      <c r="AA65" s="1086">
        <v>122.10424162825494</v>
      </c>
      <c r="AB65" s="972">
        <f t="shared" ref="AB65:AB71" si="27">SUM(AC65:AM65)</f>
        <v>18.910018360553575</v>
      </c>
      <c r="AC65" s="973"/>
      <c r="AD65" s="968"/>
      <c r="AE65" s="968">
        <f>SUM(AE66:AE69)</f>
        <v>14.092704380157992</v>
      </c>
      <c r="AF65" s="968"/>
      <c r="AG65" s="968"/>
      <c r="AH65" s="968">
        <v>4.8173139803955838</v>
      </c>
      <c r="AI65" s="968"/>
      <c r="AJ65" s="968"/>
      <c r="AK65" s="968"/>
      <c r="AL65" s="968"/>
      <c r="AM65" s="969"/>
      <c r="AN65" s="970"/>
      <c r="AO65" s="1086">
        <v>249.83924335957121</v>
      </c>
      <c r="AP65" s="972"/>
      <c r="AQ65" s="1107">
        <f t="shared" si="9"/>
        <v>522.5626501501099</v>
      </c>
      <c r="AS65" s="15"/>
    </row>
    <row r="66" spans="1:45" ht="12.75" customHeight="1">
      <c r="A66" s="533" t="s">
        <v>800</v>
      </c>
      <c r="B66" s="1108" t="s">
        <v>801</v>
      </c>
      <c r="C66" s="954">
        <f t="shared" si="24"/>
        <v>2.9995488721804514E-3</v>
      </c>
      <c r="D66" s="961">
        <v>2.9995488721804514E-3</v>
      </c>
      <c r="E66" s="1003"/>
      <c r="F66" s="1003"/>
      <c r="G66" s="1109"/>
      <c r="H66" s="958">
        <f t="shared" si="25"/>
        <v>0</v>
      </c>
      <c r="I66" s="1001"/>
      <c r="J66" s="959"/>
      <c r="K66" s="1110"/>
      <c r="L66" s="958">
        <f t="shared" si="26"/>
        <v>4.8361472478110468</v>
      </c>
      <c r="M66" s="1001"/>
      <c r="N66" s="1003"/>
      <c r="O66" s="957"/>
      <c r="P66" s="1003"/>
      <c r="Q66" s="1003">
        <v>0.13</v>
      </c>
      <c r="R66" s="1003"/>
      <c r="S66" s="1003">
        <v>3.1863567217628209E-3</v>
      </c>
      <c r="T66" s="1003">
        <v>1.1339608910892836</v>
      </c>
      <c r="U66" s="1003">
        <v>3.569</v>
      </c>
      <c r="V66" s="1003">
        <v>0</v>
      </c>
      <c r="W66" s="1003"/>
      <c r="X66" s="1003"/>
      <c r="Y66" s="957"/>
      <c r="Z66" s="956"/>
      <c r="AA66" s="962">
        <v>6.2855711462293291</v>
      </c>
      <c r="AB66" s="960">
        <f t="shared" si="27"/>
        <v>4.8181897932338265</v>
      </c>
      <c r="AC66" s="961"/>
      <c r="AD66" s="956"/>
      <c r="AE66" s="956">
        <v>8.7581283824237082E-4</v>
      </c>
      <c r="AF66" s="956"/>
      <c r="AG66" s="956"/>
      <c r="AH66" s="956">
        <v>4.8173139803955838</v>
      </c>
      <c r="AI66" s="956"/>
      <c r="AJ66" s="956"/>
      <c r="AK66" s="956"/>
      <c r="AL66" s="956"/>
      <c r="AM66" s="957"/>
      <c r="AN66" s="958"/>
      <c r="AO66" s="962">
        <v>62.066112125563578</v>
      </c>
      <c r="AP66" s="960"/>
      <c r="AQ66" s="987">
        <f t="shared" si="9"/>
        <v>78.009019861709959</v>
      </c>
      <c r="AS66" s="15"/>
    </row>
    <row r="67" spans="1:45" ht="12.75" customHeight="1">
      <c r="A67" s="534" t="s">
        <v>802</v>
      </c>
      <c r="B67" s="1111">
        <v>84</v>
      </c>
      <c r="C67" s="907">
        <f t="shared" si="24"/>
        <v>1.9996992481203005E-3</v>
      </c>
      <c r="D67" s="1049">
        <v>1.9996992481203005E-3</v>
      </c>
      <c r="E67" s="1051"/>
      <c r="F67" s="1051"/>
      <c r="G67" s="1052"/>
      <c r="H67" s="911">
        <f t="shared" si="25"/>
        <v>0</v>
      </c>
      <c r="I67" s="1112"/>
      <c r="J67" s="913"/>
      <c r="K67" s="1113"/>
      <c r="L67" s="911">
        <f t="shared" si="26"/>
        <v>37.49597693290648</v>
      </c>
      <c r="M67" s="1112"/>
      <c r="N67" s="1051"/>
      <c r="O67" s="910"/>
      <c r="P67" s="1051"/>
      <c r="Q67" s="1042">
        <v>6.9249999999999998</v>
      </c>
      <c r="R67" s="1051"/>
      <c r="S67" s="1042">
        <v>0.36191701764689377</v>
      </c>
      <c r="T67" s="1042">
        <v>7.4190599152595853</v>
      </c>
      <c r="U67" s="1042">
        <v>22.79</v>
      </c>
      <c r="V67" s="1042">
        <v>0</v>
      </c>
      <c r="W67" s="1051"/>
      <c r="X67" s="1051"/>
      <c r="Y67" s="910"/>
      <c r="Z67" s="914"/>
      <c r="AA67" s="1054">
        <v>43.318633321580478</v>
      </c>
      <c r="AB67" s="915">
        <f t="shared" si="27"/>
        <v>3.0136719763919984</v>
      </c>
      <c r="AC67" s="916"/>
      <c r="AD67" s="914"/>
      <c r="AE67" s="914">
        <v>3.0136719763919984</v>
      </c>
      <c r="AF67" s="914"/>
      <c r="AG67" s="914"/>
      <c r="AH67" s="914">
        <v>0</v>
      </c>
      <c r="AI67" s="914"/>
      <c r="AJ67" s="914"/>
      <c r="AK67" s="914"/>
      <c r="AL67" s="914"/>
      <c r="AM67" s="910"/>
      <c r="AN67" s="911"/>
      <c r="AO67" s="1054">
        <v>90.275166794474018</v>
      </c>
      <c r="AP67" s="915"/>
      <c r="AQ67" s="918">
        <f t="shared" si="9"/>
        <v>174.1054487246011</v>
      </c>
      <c r="AS67" s="15"/>
    </row>
    <row r="68" spans="1:45" ht="12.75" customHeight="1">
      <c r="A68" s="531" t="s">
        <v>803</v>
      </c>
      <c r="B68" s="1093">
        <v>85</v>
      </c>
      <c r="C68" s="907">
        <f t="shared" si="24"/>
        <v>0</v>
      </c>
      <c r="D68" s="1049">
        <v>0</v>
      </c>
      <c r="E68" s="1051"/>
      <c r="F68" s="1051"/>
      <c r="G68" s="1052"/>
      <c r="H68" s="911">
        <f t="shared" si="25"/>
        <v>0</v>
      </c>
      <c r="I68" s="1112"/>
      <c r="J68" s="913"/>
      <c r="K68" s="1113"/>
      <c r="L68" s="911">
        <f t="shared" si="26"/>
        <v>63.764873205839493</v>
      </c>
      <c r="M68" s="1112"/>
      <c r="N68" s="1051"/>
      <c r="O68" s="910"/>
      <c r="P68" s="1051"/>
      <c r="Q68" s="1042">
        <v>27.067</v>
      </c>
      <c r="R68" s="1051"/>
      <c r="S68" s="1042">
        <v>5.416806426996796E-2</v>
      </c>
      <c r="T68" s="1042">
        <v>17.705705141569517</v>
      </c>
      <c r="U68" s="1042">
        <v>18.937999999999999</v>
      </c>
      <c r="V68" s="1042">
        <v>0</v>
      </c>
      <c r="W68" s="1051"/>
      <c r="X68" s="1051"/>
      <c r="Y68" s="910"/>
      <c r="Z68" s="914"/>
      <c r="AA68" s="1054">
        <v>27.252039348994288</v>
      </c>
      <c r="AB68" s="915">
        <f t="shared" si="27"/>
        <v>9.8108554139910407</v>
      </c>
      <c r="AC68" s="916"/>
      <c r="AD68" s="914"/>
      <c r="AE68" s="914">
        <v>9.8108554139910407</v>
      </c>
      <c r="AF68" s="914"/>
      <c r="AG68" s="914"/>
      <c r="AH68" s="914">
        <v>0</v>
      </c>
      <c r="AI68" s="914"/>
      <c r="AJ68" s="914"/>
      <c r="AK68" s="914"/>
      <c r="AL68" s="914"/>
      <c r="AM68" s="910"/>
      <c r="AN68" s="911"/>
      <c r="AO68" s="1054">
        <v>58.093005834167748</v>
      </c>
      <c r="AP68" s="915"/>
      <c r="AQ68" s="918">
        <f t="shared" si="9"/>
        <v>158.92077380299256</v>
      </c>
      <c r="AS68" s="15"/>
    </row>
    <row r="69" spans="1:45" ht="12.75" customHeight="1">
      <c r="A69" s="532" t="s">
        <v>804</v>
      </c>
      <c r="B69" s="1102" t="s">
        <v>805</v>
      </c>
      <c r="C69" s="1072">
        <f t="shared" si="24"/>
        <v>0</v>
      </c>
      <c r="D69" s="973">
        <v>0</v>
      </c>
      <c r="E69" s="1056"/>
      <c r="F69" s="1056"/>
      <c r="G69" s="1057"/>
      <c r="H69" s="1074">
        <f t="shared" si="25"/>
        <v>0</v>
      </c>
      <c r="I69" s="1114"/>
      <c r="J69" s="971"/>
      <c r="K69" s="1115"/>
      <c r="L69" s="1074">
        <f t="shared" si="26"/>
        <v>25.607150167052879</v>
      </c>
      <c r="M69" s="1114"/>
      <c r="N69" s="1056"/>
      <c r="O69" s="969"/>
      <c r="P69" s="1056"/>
      <c r="Q69" s="1056">
        <v>12.864000000000001</v>
      </c>
      <c r="R69" s="1056"/>
      <c r="S69" s="1056">
        <v>0.22357602997702461</v>
      </c>
      <c r="T69" s="1056">
        <v>3.191574137075853</v>
      </c>
      <c r="U69" s="1056">
        <v>9.3279999999999994</v>
      </c>
      <c r="V69" s="1056">
        <v>0</v>
      </c>
      <c r="W69" s="1056"/>
      <c r="X69" s="1056"/>
      <c r="Y69" s="969"/>
      <c r="Z69" s="968"/>
      <c r="AA69" s="974">
        <v>45.247997811450865</v>
      </c>
      <c r="AB69" s="1077">
        <f t="shared" si="27"/>
        <v>1.2673011769367108</v>
      </c>
      <c r="AC69" s="1078"/>
      <c r="AD69" s="1071"/>
      <c r="AE69" s="1071">
        <v>1.2673011769367108</v>
      </c>
      <c r="AF69" s="1071"/>
      <c r="AG69" s="1071"/>
      <c r="AH69" s="1071">
        <v>0</v>
      </c>
      <c r="AI69" s="1071"/>
      <c r="AJ69" s="1071"/>
      <c r="AK69" s="1071"/>
      <c r="AL69" s="1071"/>
      <c r="AM69" s="1073"/>
      <c r="AN69" s="1074"/>
      <c r="AO69" s="974">
        <v>39.40495860536587</v>
      </c>
      <c r="AP69" s="1077"/>
      <c r="AQ69" s="1079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89"/>
      <c r="C70" s="990">
        <f t="shared" si="24"/>
        <v>0</v>
      </c>
      <c r="D70" s="1116">
        <v>0</v>
      </c>
      <c r="E70" s="1117"/>
      <c r="F70" s="1118"/>
      <c r="G70" s="1118"/>
      <c r="H70" s="994">
        <f t="shared" si="25"/>
        <v>0</v>
      </c>
      <c r="I70" s="1116"/>
      <c r="J70" s="1119"/>
      <c r="K70" s="1117"/>
      <c r="L70" s="994">
        <f t="shared" si="26"/>
        <v>175.46549158593075</v>
      </c>
      <c r="M70" s="1117"/>
      <c r="N70" s="1117"/>
      <c r="O70" s="1117"/>
      <c r="P70" s="1117">
        <v>0</v>
      </c>
      <c r="Q70" s="1117">
        <v>0</v>
      </c>
      <c r="R70" s="1117"/>
      <c r="S70" s="1117"/>
      <c r="T70" s="535">
        <v>0</v>
      </c>
      <c r="U70" s="1117">
        <v>175.46549158593075</v>
      </c>
      <c r="V70" s="956"/>
      <c r="W70" s="1118"/>
      <c r="X70" s="1118"/>
      <c r="Y70" s="1118"/>
      <c r="Z70" s="1117"/>
      <c r="AA70" s="994">
        <v>0</v>
      </c>
      <c r="AB70" s="995">
        <f t="shared" si="27"/>
        <v>0</v>
      </c>
      <c r="AC70" s="1120"/>
      <c r="AD70" s="1117"/>
      <c r="AE70" s="1117"/>
      <c r="AF70" s="1117"/>
      <c r="AG70" s="1117"/>
      <c r="AH70" s="1117"/>
      <c r="AI70" s="1117"/>
      <c r="AJ70" s="1117"/>
      <c r="AK70" s="1116"/>
      <c r="AL70" s="1118"/>
      <c r="AM70" s="1117"/>
      <c r="AN70" s="994"/>
      <c r="AO70" s="994">
        <v>47.988</v>
      </c>
      <c r="AP70" s="995"/>
      <c r="AQ70" s="986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65"/>
      <c r="C71" s="966">
        <f t="shared" si="24"/>
        <v>0</v>
      </c>
      <c r="D71" s="967"/>
      <c r="E71" s="968"/>
      <c r="F71" s="969"/>
      <c r="G71" s="969"/>
      <c r="H71" s="970">
        <f t="shared" si="25"/>
        <v>0</v>
      </c>
      <c r="I71" s="967"/>
      <c r="J71" s="971"/>
      <c r="K71" s="968"/>
      <c r="L71" s="970">
        <f t="shared" si="26"/>
        <v>27.249865733664667</v>
      </c>
      <c r="M71" s="968"/>
      <c r="N71" s="968"/>
      <c r="O71" s="968"/>
      <c r="P71" s="968"/>
      <c r="Q71" s="968"/>
      <c r="R71" s="968"/>
      <c r="S71" s="968"/>
      <c r="T71" s="968"/>
      <c r="U71" s="1081">
        <v>27.249865733664667</v>
      </c>
      <c r="V71" s="968"/>
      <c r="W71" s="969"/>
      <c r="X71" s="969"/>
      <c r="Y71" s="969"/>
      <c r="Z71" s="968"/>
      <c r="AA71" s="970"/>
      <c r="AB71" s="972">
        <f t="shared" si="27"/>
        <v>0</v>
      </c>
      <c r="AC71" s="973"/>
      <c r="AD71" s="968"/>
      <c r="AE71" s="968"/>
      <c r="AF71" s="968"/>
      <c r="AG71" s="968"/>
      <c r="AH71" s="968"/>
      <c r="AI71" s="968"/>
      <c r="AJ71" s="968"/>
      <c r="AK71" s="967"/>
      <c r="AL71" s="969"/>
      <c r="AM71" s="968"/>
      <c r="AN71" s="970"/>
      <c r="AO71" s="974"/>
      <c r="AP71" s="972"/>
      <c r="AQ71" s="1107">
        <f t="shared" si="9"/>
        <v>27.249865733664667</v>
      </c>
      <c r="AR71" s="1"/>
      <c r="AS71" s="4"/>
    </row>
    <row r="72" spans="1:45" s="5" customFormat="1" ht="12.75" customHeight="1" thickBot="1">
      <c r="A72" s="524" t="s">
        <v>183</v>
      </c>
      <c r="B72" s="1017"/>
      <c r="C72" s="1018">
        <f t="shared" ref="C72:AP72" si="28">C26-C27-C29</f>
        <v>-2.5795347028326319</v>
      </c>
      <c r="D72" s="1019">
        <f t="shared" si="28"/>
        <v>0.17716668219679832</v>
      </c>
      <c r="E72" s="1020">
        <f t="shared" si="28"/>
        <v>-3.4486883993195221</v>
      </c>
      <c r="F72" s="1024">
        <f t="shared" si="28"/>
        <v>0</v>
      </c>
      <c r="G72" s="1024">
        <f t="shared" si="28"/>
        <v>0.69246574229020652</v>
      </c>
      <c r="H72" s="1021">
        <f t="shared" si="28"/>
        <v>1.9457250152908045</v>
      </c>
      <c r="I72" s="1019">
        <f t="shared" si="28"/>
        <v>-0.45741265470912973</v>
      </c>
      <c r="J72" s="1022">
        <f t="shared" si="28"/>
        <v>0</v>
      </c>
      <c r="K72" s="1020">
        <f t="shared" si="28"/>
        <v>2.4031376700000067</v>
      </c>
      <c r="L72" s="1021">
        <f t="shared" si="28"/>
        <v>2.3431242304332045</v>
      </c>
      <c r="M72" s="1020">
        <f t="shared" si="28"/>
        <v>0</v>
      </c>
      <c r="N72" s="1020">
        <f t="shared" si="28"/>
        <v>-0.14794174855289199</v>
      </c>
      <c r="O72" s="1020">
        <f t="shared" si="28"/>
        <v>-5.2567080980734033</v>
      </c>
      <c r="P72" s="1020">
        <f t="shared" si="28"/>
        <v>-25.023756688637718</v>
      </c>
      <c r="Q72" s="1020">
        <f t="shared" si="28"/>
        <v>14.717063728640028</v>
      </c>
      <c r="R72" s="1020">
        <f t="shared" si="28"/>
        <v>4.1043924247198902</v>
      </c>
      <c r="S72" s="1020">
        <f t="shared" si="28"/>
        <v>8.0001198650984477</v>
      </c>
      <c r="T72" s="1020">
        <f t="shared" si="28"/>
        <v>6.5570336698137908</v>
      </c>
      <c r="U72" s="1020">
        <f t="shared" si="28"/>
        <v>-8.9389207362023626</v>
      </c>
      <c r="V72" s="1020">
        <f t="shared" si="28"/>
        <v>0.82532907951215861</v>
      </c>
      <c r="W72" s="1024">
        <f t="shared" si="28"/>
        <v>7.506512734116022</v>
      </c>
      <c r="X72" s="1024">
        <f t="shared" si="28"/>
        <v>0</v>
      </c>
      <c r="Y72" s="1024">
        <f t="shared" si="28"/>
        <v>0</v>
      </c>
      <c r="Z72" s="1020">
        <f t="shared" si="28"/>
        <v>0</v>
      </c>
      <c r="AA72" s="1021">
        <f t="shared" si="28"/>
        <v>-40.274710307198575</v>
      </c>
      <c r="AB72" s="1023">
        <f t="shared" si="28"/>
        <v>-2.4161461805547901</v>
      </c>
      <c r="AC72" s="1121">
        <f t="shared" si="28"/>
        <v>0</v>
      </c>
      <c r="AD72" s="1020">
        <f t="shared" si="28"/>
        <v>0</v>
      </c>
      <c r="AE72" s="1020">
        <f t="shared" si="28"/>
        <v>-4.7196692573067764</v>
      </c>
      <c r="AF72" s="1020">
        <f t="shared" si="28"/>
        <v>0</v>
      </c>
      <c r="AG72" s="1020">
        <f t="shared" si="28"/>
        <v>0</v>
      </c>
      <c r="AH72" s="1020">
        <f t="shared" si="28"/>
        <v>0</v>
      </c>
      <c r="AI72" s="1020">
        <f t="shared" si="28"/>
        <v>1.6583711868479725</v>
      </c>
      <c r="AJ72" s="1020">
        <f t="shared" si="28"/>
        <v>0.64515188990400674</v>
      </c>
      <c r="AK72" s="1019">
        <f t="shared" si="28"/>
        <v>0</v>
      </c>
      <c r="AL72" s="1024">
        <f t="shared" si="28"/>
        <v>0</v>
      </c>
      <c r="AM72" s="1020">
        <f t="shared" si="28"/>
        <v>0</v>
      </c>
      <c r="AN72" s="1021">
        <f t="shared" si="28"/>
        <v>0</v>
      </c>
      <c r="AO72" s="1021">
        <f t="shared" si="28"/>
        <v>-35.693844343489218</v>
      </c>
      <c r="AP72" s="1023">
        <f t="shared" si="28"/>
        <v>0</v>
      </c>
      <c r="AQ72" s="1025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2" t="s">
        <v>1091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23" t="s">
        <v>1092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24" t="s">
        <v>184</v>
      </c>
      <c r="B76" s="53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25" t="s">
        <v>185</v>
      </c>
      <c r="B77" s="53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3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26" t="s">
        <v>187</v>
      </c>
      <c r="B79" s="8"/>
      <c r="C79" s="8"/>
      <c r="D79" s="8"/>
      <c r="E79" s="538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26" t="s">
        <v>188</v>
      </c>
      <c r="B80" s="8"/>
      <c r="C80" s="8"/>
      <c r="D80" s="8"/>
      <c r="E80" s="538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O65"/>
  <sheetViews>
    <sheetView topLeftCell="G2" zoomScaleNormal="100" workbookViewId="0">
      <selection activeCell="K4" sqref="K4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34" ht="12.75" customHeight="1" thickBot="1">
      <c r="A1" s="35" t="s">
        <v>191</v>
      </c>
      <c r="B1" s="36" t="s">
        <v>192</v>
      </c>
      <c r="C1" s="37"/>
      <c r="D1" s="37"/>
      <c r="E1" s="37"/>
      <c r="F1" s="612" t="s">
        <v>639</v>
      </c>
      <c r="G1" s="612"/>
      <c r="H1" s="612" t="s">
        <v>648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34">
      <c r="A2" s="38" t="s">
        <v>193</v>
      </c>
      <c r="B2" s="36" t="s">
        <v>1</v>
      </c>
      <c r="C2" s="37"/>
      <c r="D2" s="37"/>
      <c r="E2" s="37"/>
      <c r="F2" s="1259" t="s">
        <v>623</v>
      </c>
      <c r="G2" s="1260"/>
      <c r="H2" s="1231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34">
      <c r="A3" s="35" t="s">
        <v>194</v>
      </c>
      <c r="B3" s="36">
        <v>2018</v>
      </c>
      <c r="C3" s="37"/>
      <c r="D3" s="37"/>
      <c r="E3" s="37"/>
      <c r="F3" s="1261" t="s">
        <v>488</v>
      </c>
      <c r="G3" s="1262"/>
      <c r="H3" s="613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34" ht="13.5" thickBot="1">
      <c r="A4" s="39" t="s">
        <v>195</v>
      </c>
      <c r="B4" s="40">
        <v>4.1868000000000002E-2</v>
      </c>
      <c r="C4" s="41"/>
      <c r="D4" s="37"/>
      <c r="E4" s="42"/>
      <c r="F4" s="1263" t="s">
        <v>207</v>
      </c>
      <c r="G4" s="1264"/>
      <c r="H4" s="1236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34" ht="13.5" thickBot="1">
      <c r="A5" s="37"/>
      <c r="B5" s="37"/>
      <c r="C5" s="44"/>
      <c r="D5" s="44"/>
      <c r="E5" s="44"/>
      <c r="F5" s="1265" t="s">
        <v>496</v>
      </c>
      <c r="G5" s="1266"/>
      <c r="H5" s="1237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</row>
    <row r="6" spans="1:3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</row>
    <row r="7" spans="1:34" ht="13.5" customHeight="1" thickBot="1">
      <c r="A7" s="241" t="s">
        <v>196</v>
      </c>
      <c r="B7" s="242"/>
      <c r="C7" s="243"/>
      <c r="D7" s="44"/>
      <c r="E7" s="614"/>
      <c r="F7" s="615" t="s">
        <v>217</v>
      </c>
      <c r="G7" s="616"/>
      <c r="H7" s="617"/>
      <c r="I7" s="1256" t="s">
        <v>218</v>
      </c>
      <c r="J7" s="1257"/>
      <c r="K7" s="1258"/>
      <c r="L7" s="1256" t="s">
        <v>219</v>
      </c>
      <c r="M7" s="1257"/>
      <c r="N7" s="1258"/>
      <c r="O7" s="1256" t="s">
        <v>220</v>
      </c>
      <c r="P7" s="1257"/>
      <c r="Q7" s="1258"/>
      <c r="R7" s="1271" t="s">
        <v>221</v>
      </c>
      <c r="S7" s="1256" t="s">
        <v>638</v>
      </c>
      <c r="T7" s="1257"/>
      <c r="U7" s="1257"/>
      <c r="V7" s="1257"/>
      <c r="W7" s="1257"/>
      <c r="X7" s="1258"/>
      <c r="Y7" s="1269" t="s">
        <v>701</v>
      </c>
      <c r="Z7" s="1269" t="s">
        <v>497</v>
      </c>
      <c r="AA7" s="1267" t="s">
        <v>760</v>
      </c>
      <c r="AD7" s="1277" t="s">
        <v>825</v>
      </c>
      <c r="AE7" s="1267" t="s">
        <v>826</v>
      </c>
      <c r="AG7" s="1232" t="s">
        <v>829</v>
      </c>
      <c r="AH7" s="1233">
        <v>0.388373680614224</v>
      </c>
    </row>
    <row r="8" spans="1:34" ht="13.5" thickBot="1">
      <c r="A8" s="244" t="s">
        <v>197</v>
      </c>
      <c r="B8" s="245" t="s">
        <v>4</v>
      </c>
      <c r="C8" s="246" t="s">
        <v>13</v>
      </c>
      <c r="D8" s="44"/>
      <c r="E8" s="630"/>
      <c r="F8" s="631" t="s">
        <v>42</v>
      </c>
      <c r="G8" s="632" t="s">
        <v>44</v>
      </c>
      <c r="H8" s="633" t="s">
        <v>46</v>
      </c>
      <c r="I8" s="634" t="s">
        <v>42</v>
      </c>
      <c r="J8" s="635" t="s">
        <v>44</v>
      </c>
      <c r="K8" s="636" t="s">
        <v>46</v>
      </c>
      <c r="L8" s="637" t="s">
        <v>42</v>
      </c>
      <c r="M8" s="635" t="s">
        <v>44</v>
      </c>
      <c r="N8" s="636" t="s">
        <v>46</v>
      </c>
      <c r="O8" s="634" t="s">
        <v>42</v>
      </c>
      <c r="P8" s="635" t="s">
        <v>44</v>
      </c>
      <c r="Q8" s="636" t="s">
        <v>46</v>
      </c>
      <c r="R8" s="1272"/>
      <c r="S8" s="638" t="s">
        <v>222</v>
      </c>
      <c r="T8" s="638" t="s">
        <v>223</v>
      </c>
      <c r="U8" s="638" t="s">
        <v>224</v>
      </c>
      <c r="V8" s="638" t="s">
        <v>225</v>
      </c>
      <c r="W8" s="638" t="s">
        <v>227</v>
      </c>
      <c r="X8" s="639" t="s">
        <v>226</v>
      </c>
      <c r="Y8" s="1270"/>
      <c r="Z8" s="1270"/>
      <c r="AA8" s="1268" t="s">
        <v>647</v>
      </c>
      <c r="AD8" s="1278"/>
      <c r="AE8" s="1268" t="s">
        <v>647</v>
      </c>
      <c r="AG8" s="1232" t="s">
        <v>827</v>
      </c>
      <c r="AH8" s="1233">
        <v>0.61808006835454499</v>
      </c>
    </row>
    <row r="9" spans="1:34" ht="12" customHeight="1">
      <c r="A9" s="378" t="s">
        <v>623</v>
      </c>
      <c r="B9" s="379" t="s">
        <v>574</v>
      </c>
      <c r="C9" s="379">
        <f>SUM('EB2018'!C56)*RSD_Balance!B4</f>
        <v>9.0766551305573824</v>
      </c>
      <c r="D9" s="44"/>
      <c r="E9" s="618" t="s">
        <v>623</v>
      </c>
      <c r="F9" s="619">
        <f>'SHWLP-Apt'!$AD$7+'SHWLP-Apt'!AD20</f>
        <v>0.14088938470930823</v>
      </c>
      <c r="G9" s="620">
        <f>'SHWLP-Att'!$AD$7+'SHWLP-Att'!$AD$20</f>
        <v>4.3499787500533316</v>
      </c>
      <c r="H9" s="621">
        <f>'SHWLP-Det'!$AD$7+'SHWLP-Det'!$AD$20</f>
        <v>4.0370513116407105</v>
      </c>
      <c r="I9" s="619">
        <f>'SHWLP-Apt'!$AD$33+'SHWLP-Apt'!$AD$46</f>
        <v>5.4317111964470284E-3</v>
      </c>
      <c r="J9" s="620">
        <f>'SHWLP-Att'!$AD$33+'SHWLP-Att'!$AD$46</f>
        <v>0.36393398252553949</v>
      </c>
      <c r="K9" s="621">
        <f>'SHWLP-Det'!$AD$33+'SHWLP-Det'!$AD$46</f>
        <v>0.17945814005044525</v>
      </c>
      <c r="L9" s="622"/>
      <c r="M9" s="623"/>
      <c r="N9" s="624"/>
      <c r="O9" s="622"/>
      <c r="P9" s="623"/>
      <c r="Q9" s="624"/>
      <c r="R9" s="625"/>
      <c r="S9" s="622"/>
      <c r="T9" s="623"/>
      <c r="U9" s="623"/>
      <c r="V9" s="623"/>
      <c r="W9" s="623"/>
      <c r="X9" s="624"/>
      <c r="Y9" s="723">
        <f>SUM(F9:X9)</f>
        <v>9.0767432801757817</v>
      </c>
      <c r="Z9" s="724">
        <f>C9</f>
        <v>9.0766551305573824</v>
      </c>
      <c r="AA9" s="1225">
        <f>ABS(Z9-Y9)/Z9</f>
        <v>9.7116853214517186E-6</v>
      </c>
      <c r="AD9" s="724">
        <f>AH10</f>
        <v>8.2240773456452203</v>
      </c>
      <c r="AE9" s="1225">
        <f>ABS(AD9-Y9)/AD9</f>
        <v>0.10367922122985158</v>
      </c>
      <c r="AG9" s="1232" t="s">
        <v>830</v>
      </c>
      <c r="AH9" s="1234"/>
    </row>
    <row r="10" spans="1:34" ht="12" customHeight="1">
      <c r="A10" s="248" t="s">
        <v>488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1" t="s">
        <v>488</v>
      </c>
      <c r="F10" s="433">
        <f>'SHWLP-Apt'!$AD$18+'SHWLP-Apt'!$AD$21</f>
        <v>6.3807500863230171E-2</v>
      </c>
      <c r="G10" s="432">
        <f>'SHWLP-Att'!$AD$18+'SHWLP-Att'!$AD$21</f>
        <v>2.0037561667685622</v>
      </c>
      <c r="H10" s="434">
        <f>'SHWLP-Det'!$AD$18+'SHWLP-Det'!$AD$21</f>
        <v>5.3586627391958572</v>
      </c>
      <c r="I10" s="433">
        <f>'SHWLP-Apt'!$AD$44+'SHWLP-Apt'!$AD$47</f>
        <v>6.8886842397891728E-3</v>
      </c>
      <c r="J10" s="432">
        <f>'SHWLP-Att'!$AD$44+'SHWLP-Att'!$AD$47</f>
        <v>0.38413097400639251</v>
      </c>
      <c r="K10" s="434">
        <f>'SHWLP-Det'!$AD$44+'SHWLP-Det'!$AD$47</f>
        <v>0.41144028534614663</v>
      </c>
      <c r="L10" s="433"/>
      <c r="M10" s="432"/>
      <c r="N10" s="434"/>
      <c r="O10" s="433"/>
      <c r="P10" s="432"/>
      <c r="Q10" s="434"/>
      <c r="R10" s="429"/>
      <c r="S10" s="435"/>
      <c r="T10" s="432"/>
      <c r="U10" s="432"/>
      <c r="V10" s="432"/>
      <c r="W10" s="432"/>
      <c r="X10" s="434"/>
      <c r="Y10" s="725">
        <f>SUM(F10:X10)</f>
        <v>8.228686350419979</v>
      </c>
      <c r="Z10" s="429">
        <f t="shared" ref="Z10:Z27" si="0">C10</f>
        <v>8.22868674342444</v>
      </c>
      <c r="AA10" s="1226">
        <f>ABS(Z10-Y10)/Z10</f>
        <v>4.7760289488309553E-8</v>
      </c>
      <c r="AD10" s="429">
        <f>AH19</f>
        <v>2.3005593394010901</v>
      </c>
      <c r="AE10" s="1226">
        <f>ABS(AD10-Y10)/AD10</f>
        <v>2.5768198670164151</v>
      </c>
      <c r="AG10" s="1232" t="s">
        <v>831</v>
      </c>
      <c r="AH10" s="1233">
        <v>8.2240773456452203</v>
      </c>
    </row>
    <row r="11" spans="1:34" ht="12" customHeight="1">
      <c r="A11" s="247" t="s">
        <v>763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18" t="s">
        <v>199</v>
      </c>
      <c r="F11" s="619">
        <f>'SHWLP-Apt'!$AD$10</f>
        <v>8.4333777666651996E-2</v>
      </c>
      <c r="G11" s="620">
        <f>'SHWLP-Att'!$AD$10</f>
        <v>0.3301937669179047</v>
      </c>
      <c r="H11" s="621">
        <f>'SHWLP-Det'!$AD$10</f>
        <v>1.2963977387508991</v>
      </c>
      <c r="I11" s="619">
        <f>'SHWLP-Apt'!$AD$36</f>
        <v>4.1406092070878933E-2</v>
      </c>
      <c r="J11" s="620">
        <f>'SHWLP-Att'!$AD$36</f>
        <v>0.1484909012961341</v>
      </c>
      <c r="K11" s="621">
        <f>'SHWLP-Det'!$AD$36</f>
        <v>0.31388724990642913</v>
      </c>
      <c r="L11" s="619"/>
      <c r="M11" s="620"/>
      <c r="N11" s="621"/>
      <c r="O11" s="619"/>
      <c r="P11" s="620"/>
      <c r="Q11" s="621"/>
      <c r="R11" s="626">
        <v>3.9492406345735545E-2</v>
      </c>
      <c r="S11" s="619"/>
      <c r="T11" s="620"/>
      <c r="U11" s="620"/>
      <c r="V11" s="620"/>
      <c r="W11" s="620"/>
      <c r="X11" s="621"/>
      <c r="Y11" s="723">
        <f t="shared" ref="Y11:Y25" si="1">SUM(F11:X11)</f>
        <v>2.2542019329546332</v>
      </c>
      <c r="Z11" s="724">
        <f t="shared" si="0"/>
        <v>2.2542368842613176</v>
      </c>
      <c r="AA11" s="1225">
        <f>ABS(Z11-Y11)/Z11</f>
        <v>1.5504717773198197E-5</v>
      </c>
      <c r="AD11" s="724">
        <f>AH18</f>
        <v>2.3906337779918201</v>
      </c>
      <c r="AE11" s="1225">
        <f>ABS(AD11-Y11)/AD11</f>
        <v>5.7069320400798623E-2</v>
      </c>
      <c r="AG11" s="1232" t="s">
        <v>405</v>
      </c>
      <c r="AH11" s="1233">
        <v>30.6814593518889</v>
      </c>
    </row>
    <row r="12" spans="1:34" ht="12" customHeight="1">
      <c r="A12" s="248" t="s">
        <v>762</v>
      </c>
      <c r="B12" s="254" t="str">
        <f>'EB2018'!P1</f>
        <v xml:space="preserve"> Gasoline</v>
      </c>
      <c r="C12" s="254">
        <f>'EB2018'!P56*B4</f>
        <v>0</v>
      </c>
      <c r="D12" s="44"/>
      <c r="E12" s="627" t="s">
        <v>200</v>
      </c>
      <c r="F12" s="433"/>
      <c r="G12" s="432"/>
      <c r="H12" s="434"/>
      <c r="I12" s="433"/>
      <c r="J12" s="432"/>
      <c r="K12" s="434"/>
      <c r="L12" s="433"/>
      <c r="M12" s="432"/>
      <c r="N12" s="434"/>
      <c r="O12" s="433"/>
      <c r="P12" s="432"/>
      <c r="Q12" s="434"/>
      <c r="R12" s="429"/>
      <c r="S12" s="435"/>
      <c r="T12" s="432"/>
      <c r="U12" s="432"/>
      <c r="V12" s="432"/>
      <c r="W12" s="432"/>
      <c r="X12" s="434"/>
      <c r="Y12" s="725">
        <f t="shared" si="1"/>
        <v>0</v>
      </c>
      <c r="Z12" s="429">
        <f t="shared" si="0"/>
        <v>0</v>
      </c>
      <c r="AA12" s="1226"/>
      <c r="AD12" s="429"/>
      <c r="AE12" s="1226"/>
      <c r="AG12" s="1232" t="s">
        <v>832</v>
      </c>
      <c r="AH12" s="1234"/>
    </row>
    <row r="13" spans="1:34" ht="12" customHeight="1">
      <c r="A13" s="247" t="s">
        <v>764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18" t="s">
        <v>201</v>
      </c>
      <c r="F13" s="619">
        <f>'SHWLP-Apt'!$AD$14</f>
        <v>0.28026313861528218</v>
      </c>
      <c r="G13" s="620">
        <f>'SHWLP-Att'!$AD$14</f>
        <v>8.0111021758987562</v>
      </c>
      <c r="H13" s="621">
        <f>'SHWLP-Det'!$AD$14</f>
        <v>28.543465117421601</v>
      </c>
      <c r="I13" s="619">
        <f>'SHWLP-Apt'!$AD$40</f>
        <v>9.6139741623896893E-2</v>
      </c>
      <c r="J13" s="620">
        <f>'SHWLP-Att'!$AD$40</f>
        <v>3.7934126877756484</v>
      </c>
      <c r="K13" s="621">
        <f>'SHWLP-Det'!$AD$40</f>
        <v>9.5563702556878223</v>
      </c>
      <c r="L13" s="619"/>
      <c r="M13" s="620"/>
      <c r="N13" s="621"/>
      <c r="O13" s="619"/>
      <c r="P13" s="620"/>
      <c r="Q13" s="621"/>
      <c r="R13" s="626"/>
      <c r="S13" s="619"/>
      <c r="T13" s="620"/>
      <c r="U13" s="620"/>
      <c r="V13" s="620"/>
      <c r="W13" s="620"/>
      <c r="X13" s="621"/>
      <c r="Y13" s="726">
        <f t="shared" si="1"/>
        <v>50.280753117023011</v>
      </c>
      <c r="Z13" s="727">
        <f t="shared" si="0"/>
        <v>36.243917659777566</v>
      </c>
      <c r="AA13" s="1227">
        <f>ABS(Z13+Z14+Z16-Y13)/(Z13+Z14+Z16)</f>
        <v>4.0655722327288867E-5</v>
      </c>
      <c r="AD13" s="727">
        <f>AH17</f>
        <v>52.065388400885197</v>
      </c>
      <c r="AE13" s="1227">
        <f>ABS(AD13-Y13)/AD13</f>
        <v>3.4276807273982517E-2</v>
      </c>
      <c r="AG13" s="1232" t="s">
        <v>833</v>
      </c>
      <c r="AH13" s="1233">
        <v>27.084464301754199</v>
      </c>
    </row>
    <row r="14" spans="1:34" ht="12" customHeight="1">
      <c r="A14" s="248" t="s">
        <v>765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27" t="s">
        <v>202</v>
      </c>
      <c r="F14" s="433"/>
      <c r="G14" s="432"/>
      <c r="H14" s="434"/>
      <c r="I14" s="433"/>
      <c r="J14" s="432"/>
      <c r="K14" s="434"/>
      <c r="L14" s="433"/>
      <c r="M14" s="432"/>
      <c r="N14" s="434"/>
      <c r="O14" s="433"/>
      <c r="P14" s="432"/>
      <c r="Q14" s="434"/>
      <c r="R14" s="429"/>
      <c r="S14" s="435"/>
      <c r="T14" s="432"/>
      <c r="U14" s="432"/>
      <c r="V14" s="432"/>
      <c r="W14" s="432"/>
      <c r="X14" s="434"/>
      <c r="Y14" s="728">
        <f t="shared" si="1"/>
        <v>0</v>
      </c>
      <c r="Z14" s="729">
        <f t="shared" si="0"/>
        <v>13.812630439383646</v>
      </c>
      <c r="AA14" s="1228">
        <f>ABS(Z13+Z14+Z16-Y13)/(Z13+Z14+Z16)</f>
        <v>4.0655722327288867E-5</v>
      </c>
      <c r="AD14" s="729"/>
      <c r="AE14" s="1228"/>
      <c r="AG14" s="1232" t="s">
        <v>1193</v>
      </c>
      <c r="AH14" s="1233">
        <v>4.3174466571953903E-2</v>
      </c>
    </row>
    <row r="15" spans="1:34" ht="12" customHeight="1">
      <c r="A15" s="247" t="s">
        <v>766</v>
      </c>
      <c r="B15" s="253" t="str">
        <f>'EB2018'!S1</f>
        <v xml:space="preserve"> Fueloil</v>
      </c>
      <c r="C15" s="253">
        <f>'EB2018'!S56*RSD_Balance!B4</f>
        <v>0</v>
      </c>
      <c r="D15" s="44"/>
      <c r="E15" s="628" t="s">
        <v>203</v>
      </c>
      <c r="F15" s="619"/>
      <c r="G15" s="620"/>
      <c r="H15" s="621"/>
      <c r="I15" s="619"/>
      <c r="J15" s="620"/>
      <c r="K15" s="621"/>
      <c r="L15" s="619"/>
      <c r="M15" s="620"/>
      <c r="N15" s="621"/>
      <c r="O15" s="619"/>
      <c r="P15" s="620"/>
      <c r="Q15" s="621"/>
      <c r="R15" s="626"/>
      <c r="S15" s="619"/>
      <c r="T15" s="620"/>
      <c r="U15" s="620"/>
      <c r="V15" s="620"/>
      <c r="W15" s="620"/>
      <c r="X15" s="621"/>
      <c r="Y15" s="726">
        <f t="shared" si="1"/>
        <v>0</v>
      </c>
      <c r="Z15" s="729">
        <f t="shared" si="0"/>
        <v>0</v>
      </c>
      <c r="AA15" s="1228">
        <f>ABS(Z13+Z14+Z16-Y13)/(Z13+Z14+Z16)</f>
        <v>4.0655722327288867E-5</v>
      </c>
      <c r="AD15" s="729"/>
      <c r="AE15" s="1228"/>
      <c r="AG15" s="1232" t="s">
        <v>1152</v>
      </c>
      <c r="AH15" s="1233">
        <v>5.3498564604155897E-2</v>
      </c>
    </row>
    <row r="16" spans="1:34" ht="12" customHeight="1">
      <c r="A16" s="248" t="s">
        <v>767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27" t="s">
        <v>204</v>
      </c>
      <c r="F16" s="433"/>
      <c r="G16" s="432"/>
      <c r="H16" s="434"/>
      <c r="I16" s="433"/>
      <c r="J16" s="432"/>
      <c r="K16" s="434"/>
      <c r="L16" s="433"/>
      <c r="M16" s="432"/>
      <c r="N16" s="434"/>
      <c r="O16" s="433"/>
      <c r="P16" s="432"/>
      <c r="Q16" s="434"/>
      <c r="R16" s="429"/>
      <c r="S16" s="435"/>
      <c r="T16" s="432"/>
      <c r="U16" s="432"/>
      <c r="V16" s="432"/>
      <c r="W16" s="432"/>
      <c r="X16" s="434"/>
      <c r="Y16" s="728">
        <f t="shared" si="1"/>
        <v>0</v>
      </c>
      <c r="Z16" s="729">
        <f t="shared" si="0"/>
        <v>0.22624930131075338</v>
      </c>
      <c r="AA16" s="1228">
        <f>ABS(Z13+Z14+Z16-Y13)/(Z13+Z14+Z16)</f>
        <v>4.0655722327288867E-5</v>
      </c>
      <c r="AD16" s="729"/>
      <c r="AE16" s="1228"/>
      <c r="AG16" s="1232" t="s">
        <v>1252</v>
      </c>
      <c r="AH16" s="1233">
        <v>0.168999939184209</v>
      </c>
    </row>
    <row r="17" spans="1:41" ht="12" customHeight="1">
      <c r="A17" s="247" t="s">
        <v>768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18" t="s">
        <v>205</v>
      </c>
      <c r="F17" s="619">
        <f>'SHWLP-Apt'!$AD$16</f>
        <v>1.11332681050588</v>
      </c>
      <c r="G17" s="620">
        <f>'SHWLP-Att'!$AD$16</f>
        <v>10.275932860993116</v>
      </c>
      <c r="H17" s="621">
        <f>'SHWLP-Det'!$AD$16</f>
        <v>4.7650920868708724</v>
      </c>
      <c r="I17" s="619">
        <f>'SHWLP-Apt'!$AD$42</f>
        <v>0.94404298276645071</v>
      </c>
      <c r="J17" s="620">
        <f>'SHWLP-Att'!$AD$42</f>
        <v>5.6874390618775479</v>
      </c>
      <c r="K17" s="621">
        <f>'SHWLP-Det'!$AD$42</f>
        <v>1.8364064713081645</v>
      </c>
      <c r="L17" s="619"/>
      <c r="M17" s="620"/>
      <c r="N17" s="621"/>
      <c r="O17" s="619"/>
      <c r="P17" s="620"/>
      <c r="Q17" s="621"/>
      <c r="R17" s="626">
        <v>0.66992893469234771</v>
      </c>
      <c r="S17" s="619"/>
      <c r="T17" s="620"/>
      <c r="U17" s="620"/>
      <c r="V17" s="620"/>
      <c r="W17" s="620"/>
      <c r="X17" s="621"/>
      <c r="Y17" s="723">
        <f>SUM(F17:X17)</f>
        <v>25.292169209014382</v>
      </c>
      <c r="Z17" s="724">
        <f t="shared" si="0"/>
        <v>25.292197479166735</v>
      </c>
      <c r="AA17" s="1225">
        <f>ABS(Z17-Y17)/Z17</f>
        <v>1.117742037863321E-6</v>
      </c>
      <c r="AD17" s="724">
        <f>AH13</f>
        <v>27.084464301754199</v>
      </c>
      <c r="AE17" s="1225">
        <f>ABS(AD17-Y17)/AD17</f>
        <v>6.6174286217052264E-2</v>
      </c>
      <c r="AG17" s="1232" t="s">
        <v>834</v>
      </c>
      <c r="AH17" s="1233">
        <v>52.065388400885197</v>
      </c>
    </row>
    <row r="18" spans="1:41" ht="12" customHeight="1">
      <c r="A18" s="248" t="s">
        <v>769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29" t="s">
        <v>206</v>
      </c>
      <c r="F18" s="433"/>
      <c r="G18" s="432"/>
      <c r="H18" s="434"/>
      <c r="I18" s="433">
        <f>($C$18*0.05)</f>
        <v>2.8008835678000416E-2</v>
      </c>
      <c r="J18" s="432">
        <f>($C$18*0.475)</f>
        <v>0.26608393894100396</v>
      </c>
      <c r="K18" s="434">
        <f>($C$18*0.475)</f>
        <v>0.26608393894100396</v>
      </c>
      <c r="L18" s="433"/>
      <c r="M18" s="432"/>
      <c r="N18" s="434"/>
      <c r="O18" s="433"/>
      <c r="P18" s="432"/>
      <c r="Q18" s="434"/>
      <c r="R18" s="429"/>
      <c r="S18" s="435"/>
      <c r="T18" s="432"/>
      <c r="U18" s="432"/>
      <c r="V18" s="432"/>
      <c r="W18" s="432"/>
      <c r="X18" s="434"/>
      <c r="Y18" s="725">
        <f t="shared" si="1"/>
        <v>0.56017671356000842</v>
      </c>
      <c r="Z18" s="429">
        <f t="shared" si="0"/>
        <v>0.56017671356000831</v>
      </c>
      <c r="AA18" s="1226">
        <f>ABS(Z18-Y18)/Z18</f>
        <v>1.9819157022246073E-16</v>
      </c>
      <c r="AD18" s="429">
        <f>AH20</f>
        <v>0.61619438491600997</v>
      </c>
      <c r="AE18" s="1226">
        <f>ABS(AD18-Y18)/AD18</f>
        <v>9.0909090909091952E-2</v>
      </c>
      <c r="AG18" s="1232" t="s">
        <v>835</v>
      </c>
      <c r="AH18" s="1235">
        <v>2.3906337779918201</v>
      </c>
    </row>
    <row r="19" spans="1:41" ht="12" customHeight="1">
      <c r="A19" s="247" t="s">
        <v>770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18" t="s">
        <v>207</v>
      </c>
      <c r="F19" s="619">
        <f>'SHWLP-Apt'!$AD$22+'SHWLP-Apt'!$AD$23</f>
        <v>1.1894113042988996E-2</v>
      </c>
      <c r="G19" s="620">
        <f>'SHWLP-Att'!$AD$22+'SHWLP-Att'!$AD$23</f>
        <v>0.24646857943340456</v>
      </c>
      <c r="H19" s="621">
        <f>'SHWLP-Det'!$AD$22+'SHWLP-Det'!$AD$23</f>
        <v>0.84182088217863349</v>
      </c>
      <c r="I19" s="619">
        <f>'SHWLP-Apt'!$AD$49+'SHWLP-Apt'!$AD$48</f>
        <v>4.2047263347078879E-3</v>
      </c>
      <c r="J19" s="620">
        <f>'SHWLP-Att'!$AD$49+'SHWLP-Att'!$AD$48</f>
        <v>4.2736840784657885E-2</v>
      </c>
      <c r="K19" s="621">
        <f>'SHWLP-Det'!$AD$49+'SHWLP-Det'!$AD$48</f>
        <v>9.9525582818412756E-2</v>
      </c>
      <c r="L19" s="619"/>
      <c r="M19" s="620"/>
      <c r="N19" s="621"/>
      <c r="O19" s="619"/>
      <c r="P19" s="620"/>
      <c r="Q19" s="621"/>
      <c r="R19" s="626"/>
      <c r="S19" s="619"/>
      <c r="T19" s="620"/>
      <c r="U19" s="620"/>
      <c r="V19" s="620"/>
      <c r="W19" s="620"/>
      <c r="X19" s="621"/>
      <c r="Y19" s="723">
        <f>SUM(F19:X19)</f>
        <v>1.2466507245928053</v>
      </c>
      <c r="Z19" s="724">
        <f t="shared" si="0"/>
        <v>1.2466650078070101</v>
      </c>
      <c r="AA19" s="1225">
        <f>ABS(Z19-Y19)/Z19</f>
        <v>1.1457138938902871E-5</v>
      </c>
      <c r="AD19" s="724">
        <f>AH21</f>
        <v>0.803853629996791</v>
      </c>
      <c r="AE19" s="1225">
        <f>ABS(AD19-Y19)/AD19</f>
        <v>0.55084293716230659</v>
      </c>
      <c r="AG19" s="1232" t="s">
        <v>406</v>
      </c>
      <c r="AH19" s="1233">
        <v>2.3005593394010901</v>
      </c>
    </row>
    <row r="20" spans="1:41" ht="12" customHeight="1">
      <c r="A20" s="248" t="s">
        <v>771</v>
      </c>
      <c r="B20" s="254" t="str">
        <f>'EB2018'!AH1</f>
        <v xml:space="preserve"> Biogas</v>
      </c>
      <c r="C20" s="254">
        <f>'EB2018'!AH56*RSD_Balance!B4</f>
        <v>0</v>
      </c>
      <c r="D20" s="44"/>
      <c r="E20" s="627" t="s">
        <v>208</v>
      </c>
      <c r="F20" s="433"/>
      <c r="G20" s="432"/>
      <c r="H20" s="434"/>
      <c r="I20" s="433"/>
      <c r="J20" s="432"/>
      <c r="K20" s="434"/>
      <c r="L20" s="433"/>
      <c r="M20" s="432"/>
      <c r="N20" s="434"/>
      <c r="O20" s="433"/>
      <c r="P20" s="432"/>
      <c r="Q20" s="434"/>
      <c r="R20" s="429"/>
      <c r="S20" s="435"/>
      <c r="T20" s="432"/>
      <c r="U20" s="432"/>
      <c r="V20" s="432"/>
      <c r="W20" s="432"/>
      <c r="X20" s="434"/>
      <c r="Y20" s="725">
        <f t="shared" si="1"/>
        <v>0</v>
      </c>
      <c r="Z20" s="429">
        <f t="shared" si="0"/>
        <v>0</v>
      </c>
      <c r="AA20" s="1226"/>
      <c r="AD20" s="429"/>
      <c r="AE20" s="1226"/>
      <c r="AG20" s="1232" t="s">
        <v>836</v>
      </c>
      <c r="AH20" s="1233">
        <v>0.61619438491600997</v>
      </c>
    </row>
    <row r="21" spans="1:41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18" t="s">
        <v>209</v>
      </c>
      <c r="F21" s="619"/>
      <c r="G21" s="620"/>
      <c r="H21" s="621"/>
      <c r="I21" s="619"/>
      <c r="J21" s="620"/>
      <c r="K21" s="621"/>
      <c r="L21" s="619"/>
      <c r="M21" s="620"/>
      <c r="N21" s="621"/>
      <c r="O21" s="619"/>
      <c r="P21" s="620"/>
      <c r="Q21" s="621"/>
      <c r="R21" s="626"/>
      <c r="S21" s="619"/>
      <c r="T21" s="620"/>
      <c r="U21" s="620"/>
      <c r="V21" s="620"/>
      <c r="W21" s="620"/>
      <c r="X21" s="621"/>
      <c r="Y21" s="723">
        <f t="shared" si="1"/>
        <v>0</v>
      </c>
      <c r="Z21" s="724">
        <f t="shared" si="0"/>
        <v>0</v>
      </c>
      <c r="AA21" s="1225"/>
      <c r="AD21" s="724"/>
      <c r="AE21" s="1225"/>
      <c r="AG21" s="1232" t="s">
        <v>837</v>
      </c>
      <c r="AH21" s="1233">
        <v>0.803853629996791</v>
      </c>
    </row>
    <row r="22" spans="1:41" ht="12" customHeight="1">
      <c r="A22" s="248" t="s">
        <v>810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29" t="s">
        <v>817</v>
      </c>
      <c r="F22" s="433">
        <f>('SHWLP-Apt'!$AD$12/('SHWLP-Apt'!$AD$12+'SHWLP-Att'!$AD$12+'SHWLP-Det'!$AD$12+'SHWLP-Apt'!$AD$38+'SHWLP-Att'!$AD$38+'SHWLP-Det'!$AD$38+'SHWLP-Apt'!AD24+'SHWLP-Apt'!AD50+'SHWLP-Att'!AD24+'SHWLP-Att'!AD50+'SHWLP-Det'!AD24+'SHWLP-Det'!AD50))</f>
        <v>0.15605330351776428</v>
      </c>
      <c r="G22" s="432">
        <f>('SHWLP-Att'!$AD$12/('SHWLP-Apt'!$AD$12+'SHWLP-Att'!$AD$12+'SHWLP-Det'!$AD$12+'SHWLP-Apt'!$AD$38+'SHWLP-Att'!$AD$38+'SHWLP-Det'!$AD$38+'SHWLP-Apt'!AD24+'SHWLP-Apt'!AD50+'SHWLP-Att'!AD24+'SHWLP-Att'!AD50+'SHWLP-Det'!AD24+'SHWLP-Det'!AD50))</f>
        <v>8.9031118259609021E-2</v>
      </c>
      <c r="H22" s="434">
        <f>('SHWLP-Det'!$AD$12/('SHWLP-Apt'!$AD$12+'SHWLP-Att'!$AD$12+'SHWLP-Det'!$AD$12+'SHWLP-Apt'!$AD$38+'SHWLP-Att'!$AD$38+'SHWLP-Det'!$AD$38+'SHWLP-Apt'!AD24+'SHWLP-Apt'!AD50+'SHWLP-Att'!AD24+'SHWLP-Att'!AD50+'SHWLP-Det'!AD24+'SHWLP-Det'!AD50))</f>
        <v>0.10798256059919362</v>
      </c>
      <c r="I22" s="433">
        <f>('SHWLP-Apt'!$AD$38/('SHWLP-Apt'!$AD$12+'SHWLP-Att'!$AD$12+'SHWLP-Det'!$AD$12+'SHWLP-Apt'!$AD$38+'SHWLP-Att'!$AD$38+'SHWLP-Det'!$AD$38+'SHWLP-Apt'!AD50))</f>
        <v>0.33149143279774945</v>
      </c>
      <c r="J22" s="432">
        <f>('SHWLP-Att'!$AD$38/('SHWLP-Apt'!$AD$12+'SHWLP-Att'!$AD$12+'SHWLP-Det'!$AD$12+'SHWLP-Apt'!$AD$38+'SHWLP-Att'!$AD$38+'SHWLP-Det'!$AD$38+'SHWLP-Att'!AD50))</f>
        <v>0.14183133358070291</v>
      </c>
      <c r="K22" s="434">
        <f>('SHWLP-Det'!$AD$38/('SHWLP-Apt'!$AD$12+'SHWLP-Att'!$AD$12+'SHWLP-Det'!$AD$12+'SHWLP-Apt'!$AD$38+'SHWLP-Att'!$AD$38+'SHWLP-Det'!$AD$38+'SHWLP-Det'!AD50))</f>
        <v>8.8568204852951998E-2</v>
      </c>
      <c r="L22" s="433"/>
      <c r="M22" s="432"/>
      <c r="N22" s="434"/>
      <c r="O22" s="433"/>
      <c r="P22" s="432"/>
      <c r="Q22" s="434"/>
      <c r="R22" s="429"/>
      <c r="S22" s="435"/>
      <c r="T22" s="432"/>
      <c r="U22" s="432"/>
      <c r="V22" s="432"/>
      <c r="W22" s="432"/>
      <c r="X22" s="434"/>
      <c r="Y22" s="730">
        <f>SUM(F22:X22)</f>
        <v>0.91495795360797127</v>
      </c>
      <c r="Z22" s="731">
        <f t="shared" si="0"/>
        <v>1.1669028796434333</v>
      </c>
      <c r="AA22" s="1229">
        <f>ABS(Z22+Z27-Y22-Y27)/(Z22+Z27)</f>
        <v>1.6198346643649369E-5</v>
      </c>
      <c r="AD22" s="731">
        <f>AH7+AH8+AH14+AH15+AH16</f>
        <v>1.2721267193290879</v>
      </c>
      <c r="AE22" s="1229">
        <f>ABS(AD22-Y22)/SUM(AD22+AD27)</f>
        <v>0.28076508440093556</v>
      </c>
    </row>
    <row r="23" spans="1:41" ht="12" customHeight="1">
      <c r="A23" s="247" t="s">
        <v>772</v>
      </c>
      <c r="B23" s="253" t="s">
        <v>211</v>
      </c>
      <c r="C23" s="253">
        <f>'EB2018'!AI56*RSD_Balance!B4*0.5</f>
        <v>0</v>
      </c>
      <c r="D23" s="44"/>
      <c r="E23" s="618" t="s">
        <v>210</v>
      </c>
      <c r="F23" s="619">
        <f>'SHWLP-Apt'!$AD$9</f>
        <v>1.7171001103336854E-8</v>
      </c>
      <c r="G23" s="620">
        <f>'SHWLP-Att'!$AD$9</f>
        <v>0</v>
      </c>
      <c r="H23" s="621">
        <f>'SHWLP-Det'!$AD$9</f>
        <v>0</v>
      </c>
      <c r="I23" s="619">
        <f>'SHWLP-Apt'!$AD$35</f>
        <v>4.5005728972452945E-5</v>
      </c>
      <c r="J23" s="620">
        <f>'SHWLP-Att'!$AD$35</f>
        <v>2.2157851365122476E-5</v>
      </c>
      <c r="K23" s="621">
        <f>'SHWLP-Det'!$AD$35</f>
        <v>7.4614539264849356E-5</v>
      </c>
      <c r="L23" s="619"/>
      <c r="M23" s="620"/>
      <c r="N23" s="621"/>
      <c r="O23" s="619"/>
      <c r="P23" s="620"/>
      <c r="Q23" s="621"/>
      <c r="R23" s="626"/>
      <c r="S23" s="619"/>
      <c r="T23" s="620"/>
      <c r="U23" s="620"/>
      <c r="V23" s="620"/>
      <c r="W23" s="620"/>
      <c r="X23" s="621"/>
      <c r="Y23" s="723">
        <f t="shared" si="1"/>
        <v>1.4179529060352812E-4</v>
      </c>
      <c r="Z23" s="724">
        <f t="shared" si="0"/>
        <v>0</v>
      </c>
      <c r="AA23" s="1225"/>
      <c r="AD23" s="724"/>
      <c r="AE23" s="1225"/>
    </row>
    <row r="24" spans="1:41" ht="12" customHeight="1">
      <c r="A24" s="248" t="s">
        <v>773</v>
      </c>
      <c r="B24" s="254" t="s">
        <v>213</v>
      </c>
      <c r="C24" s="254">
        <f>'EB2018'!AI56*RSD_Balance!B4*0.5</f>
        <v>0</v>
      </c>
      <c r="D24" s="44"/>
      <c r="E24" s="627" t="s">
        <v>212</v>
      </c>
      <c r="F24" s="433">
        <f>'SHWLP-Apt'!$AD$8</f>
        <v>2.3936375538051573E-5</v>
      </c>
      <c r="G24" s="432">
        <f>'SHWLP-Att'!$AD$8</f>
        <v>2.9862745702345111E-5</v>
      </c>
      <c r="H24" s="434">
        <f>'SHWLP-Det'!$AD$8</f>
        <v>0</v>
      </c>
      <c r="I24" s="433">
        <f>'SHWLP-Apt'!$AD$34</f>
        <v>4.9806870366433856E-5</v>
      </c>
      <c r="J24" s="432">
        <f>'SHWLP-Att'!$AD$34</f>
        <v>7.9147763787860303E-5</v>
      </c>
      <c r="K24" s="434">
        <f>'SHWLP-Det'!$AD$34</f>
        <v>6.5871038279615243E-5</v>
      </c>
      <c r="L24" s="433"/>
      <c r="M24" s="432"/>
      <c r="N24" s="434"/>
      <c r="O24" s="433"/>
      <c r="P24" s="432"/>
      <c r="Q24" s="434"/>
      <c r="R24" s="429"/>
      <c r="S24" s="435"/>
      <c r="T24" s="432"/>
      <c r="U24" s="432"/>
      <c r="V24" s="432"/>
      <c r="W24" s="432"/>
      <c r="X24" s="434"/>
      <c r="Y24" s="725">
        <f t="shared" si="1"/>
        <v>2.486247936743061E-4</v>
      </c>
      <c r="Z24" s="429">
        <f t="shared" si="0"/>
        <v>0</v>
      </c>
      <c r="AA24" s="1226"/>
      <c r="AD24" s="429"/>
      <c r="AE24" s="1226"/>
    </row>
    <row r="25" spans="1:41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28" t="s">
        <v>214</v>
      </c>
      <c r="F25" s="619"/>
      <c r="G25" s="620"/>
      <c r="H25" s="621"/>
      <c r="I25" s="619"/>
      <c r="J25" s="620"/>
      <c r="K25" s="621"/>
      <c r="L25" s="619"/>
      <c r="M25" s="620"/>
      <c r="N25" s="621"/>
      <c r="O25" s="619"/>
      <c r="P25" s="620"/>
      <c r="Q25" s="621"/>
      <c r="R25" s="626"/>
      <c r="S25" s="619"/>
      <c r="T25" s="620"/>
      <c r="U25" s="620"/>
      <c r="V25" s="620"/>
      <c r="W25" s="620"/>
      <c r="X25" s="621"/>
      <c r="Y25" s="723">
        <f t="shared" si="1"/>
        <v>0</v>
      </c>
      <c r="Z25" s="724">
        <f t="shared" si="0"/>
        <v>0</v>
      </c>
      <c r="AA25" s="1225"/>
      <c r="AD25" s="724"/>
      <c r="AE25" s="1225"/>
    </row>
    <row r="26" spans="1:41" ht="12" customHeight="1">
      <c r="A26" s="248" t="s">
        <v>604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1" t="s">
        <v>604</v>
      </c>
      <c r="F26" s="433">
        <f>'SHWLP-Apt'!$AD$11+'SHWLP-Apt'!$AD$13</f>
        <v>0.66840754876234443</v>
      </c>
      <c r="G26" s="432">
        <f>'SHWLP-Att'!$AD$11+'SHWLP-Att'!$AD$13</f>
        <v>1.0707394409587661</v>
      </c>
      <c r="H26" s="434">
        <f>'SHWLP-Det'!$AD$11+'SHWLP-Det'!$AD$13</f>
        <v>1.5744833917625549</v>
      </c>
      <c r="I26" s="433">
        <f>'SHWLP-Apt'!$AD$37+'SHWLP-Apt'!$AD$39</f>
        <v>0.70670765937414459</v>
      </c>
      <c r="J26" s="432">
        <f>'SHWLP-Att'!$AD$37+'SHWLP-Att'!$AD$39</f>
        <v>0.55627340093237743</v>
      </c>
      <c r="K26" s="434">
        <f>'SHWLP-Det'!$AD$37+'SHWLP-Det'!$AD$39</f>
        <v>0.47495633046760044</v>
      </c>
      <c r="L26" s="433">
        <f>'SHWLP-Apt'!$AD$59</f>
        <v>0.34338774672584782</v>
      </c>
      <c r="M26" s="432">
        <f>'SHWLP-Att'!$AD$59</f>
        <v>1.777616076442444</v>
      </c>
      <c r="N26" s="434">
        <f>'SHWLP-Det'!$AD$59</f>
        <v>2.7497728874091618</v>
      </c>
      <c r="O26" s="433">
        <f>'SHWLP-Apt'!$AD$60</f>
        <v>7.0758063219754266E-2</v>
      </c>
      <c r="P26" s="432">
        <f>'SHWLP-Att'!$AD$60</f>
        <v>0.4922513905661115</v>
      </c>
      <c r="Q26" s="434">
        <f>'SHWLP-Det'!$AD$60</f>
        <v>0.57234812395401602</v>
      </c>
      <c r="R26" s="429">
        <v>2.051734110329881</v>
      </c>
      <c r="S26" s="435">
        <f>(T38*0.0000000036)*(DwellingStocks!R28*RSD_Balance!U38)</f>
        <v>1.4281426678103328</v>
      </c>
      <c r="T26" s="432">
        <f>(T36*0.0000000036)*(DwellingStocks!R28*RSD_Balance!U36)</f>
        <v>1.1151568558713798</v>
      </c>
      <c r="U26" s="432">
        <f>(T37*0.0000000036)*(DwellingStocks!R28*RSD_Balance!U37)</f>
        <v>1.734692564090452</v>
      </c>
      <c r="V26" s="432">
        <f>(T39*0.0000000036)*(DwellingStocks!R28*RSD_Balance!U39)</f>
        <v>1.2000107871081629</v>
      </c>
      <c r="W26" s="432">
        <v>10.843443600154002</v>
      </c>
      <c r="X26" s="434">
        <v>0</v>
      </c>
      <c r="Y26" s="725">
        <f>SUM(F26:X26)</f>
        <v>29.430882645939334</v>
      </c>
      <c r="Z26" s="429">
        <f t="shared" si="0"/>
        <v>29.430890206847998</v>
      </c>
      <c r="AA26" s="1226">
        <f>ABS(Z26-Y26)/Z26</f>
        <v>2.5690383846585423E-7</v>
      </c>
      <c r="AD26" s="429">
        <f>AH11</f>
        <v>30.6814593518889</v>
      </c>
      <c r="AE26" s="1226">
        <f>ABS(AD26-Y26)/AD26</f>
        <v>4.0760013779219874E-2</v>
      </c>
    </row>
    <row r="27" spans="1:41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18" t="s">
        <v>215</v>
      </c>
      <c r="F27" s="619">
        <f>'SHWLP-Apt'!$AD$24</f>
        <v>3.9249515065412556E-2</v>
      </c>
      <c r="G27" s="620">
        <f>'SHWLP-Att'!$AD$24</f>
        <v>4.6219373922411294E-2</v>
      </c>
      <c r="H27" s="621">
        <f>'SHWLP-Det'!$AD$24</f>
        <v>0.15260542178598491</v>
      </c>
      <c r="I27" s="619">
        <f>'SHWLP-Apt'!$AD$50</f>
        <v>1.0405141992373827E-2</v>
      </c>
      <c r="J27" s="620">
        <f>'SHWLP-Att'!$AD$50</f>
        <v>2.4156848086393664E-3</v>
      </c>
      <c r="K27" s="621">
        <f>'SHWLP-Det'!$AD$50</f>
        <v>1.030886563296115E-3</v>
      </c>
      <c r="L27" s="619"/>
      <c r="M27" s="620"/>
      <c r="N27" s="621"/>
      <c r="O27" s="619"/>
      <c r="P27" s="620"/>
      <c r="Q27" s="621"/>
      <c r="R27" s="626"/>
      <c r="S27" s="619"/>
      <c r="T27" s="620"/>
      <c r="U27" s="620"/>
      <c r="V27" s="620"/>
      <c r="W27" s="620"/>
      <c r="X27" s="621"/>
      <c r="Y27" s="732">
        <f>SUM(F27:X27)</f>
        <v>0.2519260241381181</v>
      </c>
      <c r="Z27" s="733">
        <f t="shared" si="0"/>
        <v>0</v>
      </c>
      <c r="AA27" s="1230">
        <f>ABS(Z22+Z27-Y22-Y27)/(Z22+Z27)</f>
        <v>1.6198346643649369E-5</v>
      </c>
      <c r="AD27" s="733"/>
      <c r="AE27" s="1230"/>
    </row>
    <row r="28" spans="1:41" ht="12.75" customHeight="1" thickBot="1">
      <c r="A28" s="249"/>
      <c r="B28" s="250" t="s">
        <v>216</v>
      </c>
      <c r="C28" s="251">
        <f>SUM(C9:C27)</f>
        <v>127.53920844574029</v>
      </c>
      <c r="D28" s="44"/>
      <c r="E28" s="507" t="s">
        <v>496</v>
      </c>
      <c r="F28" s="507">
        <f>SUM('SHWLP-Apt'!AD20:AD22)</f>
        <v>7.9849289423245359E-2</v>
      </c>
      <c r="G28" s="507">
        <f>SUM('SHWLP-Att'!AD20:AD22)</f>
        <v>2.5206664290858622</v>
      </c>
      <c r="H28" s="507">
        <f>SUM('SHWLP-Det'!AD20:AD22)</f>
        <v>6.6344931784146981</v>
      </c>
      <c r="I28" s="507">
        <f>SUM('SHWLP-Apt'!AD46:AD48)</f>
        <v>8.6817565409060687E-3</v>
      </c>
      <c r="J28" s="507">
        <f>SUM('SHWLP-Att'!AD46:AD48)</f>
        <v>0.47682041040649636</v>
      </c>
      <c r="K28" s="507">
        <f>SUM('SHWLP-Det'!AD46:AD48)</f>
        <v>0.51400154510024965</v>
      </c>
      <c r="L28" s="507"/>
      <c r="M28" s="507"/>
      <c r="N28" s="507"/>
      <c r="O28" s="507"/>
      <c r="P28" s="507"/>
      <c r="Q28" s="507"/>
      <c r="R28" s="507"/>
      <c r="S28" s="507"/>
      <c r="T28" s="507"/>
      <c r="U28" s="507"/>
      <c r="V28" s="507"/>
      <c r="W28" s="507"/>
      <c r="X28" s="507"/>
      <c r="Y28" s="507">
        <f>SUM(F28:K28)</f>
        <v>10.234512608971457</v>
      </c>
      <c r="Z28" s="508"/>
      <c r="AA28" s="1224"/>
      <c r="AD28" s="37"/>
    </row>
    <row r="29" spans="1:41" ht="13.5" thickBot="1">
      <c r="A29" s="37"/>
      <c r="B29" s="37"/>
      <c r="C29" s="37"/>
      <c r="D29" s="37"/>
      <c r="E29" s="37"/>
      <c r="F29" s="404">
        <f t="shared" ref="F29:K29" si="2">SUM(F9:F27)</f>
        <v>2.5582490462954022</v>
      </c>
      <c r="G29" s="404">
        <f t="shared" si="2"/>
        <v>26.423452095951568</v>
      </c>
      <c r="H29" s="404">
        <f t="shared" si="2"/>
        <v>46.67756125020631</v>
      </c>
      <c r="I29" s="404">
        <f t="shared" si="2"/>
        <v>2.1748218206737775</v>
      </c>
      <c r="J29" s="404">
        <f t="shared" si="2"/>
        <v>11.386850112143797</v>
      </c>
      <c r="K29" s="404">
        <f t="shared" si="2"/>
        <v>13.227867831519816</v>
      </c>
      <c r="L29" s="406">
        <f t="shared" ref="L29:X29" si="3">SUM(L9:L27)</f>
        <v>0.34338774672584782</v>
      </c>
      <c r="M29" s="406">
        <f t="shared" si="3"/>
        <v>1.777616076442444</v>
      </c>
      <c r="N29" s="406">
        <f t="shared" si="3"/>
        <v>2.7497728874091618</v>
      </c>
      <c r="O29" s="406">
        <f t="shared" si="3"/>
        <v>7.0758063219754266E-2</v>
      </c>
      <c r="P29" s="406">
        <f t="shared" si="3"/>
        <v>0.4922513905661115</v>
      </c>
      <c r="Q29" s="406">
        <f t="shared" si="3"/>
        <v>0.57234812395401602</v>
      </c>
      <c r="R29" s="510">
        <f t="shared" si="3"/>
        <v>2.7611554513679644</v>
      </c>
      <c r="S29" s="406">
        <f t="shared" si="3"/>
        <v>1.4281426678103328</v>
      </c>
      <c r="T29" s="406">
        <f t="shared" si="3"/>
        <v>1.1151568558713798</v>
      </c>
      <c r="U29" s="406">
        <f t="shared" si="3"/>
        <v>1.734692564090452</v>
      </c>
      <c r="V29" s="406">
        <f t="shared" si="3"/>
        <v>1.2000107871081629</v>
      </c>
      <c r="W29" s="509">
        <f t="shared" si="3"/>
        <v>10.843443600154002</v>
      </c>
      <c r="X29" s="406">
        <f t="shared" si="3"/>
        <v>0</v>
      </c>
      <c r="Y29" s="580">
        <f>SUM(Y9:Y27)</f>
        <v>127.53753837151031</v>
      </c>
      <c r="Z29" s="579">
        <f>SUM(Z9:Z27)</f>
        <v>127.53920844574029</v>
      </c>
      <c r="AA29" s="1223">
        <f>ABS(Z29-Y29)/Z29</f>
        <v>1.3094594598241271E-5</v>
      </c>
      <c r="AD29" s="579">
        <f>SUM(AD9:AD27)</f>
        <v>125.43875725180833</v>
      </c>
      <c r="AE29" s="1223">
        <f>ABS(AD29-Y29)/AD29</f>
        <v>1.6731520350515321E-2</v>
      </c>
    </row>
    <row r="30" spans="1:41" ht="13.5" thickBot="1">
      <c r="A30" s="37"/>
      <c r="B30" s="37"/>
      <c r="C30" s="37"/>
      <c r="E30" s="37"/>
      <c r="F30" s="404">
        <f>SUM(F29:H29)</f>
        <v>75.659262392453286</v>
      </c>
      <c r="G30" s="405">
        <f>F30/$Y$29</f>
        <v>0.59323132121353739</v>
      </c>
      <c r="H30" s="299"/>
      <c r="I30" s="406">
        <f>SUM(I29:K29)</f>
        <v>26.789539764337391</v>
      </c>
      <c r="J30" s="405">
        <f>I30/$Y$29</f>
        <v>0.21005219409442288</v>
      </c>
      <c r="K30" s="299"/>
      <c r="L30" s="406">
        <f>SUM(L29:N29)</f>
        <v>4.870776710577454</v>
      </c>
      <c r="M30" s="405">
        <f>L30/$Y$29</f>
        <v>3.819092616002303E-2</v>
      </c>
      <c r="N30" s="299"/>
      <c r="O30" s="406">
        <f>SUM(O29:Q29)</f>
        <v>1.1353575777398817</v>
      </c>
      <c r="P30" s="405">
        <f>O30/$Y$29</f>
        <v>8.9021443587271008E-3</v>
      </c>
      <c r="Q30" s="299"/>
      <c r="R30" s="405">
        <f>R29/$Y$29</f>
        <v>2.1649747098966738E-2</v>
      </c>
      <c r="S30" s="406">
        <f>SUM(S29:X29)</f>
        <v>16.321446475034328</v>
      </c>
      <c r="T30" s="405">
        <f>S30/$Y$29</f>
        <v>0.12797366707432278</v>
      </c>
      <c r="U30" s="299"/>
      <c r="V30" s="299"/>
      <c r="W30" s="299"/>
      <c r="X30" s="299"/>
      <c r="Y30" s="407">
        <f>T30+R30+P30++M30+J30+G30</f>
        <v>1</v>
      </c>
      <c r="Z30" s="300"/>
      <c r="AA30" s="37"/>
      <c r="AD30" s="37"/>
    </row>
    <row r="31" spans="1:41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09"/>
      <c r="Z31" s="609"/>
      <c r="AA31" s="37"/>
      <c r="AB31" s="37"/>
      <c r="AD31" s="37"/>
    </row>
    <row r="32" spans="1:41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N32" s="25"/>
      <c r="AO32" s="25"/>
    </row>
    <row r="33" spans="9:31">
      <c r="I33" s="610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75.659262392453286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26.789539764337391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0"/>
      <c r="S35" s="641" t="s">
        <v>499</v>
      </c>
      <c r="T35" s="641" t="s">
        <v>498</v>
      </c>
      <c r="U35" s="642" t="s">
        <v>500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73" t="s">
        <v>223</v>
      </c>
      <c r="S36" s="1274"/>
      <c r="T36" s="41">
        <v>185</v>
      </c>
      <c r="U36" s="643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73" t="s">
        <v>224</v>
      </c>
      <c r="S37" s="1274"/>
      <c r="T37" s="37">
        <v>433</v>
      </c>
      <c r="U37" s="643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73" t="s">
        <v>222</v>
      </c>
      <c r="S38" s="1274"/>
      <c r="T38" s="37">
        <v>231</v>
      </c>
      <c r="U38" s="643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75" t="s">
        <v>225</v>
      </c>
      <c r="S39" s="1276"/>
      <c r="T39" s="644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545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558</v>
      </c>
      <c r="CI3" s="304" t="s">
        <v>559</v>
      </c>
    </row>
    <row r="4" spans="2:99" ht="18">
      <c r="B4" s="1280" t="s">
        <v>552</v>
      </c>
      <c r="C4" s="1281"/>
      <c r="D4" s="1281"/>
      <c r="E4" s="1281"/>
      <c r="F4" s="1281"/>
      <c r="G4" s="1281"/>
      <c r="H4" s="1281"/>
      <c r="I4" s="1281"/>
      <c r="J4" s="1281"/>
      <c r="K4" s="1281"/>
      <c r="L4" s="1281"/>
      <c r="O4" s="1280" t="s">
        <v>554</v>
      </c>
      <c r="P4" s="1281"/>
      <c r="Q4" s="1281"/>
      <c r="R4" s="1281"/>
      <c r="S4" s="1281"/>
      <c r="T4" s="1281"/>
      <c r="U4" s="1281"/>
      <c r="V4" s="1281"/>
      <c r="W4" s="1281"/>
      <c r="X4" s="1281"/>
      <c r="Y4" s="1281"/>
      <c r="Z4" s="645"/>
      <c r="CA4" t="s">
        <v>509</v>
      </c>
    </row>
    <row r="6" spans="2:99">
      <c r="B6" t="s">
        <v>501</v>
      </c>
      <c r="C6" t="s">
        <v>292</v>
      </c>
      <c r="D6" t="s">
        <v>44</v>
      </c>
      <c r="E6" t="s">
        <v>46</v>
      </c>
      <c r="O6" t="s">
        <v>501</v>
      </c>
      <c r="P6" t="s">
        <v>292</v>
      </c>
      <c r="Q6" t="s">
        <v>44</v>
      </c>
      <c r="R6" t="s">
        <v>46</v>
      </c>
      <c r="CA6" s="58" t="s">
        <v>510</v>
      </c>
      <c r="CI6" t="s">
        <v>510</v>
      </c>
      <c r="CQ6" t="s">
        <v>510</v>
      </c>
    </row>
    <row r="7" spans="2:99">
      <c r="B7" t="s">
        <v>502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517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511</v>
      </c>
      <c r="CI7" t="s">
        <v>511</v>
      </c>
      <c r="CQ7" t="s">
        <v>544</v>
      </c>
    </row>
    <row r="8" spans="2:99">
      <c r="B8" t="s">
        <v>503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518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512</v>
      </c>
      <c r="CI8" t="s">
        <v>533</v>
      </c>
      <c r="CQ8" t="s">
        <v>533</v>
      </c>
    </row>
    <row r="9" spans="2:99">
      <c r="B9" t="s">
        <v>504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519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505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520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506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521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513</v>
      </c>
      <c r="CI11" t="s">
        <v>513</v>
      </c>
      <c r="CQ11" t="s">
        <v>514</v>
      </c>
    </row>
    <row r="12" spans="2:99">
      <c r="B12" t="s">
        <v>507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522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514</v>
      </c>
      <c r="CI12" t="s">
        <v>40</v>
      </c>
      <c r="CJ12" t="s">
        <v>514</v>
      </c>
      <c r="CQ12" t="s">
        <v>40</v>
      </c>
      <c r="CR12" t="s">
        <v>517</v>
      </c>
    </row>
    <row r="13" spans="2:99">
      <c r="B13" t="s">
        <v>508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523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515</v>
      </c>
      <c r="CI13" t="s">
        <v>40</v>
      </c>
      <c r="CJ13" t="s">
        <v>40</v>
      </c>
      <c r="CK13" t="s">
        <v>515</v>
      </c>
      <c r="CQ13" t="s">
        <v>40</v>
      </c>
      <c r="CR13" t="s">
        <v>517</v>
      </c>
      <c r="CS13" t="s">
        <v>515</v>
      </c>
    </row>
    <row r="14" spans="2:99">
      <c r="B14" t="s">
        <v>541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524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516</v>
      </c>
      <c r="CE14">
        <v>1697665</v>
      </c>
      <c r="CI14" t="s">
        <v>40</v>
      </c>
      <c r="CJ14" t="s">
        <v>40</v>
      </c>
      <c r="CK14" t="s">
        <v>40</v>
      </c>
      <c r="CL14" t="s">
        <v>515</v>
      </c>
      <c r="CM14">
        <v>1697665</v>
      </c>
      <c r="CQ14" t="s">
        <v>40</v>
      </c>
      <c r="CR14" t="s">
        <v>517</v>
      </c>
      <c r="CS14" t="s">
        <v>40</v>
      </c>
      <c r="CT14" t="s">
        <v>515</v>
      </c>
      <c r="CU14">
        <v>141200</v>
      </c>
    </row>
    <row r="15" spans="2:99">
      <c r="B15" t="s">
        <v>542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525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517</v>
      </c>
      <c r="CE15">
        <v>141200</v>
      </c>
      <c r="CI15" t="s">
        <v>40</v>
      </c>
      <c r="CJ15" t="s">
        <v>40</v>
      </c>
      <c r="CK15" t="s">
        <v>40</v>
      </c>
      <c r="CL15" t="s">
        <v>534</v>
      </c>
      <c r="CM15">
        <v>23174</v>
      </c>
      <c r="CQ15" t="s">
        <v>40</v>
      </c>
      <c r="CR15" t="s">
        <v>517</v>
      </c>
      <c r="CS15" t="s">
        <v>40</v>
      </c>
      <c r="CT15" t="s">
        <v>534</v>
      </c>
      <c r="CU15">
        <v>6507</v>
      </c>
    </row>
    <row r="16" spans="2:99">
      <c r="B16" s="302" t="s">
        <v>543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543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518</v>
      </c>
      <c r="CE16">
        <v>109668</v>
      </c>
      <c r="CI16" t="s">
        <v>40</v>
      </c>
      <c r="CJ16" t="s">
        <v>40</v>
      </c>
      <c r="CK16" t="s">
        <v>40</v>
      </c>
      <c r="CL16" t="s">
        <v>535</v>
      </c>
      <c r="CM16">
        <v>686004</v>
      </c>
      <c r="CQ16" t="s">
        <v>40</v>
      </c>
      <c r="CR16" t="s">
        <v>517</v>
      </c>
      <c r="CS16" t="s">
        <v>40</v>
      </c>
      <c r="CT16" t="s">
        <v>535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519</v>
      </c>
      <c r="CE17">
        <v>126107</v>
      </c>
      <c r="CI17" t="s">
        <v>40</v>
      </c>
      <c r="CJ17" t="s">
        <v>40</v>
      </c>
      <c r="CK17" t="s">
        <v>40</v>
      </c>
      <c r="CL17" t="s">
        <v>536</v>
      </c>
      <c r="CM17">
        <v>569166</v>
      </c>
      <c r="CQ17" t="s">
        <v>40</v>
      </c>
      <c r="CR17" t="s">
        <v>517</v>
      </c>
      <c r="CS17" t="s">
        <v>40</v>
      </c>
      <c r="CT17" t="s">
        <v>536</v>
      </c>
      <c r="CU17">
        <v>32118</v>
      </c>
    </row>
    <row r="18" spans="2:99" ht="21">
      <c r="B18" s="49" t="s">
        <v>546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563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84" t="s">
        <v>561</v>
      </c>
      <c r="AZ18" s="1284"/>
      <c r="BA18" s="1284"/>
      <c r="BB18" s="1284"/>
      <c r="BC18" s="1284"/>
      <c r="BD18" s="1284"/>
      <c r="BE18" s="1284"/>
      <c r="BF18" s="1284"/>
      <c r="BG18" s="1284"/>
      <c r="BH18" s="1284"/>
      <c r="BI18" s="1284"/>
      <c r="BJ18" s="1284"/>
      <c r="BL18" s="1284" t="s">
        <v>850</v>
      </c>
      <c r="BM18" s="1284"/>
      <c r="BN18" s="1284"/>
      <c r="BO18" s="1284"/>
      <c r="BP18" s="1284"/>
      <c r="BQ18" s="1284"/>
      <c r="BR18" s="1284"/>
      <c r="BS18" s="1284"/>
      <c r="BT18" s="1284"/>
      <c r="BU18" s="1284"/>
      <c r="BV18" s="1284"/>
      <c r="BW18" s="1284"/>
      <c r="BX18" s="1284"/>
      <c r="CA18" t="s">
        <v>40</v>
      </c>
      <c r="CB18" t="s">
        <v>40</v>
      </c>
      <c r="CC18" t="s">
        <v>40</v>
      </c>
      <c r="CD18" t="s">
        <v>520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517</v>
      </c>
      <c r="CS18" t="s">
        <v>40</v>
      </c>
      <c r="CT18" t="s">
        <v>136</v>
      </c>
      <c r="CU18">
        <v>13175</v>
      </c>
    </row>
    <row r="19" spans="2:99" ht="21">
      <c r="B19" s="1280" t="s">
        <v>553</v>
      </c>
      <c r="C19" s="1281"/>
      <c r="D19" s="1281"/>
      <c r="E19" s="1281"/>
      <c r="F19" s="1281"/>
      <c r="G19" s="1281"/>
      <c r="H19" s="1281"/>
      <c r="I19" s="1281"/>
      <c r="J19" s="1281"/>
      <c r="K19" s="1281"/>
      <c r="L19" s="1281"/>
      <c r="M19" s="1281"/>
      <c r="O19" s="1280" t="s">
        <v>554</v>
      </c>
      <c r="P19" s="1281"/>
      <c r="Q19" s="1281"/>
      <c r="R19" s="1281"/>
      <c r="S19" s="1281"/>
      <c r="T19" s="1281"/>
      <c r="U19" s="1281"/>
      <c r="V19" s="1281"/>
      <c r="W19" s="1281"/>
      <c r="X19" s="1281"/>
      <c r="Y19" s="1281"/>
      <c r="Z19" s="1281"/>
      <c r="AB19" s="1280" t="s">
        <v>555</v>
      </c>
      <c r="AC19" s="1281"/>
      <c r="AD19" s="1281"/>
      <c r="AE19" s="1281"/>
      <c r="AF19" s="1281"/>
      <c r="AG19" s="1281"/>
      <c r="AH19" s="1281"/>
      <c r="AI19" s="1281"/>
      <c r="AJ19" s="1281"/>
      <c r="AK19" s="1281"/>
      <c r="AL19" s="1281"/>
      <c r="AN19" s="1282" t="s">
        <v>556</v>
      </c>
      <c r="AO19" s="1283"/>
      <c r="AP19" s="1283"/>
      <c r="AQ19" s="1283"/>
      <c r="AR19" s="1283"/>
      <c r="AS19" s="1283"/>
      <c r="AT19" s="1283"/>
      <c r="AU19" s="1283"/>
      <c r="AV19" s="1283"/>
      <c r="AW19" s="1283"/>
      <c r="AY19" s="1279" t="s">
        <v>557</v>
      </c>
      <c r="AZ19" s="1279"/>
      <c r="BA19" s="1279"/>
      <c r="BB19" s="1279"/>
      <c r="BC19" s="1279"/>
      <c r="BD19" s="1279"/>
      <c r="BE19" s="1279"/>
      <c r="BF19" s="1279"/>
      <c r="BG19" s="1279"/>
      <c r="BH19" s="1279"/>
      <c r="BI19" s="1279"/>
      <c r="BJ19" s="1279"/>
      <c r="BL19" s="1279" t="s">
        <v>562</v>
      </c>
      <c r="BM19" s="1279"/>
      <c r="BN19" s="1279"/>
      <c r="BO19" s="1279"/>
      <c r="BP19" s="1279"/>
      <c r="BQ19" s="1279"/>
      <c r="BR19" s="1279"/>
      <c r="BS19" s="1279"/>
      <c r="BT19" s="1279"/>
      <c r="BU19" s="1279"/>
      <c r="BV19" s="1279"/>
      <c r="BW19" s="1279"/>
      <c r="BX19" s="1279"/>
      <c r="CA19" t="s">
        <v>40</v>
      </c>
      <c r="CB19" t="s">
        <v>40</v>
      </c>
      <c r="CC19" t="s">
        <v>40</v>
      </c>
      <c r="CD19" t="s">
        <v>521</v>
      </c>
      <c r="CE19">
        <v>213473</v>
      </c>
      <c r="CI19" t="s">
        <v>40</v>
      </c>
      <c r="CJ19" t="s">
        <v>40</v>
      </c>
      <c r="CK19" t="s">
        <v>40</v>
      </c>
      <c r="CL19" t="s">
        <v>548</v>
      </c>
      <c r="CM19">
        <v>86611</v>
      </c>
      <c r="CQ19" t="s">
        <v>40</v>
      </c>
      <c r="CR19" t="s">
        <v>517</v>
      </c>
      <c r="CS19" t="s">
        <v>40</v>
      </c>
      <c r="CT19" t="s">
        <v>548</v>
      </c>
      <c r="CU19">
        <v>10093</v>
      </c>
    </row>
    <row r="20" spans="2:99" ht="13.5" thickBot="1">
      <c r="B20" s="58" t="s">
        <v>546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522</v>
      </c>
      <c r="CE20">
        <v>171044</v>
      </c>
      <c r="CI20" t="s">
        <v>40</v>
      </c>
      <c r="CJ20" t="s">
        <v>40</v>
      </c>
      <c r="CK20" t="s">
        <v>40</v>
      </c>
      <c r="CL20" t="s">
        <v>537</v>
      </c>
      <c r="CM20">
        <v>90029</v>
      </c>
      <c r="CQ20" t="s">
        <v>40</v>
      </c>
      <c r="CR20" t="s">
        <v>517</v>
      </c>
      <c r="CS20" t="s">
        <v>40</v>
      </c>
      <c r="CT20" t="s">
        <v>537</v>
      </c>
      <c r="CU20">
        <v>10892</v>
      </c>
    </row>
    <row r="21" spans="2:99">
      <c r="B21" s="320" t="s">
        <v>292</v>
      </c>
      <c r="C21" s="316" t="s">
        <v>534</v>
      </c>
      <c r="D21" s="316" t="s">
        <v>535</v>
      </c>
      <c r="E21" s="316" t="s">
        <v>536</v>
      </c>
      <c r="F21" s="316" t="s">
        <v>136</v>
      </c>
      <c r="G21" s="316" t="s">
        <v>548</v>
      </c>
      <c r="H21" s="316" t="s">
        <v>537</v>
      </c>
      <c r="I21" s="316" t="s">
        <v>538</v>
      </c>
      <c r="J21" s="316" t="s">
        <v>539</v>
      </c>
      <c r="K21" s="316" t="s">
        <v>540</v>
      </c>
      <c r="L21" s="316" t="s">
        <v>526</v>
      </c>
      <c r="M21" s="327" t="s">
        <v>547</v>
      </c>
      <c r="O21" s="320" t="s">
        <v>292</v>
      </c>
      <c r="P21" s="316" t="s">
        <v>534</v>
      </c>
      <c r="Q21" s="316" t="s">
        <v>535</v>
      </c>
      <c r="R21" s="316" t="s">
        <v>536</v>
      </c>
      <c r="S21" s="316" t="s">
        <v>136</v>
      </c>
      <c r="T21" s="316" t="s">
        <v>548</v>
      </c>
      <c r="U21" s="316" t="s">
        <v>537</v>
      </c>
      <c r="V21" s="316" t="s">
        <v>538</v>
      </c>
      <c r="W21" s="316" t="s">
        <v>539</v>
      </c>
      <c r="X21" s="316" t="s">
        <v>540</v>
      </c>
      <c r="Y21" s="316" t="s">
        <v>526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534</v>
      </c>
      <c r="BN21" s="316" t="s">
        <v>535</v>
      </c>
      <c r="BO21" s="316" t="s">
        <v>536</v>
      </c>
      <c r="BP21" s="316" t="s">
        <v>136</v>
      </c>
      <c r="BQ21" s="316" t="s">
        <v>548</v>
      </c>
      <c r="BR21" s="316" t="s">
        <v>537</v>
      </c>
      <c r="BS21" s="316" t="s">
        <v>538</v>
      </c>
      <c r="BT21" s="316" t="s">
        <v>539</v>
      </c>
      <c r="BU21" s="316" t="s">
        <v>540</v>
      </c>
      <c r="BV21" s="316" t="s">
        <v>526</v>
      </c>
      <c r="BW21" s="316" t="s">
        <v>566</v>
      </c>
      <c r="BX21" s="321"/>
      <c r="CA21" t="s">
        <v>40</v>
      </c>
      <c r="CB21" t="s">
        <v>40</v>
      </c>
      <c r="CC21" t="s">
        <v>40</v>
      </c>
      <c r="CD21" t="s">
        <v>523</v>
      </c>
      <c r="CE21">
        <v>240811</v>
      </c>
      <c r="CI21" t="s">
        <v>40</v>
      </c>
      <c r="CJ21" t="s">
        <v>40</v>
      </c>
      <c r="CK21" t="s">
        <v>40</v>
      </c>
      <c r="CL21" t="s">
        <v>538</v>
      </c>
      <c r="CM21">
        <v>9990</v>
      </c>
      <c r="CQ21" t="s">
        <v>40</v>
      </c>
      <c r="CR21" t="s">
        <v>517</v>
      </c>
      <c r="CS21" t="s">
        <v>40</v>
      </c>
      <c r="CT21" t="s">
        <v>538</v>
      </c>
      <c r="CU21">
        <v>830</v>
      </c>
    </row>
    <row r="22" spans="2:99">
      <c r="B22" s="317" t="s">
        <v>502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502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502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502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0">
        <f>AO22*Z22</f>
        <v>6.7472924187725631</v>
      </c>
      <c r="BA22" s="1140">
        <f t="shared" ref="BA22:BH22" si="14">AP22*$Z$22</f>
        <v>29.238267148014444</v>
      </c>
      <c r="BB22" s="1140">
        <f t="shared" si="14"/>
        <v>89.963898916967509</v>
      </c>
      <c r="BC22" s="1140">
        <f t="shared" si="14"/>
        <v>191.17328519855596</v>
      </c>
      <c r="BD22" s="1140">
        <f t="shared" si="14"/>
        <v>1185.274368231047</v>
      </c>
      <c r="BE22" s="1140">
        <f t="shared" si="14"/>
        <v>2217.610108303249</v>
      </c>
      <c r="BF22" s="1140">
        <f t="shared" si="14"/>
        <v>2588.7111913357403</v>
      </c>
      <c r="BG22" s="1140">
        <f t="shared" si="14"/>
        <v>1983.7039711191337</v>
      </c>
      <c r="BH22" s="1140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524</v>
      </c>
      <c r="CE22">
        <v>431763</v>
      </c>
      <c r="CI22" t="s">
        <v>40</v>
      </c>
      <c r="CJ22" t="s">
        <v>40</v>
      </c>
      <c r="CK22" t="s">
        <v>40</v>
      </c>
      <c r="CL22" t="s">
        <v>539</v>
      </c>
      <c r="CM22">
        <v>33976</v>
      </c>
      <c r="CQ22" t="s">
        <v>40</v>
      </c>
      <c r="CR22" t="s">
        <v>517</v>
      </c>
      <c r="CS22" t="s">
        <v>40</v>
      </c>
      <c r="CT22" t="s">
        <v>539</v>
      </c>
      <c r="CU22">
        <v>6539</v>
      </c>
    </row>
    <row r="23" spans="2:99">
      <c r="B23" s="317" t="s">
        <v>503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503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503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503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0">
        <f>AO23*$Z23</f>
        <v>3.8521428571428573</v>
      </c>
      <c r="BA23" s="1140">
        <f t="shared" ref="BA23:BH23" si="18">AP23*$Z$23</f>
        <v>40.447499999999998</v>
      </c>
      <c r="BB23" s="1140">
        <f t="shared" si="18"/>
        <v>246.53714285714287</v>
      </c>
      <c r="BC23" s="1140">
        <f t="shared" si="18"/>
        <v>371.73178571428571</v>
      </c>
      <c r="BD23" s="1140">
        <f>AS23*$Z$23</f>
        <v>887.91892857142864</v>
      </c>
      <c r="BE23" s="1140">
        <f t="shared" si="18"/>
        <v>957.25749999999994</v>
      </c>
      <c r="BF23" s="1140">
        <f t="shared" si="18"/>
        <v>870.58428571428567</v>
      </c>
      <c r="BG23" s="1140">
        <f t="shared" si="18"/>
        <v>593.23</v>
      </c>
      <c r="BH23" s="1140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525</v>
      </c>
      <c r="CE23">
        <v>33436</v>
      </c>
      <c r="CI23" t="s">
        <v>40</v>
      </c>
      <c r="CJ23" t="s">
        <v>40</v>
      </c>
      <c r="CK23" t="s">
        <v>40</v>
      </c>
      <c r="CL23" t="s">
        <v>540</v>
      </c>
      <c r="CM23">
        <v>11068</v>
      </c>
      <c r="CQ23" t="s">
        <v>40</v>
      </c>
      <c r="CR23" t="s">
        <v>517</v>
      </c>
      <c r="CS23" t="s">
        <v>40</v>
      </c>
      <c r="CT23" t="s">
        <v>540</v>
      </c>
      <c r="CU23">
        <v>744</v>
      </c>
    </row>
    <row r="24" spans="2:99">
      <c r="B24" s="317" t="s">
        <v>504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504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504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504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0">
        <f>AO24*$Z$24</f>
        <v>36.96159122085048</v>
      </c>
      <c r="BA24" s="1140">
        <f t="shared" ref="BA24:BH24" si="19">AP24*$Z$24</f>
        <v>78.851394604481015</v>
      </c>
      <c r="BB24" s="1140">
        <f t="shared" si="19"/>
        <v>234.09007773205306</v>
      </c>
      <c r="BC24" s="1140">
        <f t="shared" si="19"/>
        <v>298.15683584819385</v>
      </c>
      <c r="BD24" s="1140">
        <f t="shared" si="19"/>
        <v>867.36534064929128</v>
      </c>
      <c r="BE24" s="1140">
        <f t="shared" si="19"/>
        <v>1123.6323731138546</v>
      </c>
      <c r="BF24" s="1140">
        <f t="shared" si="19"/>
        <v>993.03475080018291</v>
      </c>
      <c r="BG24" s="1140">
        <f t="shared" si="19"/>
        <v>613.56241426611803</v>
      </c>
      <c r="BH24" s="1140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526</v>
      </c>
      <c r="CE24">
        <v>114122</v>
      </c>
      <c r="CI24" t="s">
        <v>40</v>
      </c>
      <c r="CJ24" t="s">
        <v>40</v>
      </c>
      <c r="CK24" t="s">
        <v>40</v>
      </c>
      <c r="CL24" t="s">
        <v>526</v>
      </c>
      <c r="CM24">
        <v>41345</v>
      </c>
      <c r="CQ24" t="s">
        <v>40</v>
      </c>
      <c r="CR24" t="s">
        <v>517</v>
      </c>
      <c r="CS24" t="s">
        <v>40</v>
      </c>
      <c r="CT24" t="s">
        <v>526</v>
      </c>
      <c r="CU24">
        <v>963</v>
      </c>
    </row>
    <row r="25" spans="2:99">
      <c r="B25" s="317" t="s">
        <v>505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505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505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505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0">
        <f>AO25*$Z$25</f>
        <v>52.325020112630732</v>
      </c>
      <c r="BA25" s="1140">
        <f t="shared" ref="BA25:BH25" si="21">AP25*$Z$25</f>
        <v>93.748994368463386</v>
      </c>
      <c r="BB25" s="1140">
        <f t="shared" si="21"/>
        <v>374.99597747385354</v>
      </c>
      <c r="BC25" s="1140">
        <f t="shared" si="21"/>
        <v>398.97827835880935</v>
      </c>
      <c r="BD25" s="1140">
        <f t="shared" si="21"/>
        <v>1116.2670957361222</v>
      </c>
      <c r="BE25" s="1140">
        <f t="shared" si="21"/>
        <v>1196.934835076428</v>
      </c>
      <c r="BF25" s="1140">
        <f t="shared" si="21"/>
        <v>804.49718423169759</v>
      </c>
      <c r="BG25" s="1140">
        <f t="shared" si="21"/>
        <v>518.88978278358809</v>
      </c>
      <c r="BH25" s="1140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527</v>
      </c>
      <c r="CI25" t="s">
        <v>40</v>
      </c>
      <c r="CJ25" t="s">
        <v>40</v>
      </c>
      <c r="CK25" t="s">
        <v>527</v>
      </c>
      <c r="CQ25" t="s">
        <v>40</v>
      </c>
      <c r="CR25" t="s">
        <v>517</v>
      </c>
      <c r="CS25" t="s">
        <v>46</v>
      </c>
    </row>
    <row r="26" spans="2:99">
      <c r="B26" s="317" t="s">
        <v>506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506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506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506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0">
        <f>AO26*$Z$26</f>
        <v>3.9167799836823494</v>
      </c>
      <c r="BA26" s="1140">
        <f t="shared" ref="BA26:BG26" si="22">AP26*$Z$26</f>
        <v>9.7919499592058745</v>
      </c>
      <c r="BB26" s="1140">
        <f t="shared" si="22"/>
        <v>154.71280935545283</v>
      </c>
      <c r="BC26" s="1140">
        <f t="shared" si="22"/>
        <v>219.33967908621159</v>
      </c>
      <c r="BD26" s="1140">
        <f t="shared" si="22"/>
        <v>1840.8865923307046</v>
      </c>
      <c r="BE26" s="1140">
        <f t="shared" si="22"/>
        <v>2023.0168615719335</v>
      </c>
      <c r="BF26" s="1140">
        <f t="shared" si="22"/>
        <v>1462.9173239053578</v>
      </c>
      <c r="BG26" s="1140">
        <f t="shared" si="22"/>
        <v>726.56268697307587</v>
      </c>
      <c r="BH26" s="1140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516</v>
      </c>
      <c r="CE26">
        <v>715133</v>
      </c>
      <c r="CI26" t="s">
        <v>40</v>
      </c>
      <c r="CJ26" t="s">
        <v>40</v>
      </c>
      <c r="CK26" t="s">
        <v>40</v>
      </c>
      <c r="CL26" t="s">
        <v>515</v>
      </c>
      <c r="CM26">
        <v>715133</v>
      </c>
      <c r="CN26">
        <f>SUM(CM26,CM38,CM51,CM63,CM75,CM87)</f>
        <v>1675795</v>
      </c>
      <c r="CQ26" t="s">
        <v>40</v>
      </c>
      <c r="CR26" t="s">
        <v>517</v>
      </c>
      <c r="CS26" t="s">
        <v>46</v>
      </c>
      <c r="CT26" t="s">
        <v>515</v>
      </c>
      <c r="CU26">
        <v>74125</v>
      </c>
    </row>
    <row r="27" spans="2:99">
      <c r="B27" s="317" t="s">
        <v>507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507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507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507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0">
        <f>AO27*$Z$27</f>
        <v>1.653263954588458</v>
      </c>
      <c r="BA27" s="1140">
        <f t="shared" ref="BA27:BH27" si="23">AP27*$Z$27</f>
        <v>3.306527909176916</v>
      </c>
      <c r="BB27" s="1140">
        <f>AQ27*$Z$27</f>
        <v>36.37180700094607</v>
      </c>
      <c r="BC27" s="1140">
        <f t="shared" si="23"/>
        <v>261.21570482497634</v>
      </c>
      <c r="BD27" s="1140">
        <f t="shared" si="23"/>
        <v>2388.9664143803216</v>
      </c>
      <c r="BE27" s="1140">
        <f t="shared" si="23"/>
        <v>3379.2715231788079</v>
      </c>
      <c r="BF27" s="1140">
        <f t="shared" si="23"/>
        <v>2714.6594134342481</v>
      </c>
      <c r="BG27" s="1140">
        <f t="shared" si="23"/>
        <v>1086.1944181646168</v>
      </c>
      <c r="BH27" s="1140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517</v>
      </c>
      <c r="CE27">
        <v>74125</v>
      </c>
      <c r="CI27" t="s">
        <v>40</v>
      </c>
      <c r="CJ27" t="s">
        <v>40</v>
      </c>
      <c r="CK27" t="s">
        <v>40</v>
      </c>
      <c r="CL27" t="s">
        <v>534</v>
      </c>
      <c r="CM27">
        <v>8850</v>
      </c>
      <c r="CQ27" t="s">
        <v>40</v>
      </c>
      <c r="CR27" t="s">
        <v>517</v>
      </c>
      <c r="CS27" t="s">
        <v>46</v>
      </c>
      <c r="CT27" t="s">
        <v>534</v>
      </c>
      <c r="CU27">
        <v>3486</v>
      </c>
    </row>
    <row r="28" spans="2:99">
      <c r="B28" s="317" t="s">
        <v>508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508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508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508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0">
        <f>AO28*$Z$28</f>
        <v>7.9458862506902275</v>
      </c>
      <c r="BA28" s="1140">
        <f t="shared" ref="BA28:BH28" si="24">AP28*$Z$28</f>
        <v>46.540190896899894</v>
      </c>
      <c r="BB28" s="1140">
        <f t="shared" si="24"/>
        <v>272.43038573795059</v>
      </c>
      <c r="BC28" s="1140">
        <f t="shared" si="24"/>
        <v>842.26394257316394</v>
      </c>
      <c r="BD28" s="1140">
        <f t="shared" si="24"/>
        <v>8782.4745602271832</v>
      </c>
      <c r="BE28" s="1140">
        <f t="shared" si="24"/>
        <v>10729.216691646288</v>
      </c>
      <c r="BF28" s="1140">
        <f t="shared" si="24"/>
        <v>5953.7390549814627</v>
      </c>
      <c r="BG28" s="1140">
        <f t="shared" si="24"/>
        <v>1572.1503510294233</v>
      </c>
      <c r="BH28" s="1140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518</v>
      </c>
      <c r="CE28">
        <v>46847</v>
      </c>
      <c r="CI28" t="s">
        <v>40</v>
      </c>
      <c r="CJ28" t="s">
        <v>40</v>
      </c>
      <c r="CK28" t="s">
        <v>40</v>
      </c>
      <c r="CL28" t="s">
        <v>535</v>
      </c>
      <c r="CM28">
        <v>445404</v>
      </c>
      <c r="CQ28" t="s">
        <v>40</v>
      </c>
      <c r="CR28" t="s">
        <v>517</v>
      </c>
      <c r="CS28" t="s">
        <v>46</v>
      </c>
      <c r="CT28" t="s">
        <v>535</v>
      </c>
      <c r="CU28">
        <v>42672</v>
      </c>
    </row>
    <row r="29" spans="2:99">
      <c r="B29" s="317" t="s">
        <v>541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541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541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541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0">
        <f>AO29*$Z$29</f>
        <v>429.16063842002524</v>
      </c>
      <c r="BA29" s="1140">
        <f t="shared" ref="BA29:BH29" si="25">AP29*$Z$29</f>
        <v>2690.2938212066701</v>
      </c>
      <c r="BB29" s="1140">
        <f t="shared" si="25"/>
        <v>8157.3789566348987</v>
      </c>
      <c r="BC29" s="1140">
        <f t="shared" si="25"/>
        <v>13076.646636302165</v>
      </c>
      <c r="BD29" s="1140">
        <f t="shared" si="25"/>
        <v>37135.148058840794</v>
      </c>
      <c r="BE29" s="1140">
        <f t="shared" si="25"/>
        <v>17668.776361618249</v>
      </c>
      <c r="BF29" s="1140">
        <f t="shared" si="25"/>
        <v>6179.0260394738525</v>
      </c>
      <c r="BG29" s="1140">
        <f t="shared" si="25"/>
        <v>1217.618555517281</v>
      </c>
      <c r="BH29" s="1140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519</v>
      </c>
      <c r="CE29">
        <v>42427</v>
      </c>
      <c r="CI29" t="s">
        <v>40</v>
      </c>
      <c r="CJ29" t="s">
        <v>40</v>
      </c>
      <c r="CK29" t="s">
        <v>40</v>
      </c>
      <c r="CL29" t="s">
        <v>536</v>
      </c>
      <c r="CM29">
        <v>85670</v>
      </c>
      <c r="CQ29" t="s">
        <v>40</v>
      </c>
      <c r="CR29" t="s">
        <v>517</v>
      </c>
      <c r="CS29" t="s">
        <v>46</v>
      </c>
      <c r="CT29" t="s">
        <v>536</v>
      </c>
      <c r="CU29">
        <v>3088</v>
      </c>
    </row>
    <row r="30" spans="2:99" ht="13.5" thickBot="1">
      <c r="B30" s="317" t="s">
        <v>542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542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542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542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0">
        <f t="shared" ref="AZ30:BH30" si="26">AO30*$Z$30</f>
        <v>4896.9063670411979</v>
      </c>
      <c r="BA30" s="1140">
        <f t="shared" si="26"/>
        <v>512.7907972177635</v>
      </c>
      <c r="BB30" s="1140">
        <f t="shared" si="26"/>
        <v>436.60941680042805</v>
      </c>
      <c r="BC30" s="1140">
        <f t="shared" si="26"/>
        <v>150.72445157838416</v>
      </c>
      <c r="BD30" s="1140">
        <f t="shared" si="26"/>
        <v>86.011235955056179</v>
      </c>
      <c r="BE30" s="1140">
        <f t="shared" si="26"/>
        <v>23.755484216158372</v>
      </c>
      <c r="BF30" s="1140">
        <f t="shared" si="26"/>
        <v>11.468164794007491</v>
      </c>
      <c r="BG30" s="1140">
        <f t="shared" si="26"/>
        <v>2.4574638844301764</v>
      </c>
      <c r="BH30" s="1140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520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517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543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0">
        <f>$Z$31/9</f>
        <v>3858.5555555555557</v>
      </c>
      <c r="BA31" s="1140">
        <f t="shared" ref="BA31:BH31" si="30">$Z$31/9</f>
        <v>3858.5555555555557</v>
      </c>
      <c r="BB31" s="1140">
        <f t="shared" si="30"/>
        <v>3858.5555555555557</v>
      </c>
      <c r="BC31" s="1140">
        <f t="shared" si="30"/>
        <v>3858.5555555555557</v>
      </c>
      <c r="BD31" s="1140">
        <f t="shared" si="30"/>
        <v>3858.5555555555557</v>
      </c>
      <c r="BE31" s="1140">
        <f t="shared" si="30"/>
        <v>3858.5555555555557</v>
      </c>
      <c r="BF31" s="1140">
        <f t="shared" si="30"/>
        <v>3858.5555555555557</v>
      </c>
      <c r="BG31" s="1140">
        <f t="shared" si="30"/>
        <v>3858.5555555555557</v>
      </c>
      <c r="BH31" s="1140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521</v>
      </c>
      <c r="CE31">
        <v>97698</v>
      </c>
      <c r="CI31" t="s">
        <v>40</v>
      </c>
      <c r="CJ31" t="s">
        <v>40</v>
      </c>
      <c r="CK31" t="s">
        <v>40</v>
      </c>
      <c r="CL31" t="s">
        <v>548</v>
      </c>
      <c r="CM31">
        <v>38120</v>
      </c>
      <c r="CQ31" t="s">
        <v>40</v>
      </c>
      <c r="CR31" t="s">
        <v>517</v>
      </c>
      <c r="CS31" t="s">
        <v>46</v>
      </c>
      <c r="CT31" t="s">
        <v>548</v>
      </c>
      <c r="CU31">
        <v>6482</v>
      </c>
    </row>
    <row r="32" spans="2:99" ht="13.5" thickBot="1">
      <c r="C32" s="122"/>
      <c r="D32" s="122"/>
      <c r="E32" s="122"/>
      <c r="O32" s="323" t="s">
        <v>543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522</v>
      </c>
      <c r="CE32">
        <v>86491</v>
      </c>
      <c r="CI32" t="s">
        <v>40</v>
      </c>
      <c r="CJ32" t="s">
        <v>40</v>
      </c>
      <c r="CK32" t="s">
        <v>40</v>
      </c>
      <c r="CL32" t="s">
        <v>537</v>
      </c>
      <c r="CM32">
        <v>70819</v>
      </c>
      <c r="CQ32" t="s">
        <v>40</v>
      </c>
      <c r="CR32" t="s">
        <v>517</v>
      </c>
      <c r="CS32" t="s">
        <v>46</v>
      </c>
      <c r="CT32" t="s">
        <v>537</v>
      </c>
      <c r="CU32">
        <v>9242</v>
      </c>
    </row>
    <row r="33" spans="2:99" ht="13.5" thickBot="1">
      <c r="B33" s="326" t="s">
        <v>44</v>
      </c>
      <c r="C33" s="316" t="s">
        <v>534</v>
      </c>
      <c r="D33" s="316" t="s">
        <v>535</v>
      </c>
      <c r="E33" s="316" t="s">
        <v>536</v>
      </c>
      <c r="F33" s="316" t="s">
        <v>136</v>
      </c>
      <c r="G33" s="316" t="s">
        <v>548</v>
      </c>
      <c r="H33" s="316" t="s">
        <v>537</v>
      </c>
      <c r="I33" s="316" t="s">
        <v>538</v>
      </c>
      <c r="J33" s="316" t="s">
        <v>539</v>
      </c>
      <c r="K33" s="316" t="s">
        <v>540</v>
      </c>
      <c r="L33" s="316" t="s">
        <v>526</v>
      </c>
      <c r="M33" s="321"/>
      <c r="O33" s="326" t="s">
        <v>44</v>
      </c>
      <c r="P33" s="316" t="s">
        <v>534</v>
      </c>
      <c r="Q33" s="316" t="s">
        <v>535</v>
      </c>
      <c r="R33" s="316" t="s">
        <v>536</v>
      </c>
      <c r="S33" s="316" t="s">
        <v>136</v>
      </c>
      <c r="T33" s="316" t="s">
        <v>548</v>
      </c>
      <c r="U33" s="316" t="s">
        <v>537</v>
      </c>
      <c r="V33" s="316" t="s">
        <v>538</v>
      </c>
      <c r="W33" s="316" t="s">
        <v>539</v>
      </c>
      <c r="X33" s="316" t="s">
        <v>540</v>
      </c>
      <c r="Y33" s="316" t="s">
        <v>526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534</v>
      </c>
      <c r="BN33" s="316" t="s">
        <v>535</v>
      </c>
      <c r="BO33" s="316" t="s">
        <v>536</v>
      </c>
      <c r="BP33" s="316" t="s">
        <v>136</v>
      </c>
      <c r="BQ33" s="316" t="s">
        <v>548</v>
      </c>
      <c r="BR33" s="316" t="s">
        <v>537</v>
      </c>
      <c r="BS33" s="316" t="s">
        <v>538</v>
      </c>
      <c r="BT33" s="316" t="s">
        <v>539</v>
      </c>
      <c r="BU33" s="316" t="s">
        <v>540</v>
      </c>
      <c r="BV33" s="316" t="s">
        <v>526</v>
      </c>
      <c r="BW33" s="316" t="s">
        <v>566</v>
      </c>
      <c r="BX33" s="321"/>
      <c r="CC33" t="s">
        <v>40</v>
      </c>
      <c r="CD33" t="s">
        <v>523</v>
      </c>
      <c r="CE33">
        <v>111455</v>
      </c>
      <c r="CI33" t="s">
        <v>40</v>
      </c>
      <c r="CJ33" t="s">
        <v>40</v>
      </c>
      <c r="CK33" t="s">
        <v>40</v>
      </c>
      <c r="CL33" t="s">
        <v>538</v>
      </c>
      <c r="CM33">
        <v>6209</v>
      </c>
      <c r="CQ33" t="s">
        <v>40</v>
      </c>
      <c r="CR33" t="s">
        <v>517</v>
      </c>
      <c r="CS33" t="s">
        <v>46</v>
      </c>
      <c r="CT33" t="s">
        <v>538</v>
      </c>
      <c r="CU33">
        <v>574</v>
      </c>
    </row>
    <row r="34" spans="2:99">
      <c r="B34" s="317" t="s">
        <v>502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502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502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502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524</v>
      </c>
      <c r="CE34">
        <v>175223</v>
      </c>
      <c r="CI34" t="s">
        <v>40</v>
      </c>
      <c r="CJ34" t="s">
        <v>40</v>
      </c>
      <c r="CK34" t="s">
        <v>40</v>
      </c>
      <c r="CL34" t="s">
        <v>539</v>
      </c>
      <c r="CM34">
        <v>26591</v>
      </c>
      <c r="CQ34" t="s">
        <v>40</v>
      </c>
      <c r="CR34" t="s">
        <v>517</v>
      </c>
      <c r="CS34" t="s">
        <v>46</v>
      </c>
      <c r="CT34" t="s">
        <v>539</v>
      </c>
      <c r="CU34">
        <v>5593</v>
      </c>
    </row>
    <row r="35" spans="2:99">
      <c r="B35" s="317" t="s">
        <v>503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503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503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503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525</v>
      </c>
      <c r="CE35">
        <v>18050</v>
      </c>
      <c r="CI35" t="s">
        <v>40</v>
      </c>
      <c r="CJ35" t="s">
        <v>40</v>
      </c>
      <c r="CK35" t="s">
        <v>40</v>
      </c>
      <c r="CL35" t="s">
        <v>540</v>
      </c>
      <c r="CM35">
        <v>7587</v>
      </c>
      <c r="CQ35" t="s">
        <v>40</v>
      </c>
      <c r="CR35" t="s">
        <v>517</v>
      </c>
      <c r="CS35" t="s">
        <v>46</v>
      </c>
      <c r="CT35" t="s">
        <v>540</v>
      </c>
      <c r="CU35">
        <v>473</v>
      </c>
    </row>
    <row r="36" spans="2:99">
      <c r="B36" s="317" t="s">
        <v>504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504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504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504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526</v>
      </c>
      <c r="CE36">
        <v>20596</v>
      </c>
      <c r="CI36" t="s">
        <v>40</v>
      </c>
      <c r="CJ36" t="s">
        <v>40</v>
      </c>
      <c r="CK36" t="s">
        <v>40</v>
      </c>
      <c r="CL36" t="s">
        <v>526</v>
      </c>
      <c r="CM36">
        <v>7535</v>
      </c>
      <c r="CQ36" t="s">
        <v>40</v>
      </c>
      <c r="CR36" t="s">
        <v>517</v>
      </c>
      <c r="CS36" t="s">
        <v>46</v>
      </c>
      <c r="CT36" t="s">
        <v>526</v>
      </c>
      <c r="CU36">
        <v>419</v>
      </c>
    </row>
    <row r="37" spans="2:99">
      <c r="B37" s="317" t="s">
        <v>505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505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505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505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528</v>
      </c>
      <c r="CI37" t="s">
        <v>40</v>
      </c>
      <c r="CJ37" t="s">
        <v>40</v>
      </c>
      <c r="CK37" t="s">
        <v>528</v>
      </c>
      <c r="CQ37" t="s">
        <v>40</v>
      </c>
      <c r="CR37" t="s">
        <v>517</v>
      </c>
      <c r="CS37" t="s">
        <v>44</v>
      </c>
    </row>
    <row r="38" spans="2:99">
      <c r="B38" s="317" t="s">
        <v>506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506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506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506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516</v>
      </c>
      <c r="CE38">
        <v>471948</v>
      </c>
      <c r="CI38" t="s">
        <v>40</v>
      </c>
      <c r="CJ38" t="s">
        <v>40</v>
      </c>
      <c r="CK38" t="s">
        <v>40</v>
      </c>
      <c r="CL38" t="s">
        <v>515</v>
      </c>
      <c r="CM38">
        <v>471948</v>
      </c>
      <c r="CQ38" t="s">
        <v>40</v>
      </c>
      <c r="CR38" t="s">
        <v>517</v>
      </c>
      <c r="CS38" t="s">
        <v>44</v>
      </c>
      <c r="CT38" t="s">
        <v>515</v>
      </c>
      <c r="CU38">
        <v>15478</v>
      </c>
    </row>
    <row r="39" spans="2:99">
      <c r="B39" s="317" t="s">
        <v>507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507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507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507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517</v>
      </c>
      <c r="CE39">
        <v>15478</v>
      </c>
      <c r="CI39" t="s">
        <v>40</v>
      </c>
      <c r="CJ39" t="s">
        <v>40</v>
      </c>
      <c r="CK39" t="s">
        <v>40</v>
      </c>
      <c r="CL39" t="s">
        <v>534</v>
      </c>
      <c r="CM39">
        <v>3625</v>
      </c>
      <c r="CQ39" t="s">
        <v>40</v>
      </c>
      <c r="CR39" t="s">
        <v>517</v>
      </c>
      <c r="CS39" t="s">
        <v>44</v>
      </c>
      <c r="CT39" t="s">
        <v>534</v>
      </c>
      <c r="CU39">
        <v>474</v>
      </c>
    </row>
    <row r="40" spans="2:99">
      <c r="B40" s="317" t="s">
        <v>508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508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508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508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518</v>
      </c>
      <c r="CE40">
        <v>25149</v>
      </c>
      <c r="CI40" t="s">
        <v>40</v>
      </c>
      <c r="CJ40" t="s">
        <v>40</v>
      </c>
      <c r="CK40" t="s">
        <v>40</v>
      </c>
      <c r="CL40" t="s">
        <v>535</v>
      </c>
      <c r="CM40">
        <v>165422</v>
      </c>
      <c r="CQ40" t="s">
        <v>40</v>
      </c>
      <c r="CR40" t="s">
        <v>517</v>
      </c>
      <c r="CS40" t="s">
        <v>44</v>
      </c>
      <c r="CT40" t="s">
        <v>535</v>
      </c>
      <c r="CU40">
        <v>6318</v>
      </c>
    </row>
    <row r="41" spans="2:99">
      <c r="B41" s="317" t="s">
        <v>541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541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541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541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517</v>
      </c>
      <c r="CS41" t="s">
        <v>44</v>
      </c>
      <c r="CT41" t="s">
        <v>536</v>
      </c>
      <c r="CU41">
        <v>5273</v>
      </c>
    </row>
    <row r="42" spans="2:99" ht="13.5" thickBot="1">
      <c r="B42" s="317" t="s">
        <v>542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542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542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542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519</v>
      </c>
      <c r="CE42">
        <v>39121</v>
      </c>
      <c r="CI42" t="s">
        <v>40</v>
      </c>
      <c r="CJ42" t="s">
        <v>40</v>
      </c>
      <c r="CK42" t="s">
        <v>40</v>
      </c>
      <c r="CL42" t="s">
        <v>536</v>
      </c>
      <c r="CM42">
        <v>235910</v>
      </c>
      <c r="CQ42" t="s">
        <v>40</v>
      </c>
      <c r="CR42" t="s">
        <v>517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543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520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517</v>
      </c>
      <c r="CS43" t="s">
        <v>44</v>
      </c>
      <c r="CT43" t="s">
        <v>548</v>
      </c>
      <c r="CU43">
        <v>1077</v>
      </c>
    </row>
    <row r="44" spans="2:99" ht="13.5" thickBot="1">
      <c r="C44" s="122"/>
      <c r="D44" s="122"/>
      <c r="E44" s="122"/>
      <c r="O44" s="323" t="s">
        <v>543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521</v>
      </c>
      <c r="CE44">
        <v>71056</v>
      </c>
      <c r="CI44" t="s">
        <v>40</v>
      </c>
      <c r="CJ44" t="s">
        <v>40</v>
      </c>
      <c r="CK44" t="s">
        <v>40</v>
      </c>
      <c r="CL44" t="s">
        <v>548</v>
      </c>
      <c r="CM44">
        <v>25563</v>
      </c>
      <c r="CQ44" t="s">
        <v>40</v>
      </c>
      <c r="CR44" t="s">
        <v>517</v>
      </c>
      <c r="CS44" t="s">
        <v>44</v>
      </c>
      <c r="CT44" t="s">
        <v>537</v>
      </c>
      <c r="CU44">
        <v>831</v>
      </c>
    </row>
    <row r="45" spans="2:99">
      <c r="B45" s="326" t="s">
        <v>46</v>
      </c>
      <c r="C45" s="316" t="s">
        <v>534</v>
      </c>
      <c r="D45" s="316" t="s">
        <v>535</v>
      </c>
      <c r="E45" s="316" t="s">
        <v>536</v>
      </c>
      <c r="F45" s="316" t="s">
        <v>136</v>
      </c>
      <c r="G45" s="316" t="s">
        <v>548</v>
      </c>
      <c r="H45" s="316" t="s">
        <v>537</v>
      </c>
      <c r="I45" s="316" t="s">
        <v>538</v>
      </c>
      <c r="J45" s="316" t="s">
        <v>539</v>
      </c>
      <c r="K45" s="316" t="s">
        <v>540</v>
      </c>
      <c r="L45" s="316" t="s">
        <v>526</v>
      </c>
      <c r="M45" s="321"/>
      <c r="O45" s="326" t="s">
        <v>46</v>
      </c>
      <c r="P45" s="316" t="s">
        <v>534</v>
      </c>
      <c r="Q45" s="316" t="s">
        <v>535</v>
      </c>
      <c r="R45" s="316" t="s">
        <v>536</v>
      </c>
      <c r="S45" s="316" t="s">
        <v>136</v>
      </c>
      <c r="T45" s="316" t="s">
        <v>548</v>
      </c>
      <c r="U45" s="316" t="s">
        <v>537</v>
      </c>
      <c r="V45" s="316" t="s">
        <v>538</v>
      </c>
      <c r="W45" s="316" t="s">
        <v>539</v>
      </c>
      <c r="X45" s="316" t="s">
        <v>540</v>
      </c>
      <c r="Y45" s="316" t="s">
        <v>526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534</v>
      </c>
      <c r="BN45" s="316" t="s">
        <v>535</v>
      </c>
      <c r="BO45" s="316" t="s">
        <v>536</v>
      </c>
      <c r="BP45" s="316" t="s">
        <v>136</v>
      </c>
      <c r="BQ45" s="316" t="s">
        <v>548</v>
      </c>
      <c r="BR45" s="316" t="s">
        <v>537</v>
      </c>
      <c r="BS45" s="316" t="s">
        <v>538</v>
      </c>
      <c r="BT45" s="316" t="s">
        <v>539</v>
      </c>
      <c r="BU45" s="316" t="s">
        <v>540</v>
      </c>
      <c r="BV45" s="316" t="s">
        <v>526</v>
      </c>
      <c r="BW45" s="316" t="s">
        <v>566</v>
      </c>
      <c r="BX45" s="321"/>
      <c r="CC45" t="s">
        <v>40</v>
      </c>
      <c r="CD45" t="s">
        <v>522</v>
      </c>
      <c r="CE45">
        <v>49522</v>
      </c>
      <c r="CI45" t="s">
        <v>40</v>
      </c>
      <c r="CJ45" t="s">
        <v>40</v>
      </c>
      <c r="CK45" t="s">
        <v>40</v>
      </c>
      <c r="CL45" t="s">
        <v>537</v>
      </c>
      <c r="CM45">
        <v>12102</v>
      </c>
      <c r="CQ45" t="s">
        <v>40</v>
      </c>
      <c r="CR45" t="s">
        <v>517</v>
      </c>
      <c r="CS45" t="s">
        <v>44</v>
      </c>
      <c r="CT45" t="s">
        <v>538</v>
      </c>
      <c r="CU45">
        <v>85</v>
      </c>
    </row>
    <row r="46" spans="2:99" ht="13.5" thickBot="1">
      <c r="B46" s="317" t="s">
        <v>502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502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502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502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523</v>
      </c>
      <c r="CE46">
        <v>80437</v>
      </c>
      <c r="CI46" t="s">
        <v>40</v>
      </c>
      <c r="CJ46" t="s">
        <v>40</v>
      </c>
      <c r="CK46" t="s">
        <v>40</v>
      </c>
      <c r="CL46" t="s">
        <v>538</v>
      </c>
      <c r="CM46">
        <v>1972</v>
      </c>
      <c r="CQ46" t="s">
        <v>40</v>
      </c>
      <c r="CR46" t="s">
        <v>517</v>
      </c>
      <c r="CS46" t="s">
        <v>44</v>
      </c>
      <c r="CT46" t="s">
        <v>539</v>
      </c>
      <c r="CU46">
        <v>420</v>
      </c>
    </row>
    <row r="47" spans="2:99">
      <c r="B47" s="317" t="s">
        <v>503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503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503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503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524</v>
      </c>
      <c r="CE47">
        <v>115869</v>
      </c>
      <c r="CI47" t="s">
        <v>40</v>
      </c>
      <c r="CJ47" t="s">
        <v>40</v>
      </c>
      <c r="CK47" t="s">
        <v>40</v>
      </c>
      <c r="CL47" t="s">
        <v>539</v>
      </c>
      <c r="CM47">
        <v>4276</v>
      </c>
      <c r="CQ47" t="s">
        <v>40</v>
      </c>
      <c r="CR47" t="s">
        <v>517</v>
      </c>
      <c r="CS47" t="s">
        <v>44</v>
      </c>
      <c r="CT47" t="s">
        <v>540</v>
      </c>
      <c r="CU47">
        <v>76</v>
      </c>
    </row>
    <row r="48" spans="2:99">
      <c r="B48" s="317" t="s">
        <v>504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504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504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504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525</v>
      </c>
      <c r="CE48">
        <v>5900</v>
      </c>
      <c r="CI48" t="s">
        <v>40</v>
      </c>
      <c r="CJ48" t="s">
        <v>40</v>
      </c>
      <c r="CK48" t="s">
        <v>40</v>
      </c>
      <c r="CL48" t="s">
        <v>540</v>
      </c>
      <c r="CM48">
        <v>1305</v>
      </c>
      <c r="CQ48" t="s">
        <v>40</v>
      </c>
      <c r="CR48" t="s">
        <v>517</v>
      </c>
      <c r="CS48" t="s">
        <v>44</v>
      </c>
      <c r="CT48" t="s">
        <v>526</v>
      </c>
      <c r="CU48">
        <v>88</v>
      </c>
    </row>
    <row r="49" spans="2:99">
      <c r="B49" s="317" t="s">
        <v>505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505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505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505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526</v>
      </c>
      <c r="CE49">
        <v>26052</v>
      </c>
      <c r="CI49" t="s">
        <v>40</v>
      </c>
      <c r="CJ49" t="s">
        <v>40</v>
      </c>
      <c r="CK49" t="s">
        <v>40</v>
      </c>
      <c r="CL49" t="s">
        <v>526</v>
      </c>
      <c r="CM49">
        <v>6256</v>
      </c>
      <c r="CQ49" t="s">
        <v>40</v>
      </c>
      <c r="CR49" t="s">
        <v>517</v>
      </c>
      <c r="CS49" t="s">
        <v>44</v>
      </c>
    </row>
    <row r="50" spans="2:99">
      <c r="B50" s="317" t="s">
        <v>506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506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506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506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529</v>
      </c>
      <c r="CI50" t="s">
        <v>40</v>
      </c>
      <c r="CJ50" t="s">
        <v>40</v>
      </c>
      <c r="CK50" t="s">
        <v>529</v>
      </c>
      <c r="CQ50" t="s">
        <v>40</v>
      </c>
      <c r="CR50" t="s">
        <v>517</v>
      </c>
      <c r="CS50" t="s">
        <v>44</v>
      </c>
      <c r="CT50" t="s">
        <v>515</v>
      </c>
      <c r="CU50">
        <v>36956</v>
      </c>
    </row>
    <row r="51" spans="2:99">
      <c r="B51" s="317" t="s">
        <v>507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507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507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507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516</v>
      </c>
      <c r="CE51">
        <v>284569</v>
      </c>
      <c r="CI51" t="s">
        <v>40</v>
      </c>
      <c r="CJ51" t="s">
        <v>40</v>
      </c>
      <c r="CK51" t="s">
        <v>40</v>
      </c>
      <c r="CL51" t="s">
        <v>515</v>
      </c>
      <c r="CM51">
        <v>284569</v>
      </c>
      <c r="CQ51" t="s">
        <v>40</v>
      </c>
      <c r="CR51" t="s">
        <v>517</v>
      </c>
      <c r="CS51" t="s">
        <v>44</v>
      </c>
      <c r="CT51" t="s">
        <v>534</v>
      </c>
      <c r="CU51">
        <v>1568</v>
      </c>
    </row>
    <row r="52" spans="2:99">
      <c r="B52" s="317" t="s">
        <v>508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508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508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508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517</v>
      </c>
      <c r="CE52">
        <v>36956</v>
      </c>
      <c r="CI52" t="s">
        <v>40</v>
      </c>
      <c r="CJ52" t="s">
        <v>40</v>
      </c>
      <c r="CK52" t="s">
        <v>40</v>
      </c>
      <c r="CL52" t="s">
        <v>534</v>
      </c>
      <c r="CM52">
        <v>5402</v>
      </c>
      <c r="CQ52" t="s">
        <v>40</v>
      </c>
      <c r="CR52" t="s">
        <v>517</v>
      </c>
      <c r="CS52" t="s">
        <v>44</v>
      </c>
      <c r="CT52" t="s">
        <v>535</v>
      </c>
      <c r="CU52">
        <v>8359</v>
      </c>
    </row>
    <row r="53" spans="2:99">
      <c r="B53" s="317" t="s">
        <v>541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541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541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541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518</v>
      </c>
      <c r="CE53">
        <v>31594</v>
      </c>
      <c r="CI53" t="s">
        <v>40</v>
      </c>
      <c r="CJ53" t="s">
        <v>40</v>
      </c>
      <c r="CK53" t="s">
        <v>40</v>
      </c>
      <c r="CL53" t="s">
        <v>535</v>
      </c>
      <c r="CM53">
        <v>61595</v>
      </c>
      <c r="CQ53" t="s">
        <v>40</v>
      </c>
      <c r="CR53" t="s">
        <v>517</v>
      </c>
      <c r="CS53" t="s">
        <v>44</v>
      </c>
      <c r="CT53" t="s">
        <v>536</v>
      </c>
      <c r="CU53">
        <v>19994</v>
      </c>
    </row>
    <row r="54" spans="2:99" ht="13.5" thickBot="1">
      <c r="B54" s="317" t="s">
        <v>542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542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542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542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519</v>
      </c>
      <c r="CE54">
        <v>38410</v>
      </c>
      <c r="CI54" t="s">
        <v>40</v>
      </c>
      <c r="CJ54" t="s">
        <v>40</v>
      </c>
      <c r="CK54" t="s">
        <v>40</v>
      </c>
      <c r="CL54" t="s">
        <v>536</v>
      </c>
      <c r="CM54">
        <v>162887</v>
      </c>
      <c r="CQ54" t="s">
        <v>40</v>
      </c>
      <c r="CR54" t="s">
        <v>517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543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520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517</v>
      </c>
      <c r="CS55" t="s">
        <v>44</v>
      </c>
      <c r="CT55" t="s">
        <v>548</v>
      </c>
      <c r="CU55">
        <v>2267</v>
      </c>
    </row>
    <row r="56" spans="2:99" ht="13.5" thickBot="1">
      <c r="B56" s="58" t="s">
        <v>501</v>
      </c>
      <c r="C56" t="s">
        <v>388</v>
      </c>
      <c r="D56" t="s">
        <v>292</v>
      </c>
      <c r="E56" t="s">
        <v>44</v>
      </c>
      <c r="F56" t="s">
        <v>46</v>
      </c>
      <c r="O56" s="323" t="s">
        <v>543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521</v>
      </c>
      <c r="CE56">
        <v>36397</v>
      </c>
      <c r="CI56" t="s">
        <v>40</v>
      </c>
      <c r="CJ56" t="s">
        <v>40</v>
      </c>
      <c r="CK56" t="s">
        <v>40</v>
      </c>
      <c r="CL56" t="s">
        <v>548</v>
      </c>
      <c r="CM56">
        <v>20177</v>
      </c>
      <c r="CQ56" t="s">
        <v>40</v>
      </c>
      <c r="CR56" t="s">
        <v>517</v>
      </c>
      <c r="CS56" t="s">
        <v>44</v>
      </c>
      <c r="CT56" t="s">
        <v>537</v>
      </c>
      <c r="CU56">
        <v>632</v>
      </c>
    </row>
    <row r="57" spans="2:99">
      <c r="B57" t="s">
        <v>502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522</v>
      </c>
      <c r="CE57">
        <v>23557</v>
      </c>
      <c r="CI57" t="s">
        <v>40</v>
      </c>
      <c r="CJ57" t="s">
        <v>40</v>
      </c>
      <c r="CK57" t="s">
        <v>40</v>
      </c>
      <c r="CL57" t="s">
        <v>537</v>
      </c>
      <c r="CM57">
        <v>5691</v>
      </c>
      <c r="CQ57" t="s">
        <v>40</v>
      </c>
      <c r="CR57" t="s">
        <v>517</v>
      </c>
      <c r="CS57" t="s">
        <v>44</v>
      </c>
      <c r="CT57" t="s">
        <v>538</v>
      </c>
      <c r="CU57">
        <v>111</v>
      </c>
    </row>
    <row r="58" spans="2:99">
      <c r="B58" t="s">
        <v>502</v>
      </c>
      <c r="C58" s="305" t="s">
        <v>549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523</v>
      </c>
      <c r="CE58">
        <v>19161</v>
      </c>
      <c r="CI58" t="s">
        <v>40</v>
      </c>
      <c r="CJ58" t="s">
        <v>40</v>
      </c>
      <c r="CK58" t="s">
        <v>40</v>
      </c>
      <c r="CL58" t="s">
        <v>538</v>
      </c>
      <c r="CM58">
        <v>982</v>
      </c>
      <c r="CQ58" t="s">
        <v>40</v>
      </c>
      <c r="CR58" t="s">
        <v>517</v>
      </c>
      <c r="CS58" t="s">
        <v>44</v>
      </c>
      <c r="CT58" t="s">
        <v>539</v>
      </c>
      <c r="CU58">
        <v>391</v>
      </c>
    </row>
    <row r="59" spans="2:99" ht="13.5" thickBot="1">
      <c r="B59" t="s">
        <v>502</v>
      </c>
      <c r="C59" t="s">
        <v>419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524</v>
      </c>
      <c r="CE59">
        <v>51682</v>
      </c>
      <c r="CI59" t="s">
        <v>40</v>
      </c>
      <c r="CJ59" t="s">
        <v>40</v>
      </c>
      <c r="CK59" t="s">
        <v>40</v>
      </c>
      <c r="CL59" t="s">
        <v>539</v>
      </c>
      <c r="CM59">
        <v>2318</v>
      </c>
      <c r="CQ59" t="s">
        <v>40</v>
      </c>
      <c r="CR59" t="s">
        <v>517</v>
      </c>
      <c r="CS59" t="s">
        <v>44</v>
      </c>
      <c r="CT59" t="s">
        <v>540</v>
      </c>
      <c r="CU59">
        <v>101</v>
      </c>
    </row>
    <row r="60" spans="2:99">
      <c r="B60" t="s">
        <v>502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525</v>
      </c>
      <c r="CE60">
        <v>3127</v>
      </c>
      <c r="CI60" t="s">
        <v>40</v>
      </c>
      <c r="CJ60" t="s">
        <v>40</v>
      </c>
      <c r="CK60" t="s">
        <v>40</v>
      </c>
      <c r="CL60" t="s">
        <v>540</v>
      </c>
      <c r="CM60">
        <v>707</v>
      </c>
      <c r="CQ60" t="s">
        <v>40</v>
      </c>
      <c r="CR60" t="s">
        <v>517</v>
      </c>
      <c r="CS60" t="s">
        <v>44</v>
      </c>
      <c r="CT60" t="s">
        <v>526</v>
      </c>
      <c r="CU60">
        <v>229</v>
      </c>
    </row>
    <row r="61" spans="2:99">
      <c r="B61" t="s">
        <v>502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526</v>
      </c>
      <c r="CE61">
        <v>19315</v>
      </c>
      <c r="CI61" t="s">
        <v>40</v>
      </c>
      <c r="CJ61" t="s">
        <v>40</v>
      </c>
      <c r="CK61" t="s">
        <v>40</v>
      </c>
      <c r="CL61" t="s">
        <v>526</v>
      </c>
      <c r="CM61">
        <v>6366</v>
      </c>
      <c r="CQ61" t="s">
        <v>40</v>
      </c>
      <c r="CR61" t="s">
        <v>517</v>
      </c>
      <c r="CS61" t="s">
        <v>292</v>
      </c>
    </row>
    <row r="62" spans="2:99">
      <c r="B62" t="s">
        <v>502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530</v>
      </c>
      <c r="CI62" t="s">
        <v>40</v>
      </c>
      <c r="CJ62" t="s">
        <v>40</v>
      </c>
      <c r="CK62" t="s">
        <v>530</v>
      </c>
      <c r="CQ62" t="s">
        <v>40</v>
      </c>
      <c r="CR62" t="s">
        <v>517</v>
      </c>
      <c r="CS62" t="s">
        <v>292</v>
      </c>
      <c r="CT62" t="s">
        <v>515</v>
      </c>
      <c r="CU62">
        <v>3159</v>
      </c>
    </row>
    <row r="63" spans="2:99">
      <c r="B63" t="s">
        <v>502</v>
      </c>
      <c r="C63" s="301" t="s">
        <v>421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516</v>
      </c>
      <c r="CE63">
        <v>172096</v>
      </c>
      <c r="CI63" t="s">
        <v>40</v>
      </c>
      <c r="CJ63" t="s">
        <v>40</v>
      </c>
      <c r="CK63" t="s">
        <v>40</v>
      </c>
      <c r="CL63" t="s">
        <v>515</v>
      </c>
      <c r="CM63">
        <v>172096</v>
      </c>
      <c r="CQ63" t="s">
        <v>40</v>
      </c>
      <c r="CR63" t="s">
        <v>517</v>
      </c>
      <c r="CS63" t="s">
        <v>292</v>
      </c>
      <c r="CT63" t="s">
        <v>534</v>
      </c>
      <c r="CU63">
        <v>166</v>
      </c>
    </row>
    <row r="64" spans="2:99">
      <c r="B64" t="s">
        <v>502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517</v>
      </c>
      <c r="CE64">
        <v>3159</v>
      </c>
      <c r="CI64" t="s">
        <v>40</v>
      </c>
      <c r="CJ64" t="s">
        <v>40</v>
      </c>
      <c r="CK64" t="s">
        <v>40</v>
      </c>
      <c r="CL64" t="s">
        <v>534</v>
      </c>
      <c r="CM64">
        <v>3289</v>
      </c>
      <c r="CQ64" t="s">
        <v>40</v>
      </c>
      <c r="CR64" t="s">
        <v>517</v>
      </c>
      <c r="CS64" t="s">
        <v>292</v>
      </c>
      <c r="CT64" t="s">
        <v>535</v>
      </c>
      <c r="CU64">
        <v>223</v>
      </c>
    </row>
    <row r="65" spans="2:99">
      <c r="B65" t="s">
        <v>502</v>
      </c>
      <c r="C65" s="305" t="s">
        <v>550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518</v>
      </c>
      <c r="CE65">
        <v>2434</v>
      </c>
      <c r="CI65" t="s">
        <v>40</v>
      </c>
      <c r="CJ65" t="s">
        <v>40</v>
      </c>
      <c r="CK65" t="s">
        <v>40</v>
      </c>
      <c r="CL65" t="s">
        <v>535</v>
      </c>
      <c r="CM65">
        <v>4596</v>
      </c>
      <c r="CQ65" t="s">
        <v>40</v>
      </c>
      <c r="CR65" t="s">
        <v>517</v>
      </c>
      <c r="CS65" t="s">
        <v>292</v>
      </c>
      <c r="CT65" t="s">
        <v>536</v>
      </c>
      <c r="CU65">
        <v>1077</v>
      </c>
    </row>
    <row r="66" spans="2:99">
      <c r="B66" t="s">
        <v>502</v>
      </c>
      <c r="C66" t="s">
        <v>422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519</v>
      </c>
      <c r="CE66">
        <v>3415</v>
      </c>
      <c r="CI66" t="s">
        <v>40</v>
      </c>
      <c r="CJ66" t="s">
        <v>40</v>
      </c>
      <c r="CK66" t="s">
        <v>40</v>
      </c>
      <c r="CL66" t="s">
        <v>536</v>
      </c>
      <c r="CM66">
        <v>73152</v>
      </c>
      <c r="CQ66" t="s">
        <v>40</v>
      </c>
      <c r="CR66" t="s">
        <v>517</v>
      </c>
      <c r="CS66" t="s">
        <v>292</v>
      </c>
      <c r="CT66" t="s">
        <v>136</v>
      </c>
      <c r="CU66">
        <v>1575</v>
      </c>
    </row>
    <row r="67" spans="2:99">
      <c r="B67" t="s">
        <v>502</v>
      </c>
      <c r="C67" t="s">
        <v>425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520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517</v>
      </c>
      <c r="CS67" t="s">
        <v>292</v>
      </c>
      <c r="CT67" t="s">
        <v>548</v>
      </c>
      <c r="CU67">
        <v>40</v>
      </c>
    </row>
    <row r="68" spans="2:99">
      <c r="B68" t="s">
        <v>502</v>
      </c>
      <c r="C68" t="s">
        <v>420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521</v>
      </c>
      <c r="CE68">
        <v>5873</v>
      </c>
      <c r="CI68" t="s">
        <v>40</v>
      </c>
      <c r="CJ68" t="s">
        <v>40</v>
      </c>
      <c r="CK68" t="s">
        <v>40</v>
      </c>
      <c r="CL68" t="s">
        <v>548</v>
      </c>
      <c r="CM68">
        <v>1107</v>
      </c>
      <c r="CQ68" t="s">
        <v>40</v>
      </c>
      <c r="CR68" t="s">
        <v>517</v>
      </c>
      <c r="CS68" t="s">
        <v>292</v>
      </c>
      <c r="CT68" t="s">
        <v>537</v>
      </c>
      <c r="CU68">
        <v>8</v>
      </c>
    </row>
    <row r="69" spans="2:99">
      <c r="B69" t="s">
        <v>502</v>
      </c>
      <c r="C69" t="s">
        <v>475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522</v>
      </c>
      <c r="CE69">
        <v>9310</v>
      </c>
      <c r="CI69" t="s">
        <v>40</v>
      </c>
      <c r="CJ69" t="s">
        <v>40</v>
      </c>
      <c r="CK69" t="s">
        <v>40</v>
      </c>
      <c r="CL69" t="s">
        <v>537</v>
      </c>
      <c r="CM69">
        <v>317</v>
      </c>
      <c r="CQ69" t="s">
        <v>40</v>
      </c>
      <c r="CR69" t="s">
        <v>517</v>
      </c>
      <c r="CS69" t="s">
        <v>292</v>
      </c>
      <c r="CT69" t="s">
        <v>538</v>
      </c>
      <c r="CU69">
        <v>13</v>
      </c>
    </row>
    <row r="70" spans="2:99">
      <c r="B70" t="s">
        <v>502</v>
      </c>
      <c r="C70" t="s">
        <v>427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523</v>
      </c>
      <c r="CE70">
        <v>27108</v>
      </c>
      <c r="CI70" t="s">
        <v>40</v>
      </c>
      <c r="CJ70" t="s">
        <v>40</v>
      </c>
      <c r="CK70" t="s">
        <v>40</v>
      </c>
      <c r="CL70" t="s">
        <v>538</v>
      </c>
      <c r="CM70">
        <v>648</v>
      </c>
      <c r="CQ70" t="s">
        <v>40</v>
      </c>
      <c r="CR70" t="s">
        <v>517</v>
      </c>
      <c r="CS70" t="s">
        <v>292</v>
      </c>
      <c r="CT70" t="s">
        <v>539</v>
      </c>
      <c r="CU70">
        <v>16</v>
      </c>
    </row>
    <row r="71" spans="2:99">
      <c r="B71" t="s">
        <v>502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524</v>
      </c>
      <c r="CE71">
        <v>84521</v>
      </c>
      <c r="CI71" t="s">
        <v>40</v>
      </c>
      <c r="CJ71" t="s">
        <v>40</v>
      </c>
      <c r="CK71" t="s">
        <v>40</v>
      </c>
      <c r="CL71" t="s">
        <v>539</v>
      </c>
      <c r="CM71">
        <v>350</v>
      </c>
      <c r="CQ71" t="s">
        <v>40</v>
      </c>
      <c r="CR71" t="s">
        <v>517</v>
      </c>
      <c r="CS71" t="s">
        <v>292</v>
      </c>
      <c r="CT71" t="s">
        <v>540</v>
      </c>
      <c r="CU71">
        <v>17</v>
      </c>
    </row>
    <row r="72" spans="2:99">
      <c r="B72" t="s">
        <v>502</v>
      </c>
      <c r="C72" t="s">
        <v>423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525</v>
      </c>
      <c r="CE72">
        <v>5717</v>
      </c>
      <c r="CI72" t="s">
        <v>40</v>
      </c>
      <c r="CJ72" t="s">
        <v>40</v>
      </c>
      <c r="CK72" t="s">
        <v>40</v>
      </c>
      <c r="CL72" t="s">
        <v>540</v>
      </c>
      <c r="CM72">
        <v>1146</v>
      </c>
      <c r="CQ72" t="s">
        <v>40</v>
      </c>
      <c r="CR72" t="s">
        <v>517</v>
      </c>
      <c r="CS72" t="s">
        <v>292</v>
      </c>
      <c r="CT72" t="s">
        <v>526</v>
      </c>
      <c r="CU72">
        <v>24</v>
      </c>
    </row>
    <row r="73" spans="2:99">
      <c r="B73" t="s">
        <v>503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526</v>
      </c>
      <c r="CE73">
        <v>26520</v>
      </c>
      <c r="CI73" t="s">
        <v>40</v>
      </c>
      <c r="CJ73" t="s">
        <v>40</v>
      </c>
      <c r="CK73" t="s">
        <v>40</v>
      </c>
      <c r="CL73" t="s">
        <v>526</v>
      </c>
      <c r="CM73">
        <v>9152</v>
      </c>
      <c r="CQ73" t="s">
        <v>40</v>
      </c>
      <c r="CR73" t="s">
        <v>517</v>
      </c>
      <c r="CS73" t="s">
        <v>292</v>
      </c>
    </row>
    <row r="74" spans="2:99">
      <c r="B74" t="s">
        <v>503</v>
      </c>
      <c r="C74" t="s">
        <v>549</v>
      </c>
      <c r="E74">
        <v>1</v>
      </c>
      <c r="F74">
        <v>1</v>
      </c>
      <c r="CA74" t="s">
        <v>40</v>
      </c>
      <c r="CB74" t="s">
        <v>40</v>
      </c>
      <c r="CC74" t="s">
        <v>531</v>
      </c>
      <c r="CI74" t="s">
        <v>40</v>
      </c>
      <c r="CJ74" t="s">
        <v>40</v>
      </c>
      <c r="CK74" t="s">
        <v>531</v>
      </c>
      <c r="CQ74" t="s">
        <v>40</v>
      </c>
      <c r="CR74" t="s">
        <v>517</v>
      </c>
      <c r="CS74" t="s">
        <v>292</v>
      </c>
      <c r="CT74" t="s">
        <v>515</v>
      </c>
      <c r="CU74">
        <v>10547</v>
      </c>
    </row>
    <row r="75" spans="2:99">
      <c r="B75" t="s">
        <v>503</v>
      </c>
      <c r="C75" t="s">
        <v>419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516</v>
      </c>
      <c r="CE75">
        <v>28783</v>
      </c>
      <c r="CI75" t="s">
        <v>40</v>
      </c>
      <c r="CJ75" t="s">
        <v>40</v>
      </c>
      <c r="CK75" t="s">
        <v>40</v>
      </c>
      <c r="CL75" t="s">
        <v>515</v>
      </c>
      <c r="CM75">
        <v>28783</v>
      </c>
      <c r="CQ75" t="s">
        <v>40</v>
      </c>
      <c r="CR75" t="s">
        <v>517</v>
      </c>
      <c r="CS75" t="s">
        <v>292</v>
      </c>
      <c r="CT75" t="s">
        <v>534</v>
      </c>
      <c r="CU75">
        <v>775</v>
      </c>
    </row>
    <row r="76" spans="2:99">
      <c r="B76" t="s">
        <v>503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517</v>
      </c>
      <c r="CE76">
        <v>9575</v>
      </c>
      <c r="CI76" t="s">
        <v>40</v>
      </c>
      <c r="CJ76" t="s">
        <v>40</v>
      </c>
      <c r="CK76" t="s">
        <v>40</v>
      </c>
      <c r="CL76" t="s">
        <v>534</v>
      </c>
      <c r="CM76">
        <v>1513</v>
      </c>
      <c r="CQ76" t="s">
        <v>40</v>
      </c>
      <c r="CR76" t="s">
        <v>517</v>
      </c>
      <c r="CS76" t="s">
        <v>292</v>
      </c>
      <c r="CT76" t="s">
        <v>535</v>
      </c>
      <c r="CU76">
        <v>1399</v>
      </c>
    </row>
    <row r="77" spans="2:99">
      <c r="B77" t="s">
        <v>503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518</v>
      </c>
      <c r="CE77">
        <v>2653</v>
      </c>
      <c r="CI77" t="s">
        <v>40</v>
      </c>
      <c r="CJ77" t="s">
        <v>40</v>
      </c>
      <c r="CK77" t="s">
        <v>40</v>
      </c>
      <c r="CL77" t="s">
        <v>535</v>
      </c>
      <c r="CM77">
        <v>4191</v>
      </c>
      <c r="CQ77" t="s">
        <v>40</v>
      </c>
      <c r="CR77" t="s">
        <v>517</v>
      </c>
      <c r="CS77" t="s">
        <v>292</v>
      </c>
      <c r="CT77" t="s">
        <v>536</v>
      </c>
      <c r="CU77">
        <v>2576</v>
      </c>
    </row>
    <row r="78" spans="2:99">
      <c r="B78" t="s">
        <v>503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519</v>
      </c>
      <c r="CE78">
        <v>1745</v>
      </c>
      <c r="CI78" t="s">
        <v>40</v>
      </c>
      <c r="CJ78" t="s">
        <v>40</v>
      </c>
      <c r="CK78" t="s">
        <v>40</v>
      </c>
      <c r="CL78" t="s">
        <v>536</v>
      </c>
      <c r="CM78">
        <v>6389</v>
      </c>
      <c r="CQ78" t="s">
        <v>40</v>
      </c>
      <c r="CR78" t="s">
        <v>517</v>
      </c>
      <c r="CS78" t="s">
        <v>292</v>
      </c>
      <c r="CT78" t="s">
        <v>136</v>
      </c>
      <c r="CU78">
        <v>5260</v>
      </c>
    </row>
    <row r="79" spans="2:99">
      <c r="B79" t="s">
        <v>503</v>
      </c>
      <c r="C79" t="s">
        <v>421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520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517</v>
      </c>
      <c r="CS79" t="s">
        <v>292</v>
      </c>
      <c r="CT79" t="s">
        <v>548</v>
      </c>
      <c r="CU79">
        <v>123</v>
      </c>
    </row>
    <row r="80" spans="2:99">
      <c r="B80" t="s">
        <v>503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521</v>
      </c>
      <c r="CE80">
        <v>1176</v>
      </c>
      <c r="CI80" t="s">
        <v>40</v>
      </c>
      <c r="CJ80" t="s">
        <v>40</v>
      </c>
      <c r="CK80" t="s">
        <v>40</v>
      </c>
      <c r="CL80" t="s">
        <v>548</v>
      </c>
      <c r="CM80">
        <v>469</v>
      </c>
      <c r="CQ80" t="s">
        <v>40</v>
      </c>
      <c r="CR80" t="s">
        <v>517</v>
      </c>
      <c r="CS80" t="s">
        <v>292</v>
      </c>
      <c r="CT80" t="s">
        <v>537</v>
      </c>
      <c r="CU80">
        <v>67</v>
      </c>
    </row>
    <row r="81" spans="2:99">
      <c r="B81" t="s">
        <v>503</v>
      </c>
      <c r="C81" t="s">
        <v>550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522</v>
      </c>
      <c r="CE81">
        <v>1039</v>
      </c>
      <c r="CI81" t="s">
        <v>40</v>
      </c>
      <c r="CJ81" t="s">
        <v>40</v>
      </c>
      <c r="CK81" t="s">
        <v>40</v>
      </c>
      <c r="CL81" t="s">
        <v>537</v>
      </c>
      <c r="CM81">
        <v>217</v>
      </c>
      <c r="CQ81" t="s">
        <v>40</v>
      </c>
      <c r="CR81" t="s">
        <v>517</v>
      </c>
      <c r="CS81" t="s">
        <v>292</v>
      </c>
      <c r="CT81" t="s">
        <v>538</v>
      </c>
      <c r="CU81">
        <v>43</v>
      </c>
    </row>
    <row r="82" spans="2:99">
      <c r="B82" t="s">
        <v>503</v>
      </c>
      <c r="C82" t="s">
        <v>422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523</v>
      </c>
      <c r="CE82">
        <v>1530</v>
      </c>
      <c r="CI82" t="s">
        <v>40</v>
      </c>
      <c r="CJ82" t="s">
        <v>40</v>
      </c>
      <c r="CK82" t="s">
        <v>40</v>
      </c>
      <c r="CL82" t="s">
        <v>538</v>
      </c>
      <c r="CM82">
        <v>126</v>
      </c>
      <c r="CQ82" t="s">
        <v>40</v>
      </c>
      <c r="CR82" t="s">
        <v>517</v>
      </c>
      <c r="CS82" t="s">
        <v>292</v>
      </c>
      <c r="CT82" t="s">
        <v>539</v>
      </c>
      <c r="CU82">
        <v>72</v>
      </c>
    </row>
    <row r="83" spans="2:99">
      <c r="B83" t="s">
        <v>503</v>
      </c>
      <c r="C83" t="s">
        <v>425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524</v>
      </c>
      <c r="CE83">
        <v>2247</v>
      </c>
      <c r="CI83" t="s">
        <v>40</v>
      </c>
      <c r="CJ83" t="s">
        <v>40</v>
      </c>
      <c r="CK83" t="s">
        <v>40</v>
      </c>
      <c r="CL83" t="s">
        <v>539</v>
      </c>
      <c r="CM83">
        <v>182</v>
      </c>
      <c r="CQ83" t="s">
        <v>40</v>
      </c>
      <c r="CR83" t="s">
        <v>517</v>
      </c>
      <c r="CS83" t="s">
        <v>292</v>
      </c>
      <c r="CT83" t="s">
        <v>540</v>
      </c>
      <c r="CU83">
        <v>75</v>
      </c>
    </row>
    <row r="84" spans="2:99">
      <c r="B84" t="s">
        <v>503</v>
      </c>
      <c r="C84" t="s">
        <v>420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525</v>
      </c>
      <c r="CE84">
        <v>365</v>
      </c>
      <c r="CI84" t="s">
        <v>40</v>
      </c>
      <c r="CJ84" t="s">
        <v>40</v>
      </c>
      <c r="CK84" t="s">
        <v>40</v>
      </c>
      <c r="CL84" t="s">
        <v>540</v>
      </c>
      <c r="CM84">
        <v>203</v>
      </c>
      <c r="CQ84" t="s">
        <v>40</v>
      </c>
      <c r="CR84" t="s">
        <v>517</v>
      </c>
      <c r="CS84" t="s">
        <v>292</v>
      </c>
      <c r="CT84" t="s">
        <v>526</v>
      </c>
      <c r="CU84">
        <v>157</v>
      </c>
    </row>
    <row r="85" spans="2:99">
      <c r="B85" t="s">
        <v>503</v>
      </c>
      <c r="C85" t="s">
        <v>475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526</v>
      </c>
      <c r="CE85">
        <v>7267</v>
      </c>
      <c r="CI85" t="s">
        <v>40</v>
      </c>
      <c r="CJ85" t="s">
        <v>40</v>
      </c>
      <c r="CK85" t="s">
        <v>40</v>
      </c>
      <c r="CL85" t="s">
        <v>526</v>
      </c>
      <c r="CM85">
        <v>2900</v>
      </c>
      <c r="CQ85" t="s">
        <v>40</v>
      </c>
      <c r="CR85" t="s">
        <v>517</v>
      </c>
      <c r="CS85" t="s">
        <v>526</v>
      </c>
    </row>
    <row r="86" spans="2:99">
      <c r="B86" t="s">
        <v>503</v>
      </c>
      <c r="C86" t="s">
        <v>427</v>
      </c>
      <c r="E86">
        <v>18</v>
      </c>
      <c r="F86">
        <v>51</v>
      </c>
      <c r="CA86" t="s">
        <v>40</v>
      </c>
      <c r="CB86" t="s">
        <v>40</v>
      </c>
      <c r="CC86" t="s">
        <v>532</v>
      </c>
      <c r="CI86" t="s">
        <v>40</v>
      </c>
      <c r="CJ86" t="s">
        <v>40</v>
      </c>
      <c r="CK86" t="s">
        <v>532</v>
      </c>
      <c r="CQ86" t="s">
        <v>40</v>
      </c>
      <c r="CR86" t="s">
        <v>517</v>
      </c>
      <c r="CS86" t="s">
        <v>526</v>
      </c>
      <c r="CT86" t="s">
        <v>515</v>
      </c>
      <c r="CU86">
        <v>935</v>
      </c>
    </row>
    <row r="87" spans="2:99">
      <c r="B87" t="s">
        <v>503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516</v>
      </c>
      <c r="CE87">
        <v>3266</v>
      </c>
      <c r="CI87" t="s">
        <v>40</v>
      </c>
      <c r="CJ87" t="s">
        <v>40</v>
      </c>
      <c r="CK87" t="s">
        <v>40</v>
      </c>
      <c r="CL87" t="s">
        <v>515</v>
      </c>
      <c r="CM87">
        <v>3266</v>
      </c>
      <c r="CQ87" t="s">
        <v>40</v>
      </c>
      <c r="CR87" t="s">
        <v>517</v>
      </c>
      <c r="CS87" t="s">
        <v>526</v>
      </c>
      <c r="CT87" t="s">
        <v>534</v>
      </c>
      <c r="CU87">
        <v>38</v>
      </c>
    </row>
    <row r="88" spans="2:99">
      <c r="B88" t="s">
        <v>503</v>
      </c>
      <c r="C88" t="s">
        <v>423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517</v>
      </c>
      <c r="CE88">
        <v>972</v>
      </c>
      <c r="CI88" t="s">
        <v>40</v>
      </c>
      <c r="CJ88" t="s">
        <v>40</v>
      </c>
      <c r="CK88" t="s">
        <v>40</v>
      </c>
      <c r="CL88" t="s">
        <v>534</v>
      </c>
      <c r="CM88">
        <v>266</v>
      </c>
      <c r="CQ88" t="s">
        <v>40</v>
      </c>
      <c r="CR88" t="s">
        <v>517</v>
      </c>
      <c r="CS88" t="s">
        <v>526</v>
      </c>
      <c r="CT88" t="s">
        <v>535</v>
      </c>
      <c r="CU88">
        <v>368</v>
      </c>
    </row>
    <row r="89" spans="2:99">
      <c r="B89" t="s">
        <v>504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518</v>
      </c>
      <c r="CE89">
        <v>306</v>
      </c>
      <c r="CI89" t="s">
        <v>40</v>
      </c>
      <c r="CJ89" t="s">
        <v>40</v>
      </c>
      <c r="CK89" t="s">
        <v>40</v>
      </c>
      <c r="CL89" t="s">
        <v>535</v>
      </c>
      <c r="CM89">
        <v>412</v>
      </c>
      <c r="CQ89" t="s">
        <v>40</v>
      </c>
      <c r="CR89" t="s">
        <v>517</v>
      </c>
      <c r="CS89" t="s">
        <v>526</v>
      </c>
      <c r="CT89" t="s">
        <v>536</v>
      </c>
      <c r="CU89">
        <v>110</v>
      </c>
    </row>
    <row r="90" spans="2:99">
      <c r="B90" t="s">
        <v>504</v>
      </c>
      <c r="C90" t="s">
        <v>549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519</v>
      </c>
      <c r="CE90">
        <v>229</v>
      </c>
      <c r="CI90" t="s">
        <v>40</v>
      </c>
      <c r="CJ90" t="s">
        <v>40</v>
      </c>
      <c r="CK90" t="s">
        <v>40</v>
      </c>
      <c r="CL90" t="s">
        <v>536</v>
      </c>
      <c r="CM90">
        <v>535</v>
      </c>
      <c r="CQ90" t="s">
        <v>40</v>
      </c>
      <c r="CR90" t="s">
        <v>517</v>
      </c>
      <c r="CS90" t="s">
        <v>526</v>
      </c>
      <c r="CT90" t="s">
        <v>136</v>
      </c>
      <c r="CU90">
        <v>104</v>
      </c>
    </row>
    <row r="91" spans="2:99">
      <c r="B91" t="s">
        <v>504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520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517</v>
      </c>
      <c r="CS91" t="s">
        <v>526</v>
      </c>
      <c r="CT91" t="s">
        <v>548</v>
      </c>
      <c r="CU91">
        <v>104</v>
      </c>
    </row>
    <row r="92" spans="2:99">
      <c r="B92" t="s">
        <v>504</v>
      </c>
      <c r="C92" t="s">
        <v>419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521</v>
      </c>
      <c r="CE92">
        <v>152</v>
      </c>
      <c r="CI92" t="s">
        <v>40</v>
      </c>
      <c r="CJ92" t="s">
        <v>40</v>
      </c>
      <c r="CK92" t="s">
        <v>40</v>
      </c>
      <c r="CL92" t="s">
        <v>548</v>
      </c>
      <c r="CM92">
        <v>34</v>
      </c>
      <c r="CQ92" t="s">
        <v>40</v>
      </c>
      <c r="CR92" t="s">
        <v>517</v>
      </c>
      <c r="CS92" t="s">
        <v>526</v>
      </c>
      <c r="CT92" t="s">
        <v>537</v>
      </c>
      <c r="CU92">
        <v>112</v>
      </c>
    </row>
    <row r="93" spans="2:99">
      <c r="B93" t="s">
        <v>504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522</v>
      </c>
      <c r="CE93">
        <v>136</v>
      </c>
      <c r="CI93" t="s">
        <v>40</v>
      </c>
      <c r="CJ93" t="s">
        <v>40</v>
      </c>
      <c r="CK93" t="s">
        <v>40</v>
      </c>
      <c r="CL93" t="s">
        <v>537</v>
      </c>
      <c r="CM93">
        <v>31</v>
      </c>
      <c r="CQ93" t="s">
        <v>40</v>
      </c>
      <c r="CR93" t="s">
        <v>517</v>
      </c>
      <c r="CS93" t="s">
        <v>526</v>
      </c>
      <c r="CT93" t="s">
        <v>538</v>
      </c>
      <c r="CU93">
        <v>4</v>
      </c>
    </row>
    <row r="94" spans="2:99">
      <c r="B94" t="s">
        <v>504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523</v>
      </c>
      <c r="CE94">
        <v>142</v>
      </c>
      <c r="CI94" t="s">
        <v>40</v>
      </c>
      <c r="CJ94" t="s">
        <v>40</v>
      </c>
      <c r="CK94" t="s">
        <v>40</v>
      </c>
      <c r="CL94" t="s">
        <v>538</v>
      </c>
      <c r="CM94">
        <v>19</v>
      </c>
      <c r="CQ94" t="s">
        <v>40</v>
      </c>
      <c r="CR94" t="s">
        <v>517</v>
      </c>
      <c r="CS94" t="s">
        <v>526</v>
      </c>
      <c r="CT94" t="s">
        <v>539</v>
      </c>
      <c r="CU94">
        <v>47</v>
      </c>
    </row>
    <row r="95" spans="2:99">
      <c r="B95" t="s">
        <v>504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524</v>
      </c>
      <c r="CE95">
        <v>152</v>
      </c>
      <c r="CI95" t="s">
        <v>40</v>
      </c>
      <c r="CJ95" t="s">
        <v>40</v>
      </c>
      <c r="CK95" t="s">
        <v>40</v>
      </c>
      <c r="CL95" t="s">
        <v>539</v>
      </c>
      <c r="CM95">
        <v>16</v>
      </c>
      <c r="CQ95" t="s">
        <v>40</v>
      </c>
      <c r="CR95" t="s">
        <v>517</v>
      </c>
      <c r="CS95" t="s">
        <v>526</v>
      </c>
      <c r="CT95" t="s">
        <v>540</v>
      </c>
      <c r="CU95">
        <v>2</v>
      </c>
    </row>
    <row r="96" spans="2:99">
      <c r="B96" t="s">
        <v>504</v>
      </c>
      <c r="C96" t="s">
        <v>421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525</v>
      </c>
      <c r="CE96">
        <v>42</v>
      </c>
      <c r="CI96" t="s">
        <v>40</v>
      </c>
      <c r="CJ96" t="s">
        <v>40</v>
      </c>
      <c r="CK96" t="s">
        <v>40</v>
      </c>
      <c r="CL96" t="s">
        <v>540</v>
      </c>
      <c r="CM96">
        <v>49</v>
      </c>
      <c r="CQ96" t="s">
        <v>40</v>
      </c>
      <c r="CR96" t="s">
        <v>517</v>
      </c>
      <c r="CS96" t="s">
        <v>526</v>
      </c>
      <c r="CT96" t="s">
        <v>526</v>
      </c>
      <c r="CU96">
        <v>46</v>
      </c>
    </row>
    <row r="97" spans="2:99">
      <c r="B97" t="s">
        <v>504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526</v>
      </c>
      <c r="CE97">
        <v>940</v>
      </c>
      <c r="CI97" t="s">
        <v>40</v>
      </c>
      <c r="CJ97" t="s">
        <v>40</v>
      </c>
      <c r="CK97" t="s">
        <v>40</v>
      </c>
      <c r="CL97" t="s">
        <v>526</v>
      </c>
      <c r="CM97">
        <v>296</v>
      </c>
      <c r="CQ97" t="s">
        <v>40</v>
      </c>
      <c r="CR97" t="s">
        <v>518</v>
      </c>
    </row>
    <row r="98" spans="2:99">
      <c r="B98" t="s">
        <v>504</v>
      </c>
      <c r="C98" t="s">
        <v>550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526</v>
      </c>
      <c r="CI98" t="s">
        <v>40</v>
      </c>
      <c r="CJ98" t="s">
        <v>40</v>
      </c>
      <c r="CK98" t="s">
        <v>526</v>
      </c>
      <c r="CQ98" t="s">
        <v>40</v>
      </c>
      <c r="CR98" t="s">
        <v>551</v>
      </c>
      <c r="CS98" t="s">
        <v>515</v>
      </c>
    </row>
    <row r="99" spans="2:99">
      <c r="B99" t="s">
        <v>504</v>
      </c>
      <c r="C99" t="s">
        <v>422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516</v>
      </c>
      <c r="CE99">
        <v>21870</v>
      </c>
      <c r="CI99" t="s">
        <v>40</v>
      </c>
      <c r="CJ99" t="s">
        <v>40</v>
      </c>
      <c r="CK99" t="s">
        <v>40</v>
      </c>
      <c r="CL99" t="s">
        <v>515</v>
      </c>
      <c r="CM99">
        <v>21870</v>
      </c>
      <c r="CQ99" t="s">
        <v>40</v>
      </c>
      <c r="CR99" t="s">
        <v>551</v>
      </c>
      <c r="CS99" t="s">
        <v>40</v>
      </c>
      <c r="CT99" t="s">
        <v>515</v>
      </c>
      <c r="CU99">
        <v>109668</v>
      </c>
    </row>
    <row r="100" spans="2:99">
      <c r="B100" t="s">
        <v>504</v>
      </c>
      <c r="C100" t="s">
        <v>425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517</v>
      </c>
      <c r="CE100">
        <v>935</v>
      </c>
      <c r="CI100" t="s">
        <v>40</v>
      </c>
      <c r="CJ100" t="s">
        <v>40</v>
      </c>
      <c r="CK100" t="s">
        <v>40</v>
      </c>
      <c r="CL100" t="s">
        <v>534</v>
      </c>
      <c r="CM100">
        <v>229</v>
      </c>
      <c r="CQ100" t="s">
        <v>40</v>
      </c>
      <c r="CR100" t="s">
        <v>551</v>
      </c>
      <c r="CS100" t="s">
        <v>40</v>
      </c>
      <c r="CT100" t="s">
        <v>534</v>
      </c>
      <c r="CU100">
        <v>2951</v>
      </c>
    </row>
    <row r="101" spans="2:99">
      <c r="B101" t="s">
        <v>504</v>
      </c>
      <c r="C101" t="s">
        <v>420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518</v>
      </c>
      <c r="CE101">
        <v>685</v>
      </c>
      <c r="CI101" t="s">
        <v>40</v>
      </c>
      <c r="CJ101" t="s">
        <v>40</v>
      </c>
      <c r="CK101" t="s">
        <v>40</v>
      </c>
      <c r="CL101" t="s">
        <v>535</v>
      </c>
      <c r="CM101">
        <v>4384</v>
      </c>
      <c r="CQ101" t="s">
        <v>40</v>
      </c>
      <c r="CR101" t="s">
        <v>551</v>
      </c>
      <c r="CS101" t="s">
        <v>40</v>
      </c>
      <c r="CT101" t="s">
        <v>535</v>
      </c>
      <c r="CU101">
        <v>42020</v>
      </c>
    </row>
    <row r="102" spans="2:99">
      <c r="B102" t="s">
        <v>504</v>
      </c>
      <c r="C102" t="s">
        <v>427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519</v>
      </c>
      <c r="CE102">
        <v>760</v>
      </c>
      <c r="CI102" t="s">
        <v>40</v>
      </c>
      <c r="CJ102" t="s">
        <v>40</v>
      </c>
      <c r="CK102" t="s">
        <v>40</v>
      </c>
      <c r="CL102" t="s">
        <v>536</v>
      </c>
      <c r="CM102">
        <v>4623</v>
      </c>
      <c r="CQ102" t="s">
        <v>40</v>
      </c>
      <c r="CR102" t="s">
        <v>551</v>
      </c>
      <c r="CS102" t="s">
        <v>40</v>
      </c>
      <c r="CT102" t="s">
        <v>536</v>
      </c>
      <c r="CU102">
        <v>35749</v>
      </c>
    </row>
    <row r="103" spans="2:99">
      <c r="B103" t="s">
        <v>504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520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551</v>
      </c>
      <c r="CS103" t="s">
        <v>40</v>
      </c>
      <c r="CT103" t="s">
        <v>136</v>
      </c>
      <c r="CU103">
        <v>5995</v>
      </c>
    </row>
    <row r="104" spans="2:99">
      <c r="B104" t="s">
        <v>504</v>
      </c>
      <c r="C104" t="s">
        <v>423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521</v>
      </c>
      <c r="CE104">
        <v>1121</v>
      </c>
      <c r="CI104" t="s">
        <v>40</v>
      </c>
      <c r="CJ104" t="s">
        <v>40</v>
      </c>
      <c r="CK104" t="s">
        <v>40</v>
      </c>
      <c r="CL104" t="s">
        <v>548</v>
      </c>
      <c r="CM104">
        <v>1141</v>
      </c>
      <c r="CQ104" t="s">
        <v>40</v>
      </c>
      <c r="CR104" t="s">
        <v>551</v>
      </c>
      <c r="CS104" t="s">
        <v>40</v>
      </c>
      <c r="CT104" t="s">
        <v>548</v>
      </c>
      <c r="CU104">
        <v>8805</v>
      </c>
    </row>
    <row r="105" spans="2:99">
      <c r="B105" t="s">
        <v>505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522</v>
      </c>
      <c r="CE105">
        <v>989</v>
      </c>
      <c r="CI105" t="s">
        <v>40</v>
      </c>
      <c r="CJ105" t="s">
        <v>40</v>
      </c>
      <c r="CK105" t="s">
        <v>40</v>
      </c>
      <c r="CL105" t="s">
        <v>537</v>
      </c>
      <c r="CM105">
        <v>852</v>
      </c>
      <c r="CQ105" t="s">
        <v>40</v>
      </c>
      <c r="CR105" t="s">
        <v>551</v>
      </c>
      <c r="CS105" t="s">
        <v>40</v>
      </c>
      <c r="CT105" t="s">
        <v>537</v>
      </c>
      <c r="CU105">
        <v>9852</v>
      </c>
    </row>
    <row r="106" spans="2:99">
      <c r="B106" t="s">
        <v>505</v>
      </c>
      <c r="C106" t="s">
        <v>549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523</v>
      </c>
      <c r="CE106">
        <v>978</v>
      </c>
      <c r="CI106" t="s">
        <v>40</v>
      </c>
      <c r="CJ106" t="s">
        <v>40</v>
      </c>
      <c r="CK106" t="s">
        <v>40</v>
      </c>
      <c r="CL106" t="s">
        <v>538</v>
      </c>
      <c r="CM106">
        <v>34</v>
      </c>
      <c r="CQ106" t="s">
        <v>40</v>
      </c>
      <c r="CR106" t="s">
        <v>551</v>
      </c>
      <c r="CS106" t="s">
        <v>40</v>
      </c>
      <c r="CT106" t="s">
        <v>538</v>
      </c>
      <c r="CU106">
        <v>400</v>
      </c>
    </row>
    <row r="107" spans="2:99">
      <c r="B107" t="s">
        <v>505</v>
      </c>
      <c r="C107" t="s">
        <v>419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524</v>
      </c>
      <c r="CE107">
        <v>2069</v>
      </c>
      <c r="CI107" t="s">
        <v>40</v>
      </c>
      <c r="CJ107" t="s">
        <v>40</v>
      </c>
      <c r="CK107" t="s">
        <v>40</v>
      </c>
      <c r="CL107" t="s">
        <v>539</v>
      </c>
      <c r="CM107">
        <v>243</v>
      </c>
      <c r="CQ107" t="s">
        <v>40</v>
      </c>
      <c r="CR107" t="s">
        <v>551</v>
      </c>
      <c r="CS107" t="s">
        <v>40</v>
      </c>
      <c r="CT107" t="s">
        <v>539</v>
      </c>
      <c r="CU107">
        <v>2925</v>
      </c>
    </row>
    <row r="108" spans="2:99">
      <c r="B108" t="s">
        <v>505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525</v>
      </c>
      <c r="CE108">
        <v>235</v>
      </c>
      <c r="CI108" t="s">
        <v>40</v>
      </c>
      <c r="CJ108" t="s">
        <v>40</v>
      </c>
      <c r="CK108" t="s">
        <v>40</v>
      </c>
      <c r="CL108" t="s">
        <v>540</v>
      </c>
      <c r="CM108">
        <v>71</v>
      </c>
      <c r="CQ108" t="s">
        <v>40</v>
      </c>
      <c r="CR108" t="s">
        <v>551</v>
      </c>
      <c r="CS108" t="s">
        <v>40</v>
      </c>
      <c r="CT108" t="s">
        <v>540</v>
      </c>
      <c r="CU108">
        <v>391</v>
      </c>
    </row>
    <row r="109" spans="2:99">
      <c r="B109" t="s">
        <v>505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526</v>
      </c>
      <c r="CE109">
        <v>13432</v>
      </c>
      <c r="CI109" t="s">
        <v>40</v>
      </c>
      <c r="CJ109" t="s">
        <v>40</v>
      </c>
      <c r="CK109" t="s">
        <v>40</v>
      </c>
      <c r="CL109" t="s">
        <v>526</v>
      </c>
      <c r="CM109">
        <v>8840</v>
      </c>
      <c r="CQ109" t="s">
        <v>40</v>
      </c>
      <c r="CR109" t="s">
        <v>551</v>
      </c>
      <c r="CS109" t="s">
        <v>40</v>
      </c>
      <c r="CT109" t="s">
        <v>526</v>
      </c>
      <c r="CU109">
        <v>580</v>
      </c>
    </row>
    <row r="110" spans="2:99">
      <c r="B110" t="s">
        <v>505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551</v>
      </c>
      <c r="CS110" t="s">
        <v>46</v>
      </c>
    </row>
    <row r="111" spans="2:99">
      <c r="B111" t="s">
        <v>505</v>
      </c>
      <c r="C111" t="s">
        <v>421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551</v>
      </c>
      <c r="CS111" t="s">
        <v>46</v>
      </c>
      <c r="CT111" t="s">
        <v>515</v>
      </c>
      <c r="CU111">
        <v>46847</v>
      </c>
    </row>
    <row r="112" spans="2:99">
      <c r="B112" t="s">
        <v>505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551</v>
      </c>
      <c r="CS112" t="s">
        <v>46</v>
      </c>
      <c r="CT112" t="s">
        <v>534</v>
      </c>
      <c r="CU112">
        <v>1343</v>
      </c>
    </row>
    <row r="113" spans="2:99">
      <c r="B113" t="s">
        <v>505</v>
      </c>
      <c r="C113" t="s">
        <v>550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551</v>
      </c>
      <c r="CS113" t="s">
        <v>46</v>
      </c>
      <c r="CT113" t="s">
        <v>535</v>
      </c>
      <c r="CU113">
        <v>25936</v>
      </c>
    </row>
    <row r="114" spans="2:99">
      <c r="B114" t="s">
        <v>505</v>
      </c>
      <c r="C114" t="s">
        <v>422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551</v>
      </c>
      <c r="CS114" t="s">
        <v>46</v>
      </c>
      <c r="CT114" t="s">
        <v>536</v>
      </c>
      <c r="CU114">
        <v>3575</v>
      </c>
    </row>
    <row r="115" spans="2:99">
      <c r="B115" t="s">
        <v>505</v>
      </c>
      <c r="C115" t="s">
        <v>425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551</v>
      </c>
      <c r="CS115" t="s">
        <v>46</v>
      </c>
      <c r="CT115" t="s">
        <v>136</v>
      </c>
      <c r="CU115">
        <v>1041</v>
      </c>
    </row>
    <row r="116" spans="2:99">
      <c r="B116" t="s">
        <v>505</v>
      </c>
      <c r="C116" t="s">
        <v>420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551</v>
      </c>
      <c r="CS116" t="s">
        <v>46</v>
      </c>
      <c r="CT116" t="s">
        <v>548</v>
      </c>
      <c r="CU116">
        <v>4238</v>
      </c>
    </row>
    <row r="117" spans="2:99">
      <c r="B117" t="s">
        <v>505</v>
      </c>
      <c r="C117" t="s">
        <v>475</v>
      </c>
      <c r="E117">
        <v>4</v>
      </c>
      <c r="CA117" t="s">
        <v>40</v>
      </c>
      <c r="CB117" t="s">
        <v>40</v>
      </c>
      <c r="CQ117" t="s">
        <v>40</v>
      </c>
      <c r="CR117" t="s">
        <v>551</v>
      </c>
      <c r="CS117" t="s">
        <v>46</v>
      </c>
      <c r="CT117" t="s">
        <v>537</v>
      </c>
      <c r="CU117">
        <v>7788</v>
      </c>
    </row>
    <row r="118" spans="2:99">
      <c r="B118" t="s">
        <v>505</v>
      </c>
      <c r="C118" t="s">
        <v>427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551</v>
      </c>
      <c r="CS118" t="s">
        <v>46</v>
      </c>
      <c r="CT118" t="s">
        <v>538</v>
      </c>
      <c r="CU118">
        <v>266</v>
      </c>
    </row>
    <row r="119" spans="2:99">
      <c r="B119" t="s">
        <v>505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551</v>
      </c>
      <c r="CS119" t="s">
        <v>46</v>
      </c>
      <c r="CT119" t="s">
        <v>539</v>
      </c>
      <c r="CU119">
        <v>2251</v>
      </c>
    </row>
    <row r="120" spans="2:99">
      <c r="B120" t="s">
        <v>505</v>
      </c>
      <c r="C120" t="s">
        <v>423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551</v>
      </c>
      <c r="CS120" t="s">
        <v>46</v>
      </c>
      <c r="CT120" t="s">
        <v>540</v>
      </c>
      <c r="CU120">
        <v>191</v>
      </c>
    </row>
    <row r="121" spans="2:99">
      <c r="B121" t="s">
        <v>506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551</v>
      </c>
      <c r="CS121" t="s">
        <v>46</v>
      </c>
      <c r="CT121" t="s">
        <v>526</v>
      </c>
      <c r="CU121">
        <v>218</v>
      </c>
    </row>
    <row r="122" spans="2:99">
      <c r="B122" t="s">
        <v>506</v>
      </c>
      <c r="C122" t="s">
        <v>549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551</v>
      </c>
      <c r="CS122" t="s">
        <v>44</v>
      </c>
    </row>
    <row r="123" spans="2:99">
      <c r="B123" t="s">
        <v>506</v>
      </c>
      <c r="C123" t="s">
        <v>419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551</v>
      </c>
      <c r="CS123" t="s">
        <v>44</v>
      </c>
      <c r="CT123" t="s">
        <v>515</v>
      </c>
      <c r="CU123">
        <v>25149</v>
      </c>
    </row>
    <row r="124" spans="2:99">
      <c r="B124" t="s">
        <v>506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551</v>
      </c>
      <c r="CS124" t="s">
        <v>44</v>
      </c>
      <c r="CT124" t="s">
        <v>534</v>
      </c>
      <c r="CU124">
        <v>466</v>
      </c>
    </row>
    <row r="125" spans="2:99">
      <c r="B125" t="s">
        <v>506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551</v>
      </c>
      <c r="CS125" t="s">
        <v>44</v>
      </c>
      <c r="CT125" t="s">
        <v>535</v>
      </c>
      <c r="CU125">
        <v>8157</v>
      </c>
    </row>
    <row r="126" spans="2:99">
      <c r="B126" t="s">
        <v>506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551</v>
      </c>
      <c r="CS126" t="s">
        <v>44</v>
      </c>
      <c r="CT126" t="s">
        <v>536</v>
      </c>
      <c r="CU126">
        <v>12128</v>
      </c>
    </row>
    <row r="127" spans="2:99">
      <c r="B127" t="s">
        <v>506</v>
      </c>
      <c r="C127" t="s">
        <v>421</v>
      </c>
      <c r="D127">
        <v>9</v>
      </c>
      <c r="E127">
        <v>392</v>
      </c>
      <c r="F127">
        <v>124</v>
      </c>
      <c r="CQ127" t="s">
        <v>40</v>
      </c>
      <c r="CR127" t="s">
        <v>551</v>
      </c>
      <c r="CS127" t="s">
        <v>44</v>
      </c>
      <c r="CT127" t="s">
        <v>136</v>
      </c>
      <c r="CU127">
        <v>847</v>
      </c>
    </row>
    <row r="128" spans="2:99">
      <c r="B128" t="s">
        <v>506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551</v>
      </c>
      <c r="CS128" t="s">
        <v>44</v>
      </c>
      <c r="CT128" t="s">
        <v>548</v>
      </c>
      <c r="CU128">
        <v>1673</v>
      </c>
    </row>
    <row r="129" spans="2:99">
      <c r="B129" t="s">
        <v>506</v>
      </c>
      <c r="C129" t="s">
        <v>550</v>
      </c>
      <c r="D129">
        <v>16</v>
      </c>
      <c r="E129">
        <v>767</v>
      </c>
      <c r="F129">
        <v>90</v>
      </c>
      <c r="CQ129" t="s">
        <v>40</v>
      </c>
      <c r="CR129" t="s">
        <v>551</v>
      </c>
      <c r="CS129" t="s">
        <v>44</v>
      </c>
      <c r="CT129" t="s">
        <v>537</v>
      </c>
      <c r="CU129">
        <v>1258</v>
      </c>
    </row>
    <row r="130" spans="2:99">
      <c r="B130" t="s">
        <v>506</v>
      </c>
      <c r="C130" t="s">
        <v>422</v>
      </c>
      <c r="E130">
        <v>30</v>
      </c>
      <c r="F130">
        <v>20</v>
      </c>
      <c r="CQ130" t="s">
        <v>40</v>
      </c>
      <c r="CR130" t="s">
        <v>551</v>
      </c>
      <c r="CS130" t="s">
        <v>44</v>
      </c>
      <c r="CT130" t="s">
        <v>538</v>
      </c>
      <c r="CU130">
        <v>73</v>
      </c>
    </row>
    <row r="131" spans="2:99">
      <c r="B131" t="s">
        <v>506</v>
      </c>
      <c r="C131" t="s">
        <v>425</v>
      </c>
      <c r="D131">
        <v>1</v>
      </c>
      <c r="E131">
        <v>178</v>
      </c>
      <c r="F131">
        <v>125</v>
      </c>
      <c r="CQ131" t="s">
        <v>40</v>
      </c>
      <c r="CR131" t="s">
        <v>551</v>
      </c>
      <c r="CS131" t="s">
        <v>44</v>
      </c>
      <c r="CT131" t="s">
        <v>539</v>
      </c>
      <c r="CU131">
        <v>350</v>
      </c>
    </row>
    <row r="132" spans="2:99">
      <c r="B132" t="s">
        <v>506</v>
      </c>
      <c r="C132" t="s">
        <v>420</v>
      </c>
      <c r="D132">
        <v>71</v>
      </c>
      <c r="E132" s="122">
        <v>2773</v>
      </c>
      <c r="F132" s="122">
        <v>1581</v>
      </c>
      <c r="CQ132" t="s">
        <v>40</v>
      </c>
      <c r="CR132" t="s">
        <v>551</v>
      </c>
      <c r="CS132" t="s">
        <v>44</v>
      </c>
      <c r="CT132" t="s">
        <v>540</v>
      </c>
      <c r="CU132">
        <v>78</v>
      </c>
    </row>
    <row r="133" spans="2:99">
      <c r="B133" t="s">
        <v>506</v>
      </c>
      <c r="C133" t="s">
        <v>475</v>
      </c>
      <c r="E133">
        <v>2</v>
      </c>
      <c r="F133">
        <v>1</v>
      </c>
      <c r="CQ133" t="s">
        <v>40</v>
      </c>
      <c r="CR133" t="s">
        <v>551</v>
      </c>
      <c r="CS133" t="s">
        <v>44</v>
      </c>
      <c r="CT133" t="s">
        <v>526</v>
      </c>
      <c r="CU133">
        <v>119</v>
      </c>
    </row>
    <row r="134" spans="2:99">
      <c r="B134" t="s">
        <v>506</v>
      </c>
      <c r="C134" t="s">
        <v>427</v>
      </c>
      <c r="D134">
        <v>1</v>
      </c>
      <c r="E134">
        <v>38</v>
      </c>
      <c r="F134">
        <v>51</v>
      </c>
      <c r="CQ134" t="s">
        <v>40</v>
      </c>
      <c r="CR134" t="s">
        <v>551</v>
      </c>
      <c r="CS134" t="s">
        <v>44</v>
      </c>
    </row>
    <row r="135" spans="2:99">
      <c r="B135" t="s">
        <v>506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551</v>
      </c>
      <c r="CS135" t="s">
        <v>44</v>
      </c>
      <c r="CT135" t="s">
        <v>515</v>
      </c>
      <c r="CU135">
        <v>31594</v>
      </c>
    </row>
    <row r="136" spans="2:99">
      <c r="B136" t="s">
        <v>506</v>
      </c>
      <c r="C136" t="s">
        <v>423</v>
      </c>
      <c r="D136">
        <v>1</v>
      </c>
      <c r="E136">
        <v>6</v>
      </c>
      <c r="F136">
        <v>12</v>
      </c>
      <c r="CQ136" t="s">
        <v>40</v>
      </c>
      <c r="CR136" t="s">
        <v>551</v>
      </c>
      <c r="CS136" t="s">
        <v>44</v>
      </c>
      <c r="CT136" t="s">
        <v>534</v>
      </c>
      <c r="CU136">
        <v>894</v>
      </c>
    </row>
    <row r="137" spans="2:99">
      <c r="B137" t="s">
        <v>507</v>
      </c>
      <c r="D137">
        <v>170</v>
      </c>
      <c r="E137">
        <v>68</v>
      </c>
      <c r="F137">
        <v>17</v>
      </c>
      <c r="CQ137" t="s">
        <v>40</v>
      </c>
      <c r="CR137" t="s">
        <v>551</v>
      </c>
      <c r="CS137" t="s">
        <v>44</v>
      </c>
      <c r="CT137" t="s">
        <v>535</v>
      </c>
      <c r="CU137">
        <v>7089</v>
      </c>
    </row>
    <row r="138" spans="2:99">
      <c r="B138" t="s">
        <v>507</v>
      </c>
      <c r="C138" t="s">
        <v>549</v>
      </c>
      <c r="E138">
        <v>7</v>
      </c>
      <c r="F138">
        <v>6</v>
      </c>
      <c r="CQ138" t="s">
        <v>40</v>
      </c>
      <c r="CR138" t="s">
        <v>551</v>
      </c>
      <c r="CS138" t="s">
        <v>44</v>
      </c>
      <c r="CT138" t="s">
        <v>536</v>
      </c>
      <c r="CU138">
        <v>17813</v>
      </c>
    </row>
    <row r="139" spans="2:99">
      <c r="B139" t="s">
        <v>507</v>
      </c>
      <c r="C139" t="s">
        <v>419</v>
      </c>
      <c r="D139">
        <v>6</v>
      </c>
      <c r="E139">
        <v>29</v>
      </c>
      <c r="F139">
        <v>101</v>
      </c>
      <c r="CQ139" t="s">
        <v>40</v>
      </c>
      <c r="CR139" t="s">
        <v>551</v>
      </c>
      <c r="CS139" t="s">
        <v>44</v>
      </c>
      <c r="CT139" t="s">
        <v>136</v>
      </c>
      <c r="CU139">
        <v>1834</v>
      </c>
    </row>
    <row r="140" spans="2:99">
      <c r="B140" t="s">
        <v>507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551</v>
      </c>
      <c r="CS140" t="s">
        <v>44</v>
      </c>
      <c r="CT140" t="s">
        <v>548</v>
      </c>
      <c r="CU140">
        <v>2708</v>
      </c>
    </row>
    <row r="141" spans="2:99">
      <c r="B141" t="s">
        <v>507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551</v>
      </c>
      <c r="CS141" t="s">
        <v>44</v>
      </c>
      <c r="CT141" t="s">
        <v>537</v>
      </c>
      <c r="CU141">
        <v>684</v>
      </c>
    </row>
    <row r="142" spans="2:99">
      <c r="B142" t="s">
        <v>507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551</v>
      </c>
      <c r="CS142" t="s">
        <v>44</v>
      </c>
      <c r="CT142" t="s">
        <v>538</v>
      </c>
      <c r="CU142">
        <v>49</v>
      </c>
    </row>
    <row r="143" spans="2:99">
      <c r="B143" t="s">
        <v>507</v>
      </c>
      <c r="C143" t="s">
        <v>421</v>
      </c>
      <c r="D143">
        <v>19</v>
      </c>
      <c r="E143">
        <v>342</v>
      </c>
      <c r="F143">
        <v>136</v>
      </c>
      <c r="CQ143" t="s">
        <v>40</v>
      </c>
      <c r="CR143" t="s">
        <v>551</v>
      </c>
      <c r="CS143" t="s">
        <v>44</v>
      </c>
      <c r="CT143" t="s">
        <v>539</v>
      </c>
      <c r="CU143">
        <v>273</v>
      </c>
    </row>
    <row r="144" spans="2:99">
      <c r="B144" t="s">
        <v>507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551</v>
      </c>
      <c r="CS144" t="s">
        <v>44</v>
      </c>
      <c r="CT144" t="s">
        <v>540</v>
      </c>
      <c r="CU144">
        <v>83</v>
      </c>
    </row>
    <row r="145" spans="2:99">
      <c r="B145" t="s">
        <v>507</v>
      </c>
      <c r="C145" t="s">
        <v>550</v>
      </c>
      <c r="D145">
        <v>66</v>
      </c>
      <c r="E145">
        <v>912</v>
      </c>
      <c r="F145">
        <v>101</v>
      </c>
      <c r="CQ145" t="s">
        <v>40</v>
      </c>
      <c r="CR145" t="s">
        <v>551</v>
      </c>
      <c r="CS145" t="s">
        <v>44</v>
      </c>
      <c r="CT145" t="s">
        <v>526</v>
      </c>
      <c r="CU145">
        <v>167</v>
      </c>
    </row>
    <row r="146" spans="2:99">
      <c r="B146" t="s">
        <v>507</v>
      </c>
      <c r="C146" t="s">
        <v>422</v>
      </c>
      <c r="D146">
        <v>1</v>
      </c>
      <c r="E146">
        <v>29</v>
      </c>
      <c r="F146">
        <v>17</v>
      </c>
      <c r="CQ146" t="s">
        <v>40</v>
      </c>
      <c r="CR146" t="s">
        <v>551</v>
      </c>
      <c r="CS146" t="s">
        <v>292</v>
      </c>
    </row>
    <row r="147" spans="2:99">
      <c r="B147" t="s">
        <v>507</v>
      </c>
      <c r="C147" t="s">
        <v>425</v>
      </c>
      <c r="D147">
        <v>2</v>
      </c>
      <c r="E147">
        <v>79</v>
      </c>
      <c r="F147">
        <v>111</v>
      </c>
      <c r="CQ147" t="s">
        <v>40</v>
      </c>
      <c r="CR147" t="s">
        <v>551</v>
      </c>
      <c r="CS147" t="s">
        <v>292</v>
      </c>
      <c r="CT147" t="s">
        <v>515</v>
      </c>
      <c r="CU147">
        <v>2434</v>
      </c>
    </row>
    <row r="148" spans="2:99">
      <c r="B148" t="s">
        <v>507</v>
      </c>
      <c r="C148" t="s">
        <v>420</v>
      </c>
      <c r="D148">
        <v>90</v>
      </c>
      <c r="E148" s="122">
        <v>2892</v>
      </c>
      <c r="F148" s="122">
        <v>1737</v>
      </c>
      <c r="CQ148" t="s">
        <v>40</v>
      </c>
      <c r="CR148" t="s">
        <v>551</v>
      </c>
      <c r="CS148" t="s">
        <v>292</v>
      </c>
      <c r="CT148" t="s">
        <v>534</v>
      </c>
      <c r="CU148">
        <v>62</v>
      </c>
    </row>
    <row r="149" spans="2:99">
      <c r="B149" t="s">
        <v>507</v>
      </c>
      <c r="C149" t="s">
        <v>475</v>
      </c>
      <c r="F149">
        <v>4</v>
      </c>
      <c r="CQ149" t="s">
        <v>40</v>
      </c>
      <c r="CR149" t="s">
        <v>551</v>
      </c>
      <c r="CS149" t="s">
        <v>292</v>
      </c>
      <c r="CT149" t="s">
        <v>535</v>
      </c>
      <c r="CU149">
        <v>140</v>
      </c>
    </row>
    <row r="150" spans="2:99">
      <c r="B150" t="s">
        <v>507</v>
      </c>
      <c r="C150" t="s">
        <v>427</v>
      </c>
      <c r="D150">
        <v>3</v>
      </c>
      <c r="E150">
        <v>24</v>
      </c>
      <c r="F150">
        <v>45</v>
      </c>
      <c r="CQ150" t="s">
        <v>40</v>
      </c>
      <c r="CR150" t="s">
        <v>551</v>
      </c>
      <c r="CS150" t="s">
        <v>292</v>
      </c>
      <c r="CT150" t="s">
        <v>536</v>
      </c>
      <c r="CU150">
        <v>1393</v>
      </c>
    </row>
    <row r="151" spans="2:99">
      <c r="B151" t="s">
        <v>507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551</v>
      </c>
      <c r="CS151" t="s">
        <v>292</v>
      </c>
      <c r="CT151" t="s">
        <v>136</v>
      </c>
      <c r="CU151">
        <v>715</v>
      </c>
    </row>
    <row r="152" spans="2:99">
      <c r="B152" t="s">
        <v>507</v>
      </c>
      <c r="C152" t="s">
        <v>423</v>
      </c>
      <c r="E152">
        <v>4</v>
      </c>
      <c r="F152">
        <v>16</v>
      </c>
      <c r="CQ152" t="s">
        <v>40</v>
      </c>
      <c r="CR152" t="s">
        <v>551</v>
      </c>
      <c r="CS152" t="s">
        <v>292</v>
      </c>
      <c r="CT152" t="s">
        <v>548</v>
      </c>
      <c r="CU152">
        <v>55</v>
      </c>
    </row>
    <row r="153" spans="2:99">
      <c r="B153" t="s">
        <v>508</v>
      </c>
      <c r="D153">
        <v>626</v>
      </c>
      <c r="E153">
        <v>182</v>
      </c>
      <c r="F153">
        <v>16</v>
      </c>
      <c r="CQ153" t="s">
        <v>40</v>
      </c>
      <c r="CR153" t="s">
        <v>551</v>
      </c>
      <c r="CS153" t="s">
        <v>292</v>
      </c>
      <c r="CT153" t="s">
        <v>537</v>
      </c>
      <c r="CU153">
        <v>19</v>
      </c>
    </row>
    <row r="154" spans="2:99">
      <c r="B154" t="s">
        <v>508</v>
      </c>
      <c r="C154" t="s">
        <v>549</v>
      </c>
      <c r="E154">
        <v>3</v>
      </c>
      <c r="F154">
        <v>1</v>
      </c>
      <c r="CQ154" t="s">
        <v>40</v>
      </c>
      <c r="CR154" t="s">
        <v>551</v>
      </c>
      <c r="CS154" t="s">
        <v>292</v>
      </c>
      <c r="CT154" t="s">
        <v>538</v>
      </c>
      <c r="CU154">
        <v>4</v>
      </c>
    </row>
    <row r="155" spans="2:99">
      <c r="B155" t="s">
        <v>508</v>
      </c>
      <c r="C155" t="s">
        <v>398</v>
      </c>
      <c r="D155">
        <v>1</v>
      </c>
      <c r="CQ155" t="s">
        <v>40</v>
      </c>
      <c r="CR155" t="s">
        <v>551</v>
      </c>
      <c r="CS155" t="s">
        <v>292</v>
      </c>
      <c r="CT155" t="s">
        <v>539</v>
      </c>
      <c r="CU155">
        <v>12</v>
      </c>
    </row>
    <row r="156" spans="2:99">
      <c r="B156" t="s">
        <v>508</v>
      </c>
      <c r="C156" t="s">
        <v>419</v>
      </c>
      <c r="D156">
        <v>14</v>
      </c>
      <c r="E156">
        <v>62</v>
      </c>
      <c r="F156">
        <v>93</v>
      </c>
      <c r="CQ156" t="s">
        <v>40</v>
      </c>
      <c r="CR156" t="s">
        <v>551</v>
      </c>
      <c r="CS156" t="s">
        <v>292</v>
      </c>
      <c r="CT156" t="s">
        <v>540</v>
      </c>
      <c r="CU156">
        <v>11</v>
      </c>
    </row>
    <row r="157" spans="2:99">
      <c r="B157" t="s">
        <v>508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551</v>
      </c>
      <c r="CS157" t="s">
        <v>292</v>
      </c>
      <c r="CT157" t="s">
        <v>526</v>
      </c>
      <c r="CU157">
        <v>23</v>
      </c>
    </row>
    <row r="158" spans="2:99">
      <c r="B158" t="s">
        <v>508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551</v>
      </c>
      <c r="CS158" t="s">
        <v>292</v>
      </c>
    </row>
    <row r="159" spans="2:99">
      <c r="B159" t="s">
        <v>508</v>
      </c>
      <c r="C159" t="s">
        <v>424</v>
      </c>
      <c r="D159">
        <v>1</v>
      </c>
      <c r="E159">
        <v>1</v>
      </c>
      <c r="CQ159" t="s">
        <v>40</v>
      </c>
      <c r="CR159" t="s">
        <v>551</v>
      </c>
      <c r="CS159" t="s">
        <v>292</v>
      </c>
      <c r="CT159" t="s">
        <v>515</v>
      </c>
      <c r="CU159">
        <v>2959</v>
      </c>
    </row>
    <row r="160" spans="2:99">
      <c r="B160" t="s">
        <v>508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551</v>
      </c>
      <c r="CS160" t="s">
        <v>292</v>
      </c>
      <c r="CT160" t="s">
        <v>534</v>
      </c>
      <c r="CU160">
        <v>172</v>
      </c>
    </row>
    <row r="161" spans="2:99">
      <c r="B161" t="s">
        <v>508</v>
      </c>
      <c r="C161" t="s">
        <v>421</v>
      </c>
      <c r="D161">
        <v>12</v>
      </c>
      <c r="E161">
        <v>551</v>
      </c>
      <c r="F161">
        <v>70</v>
      </c>
      <c r="CQ161" t="s">
        <v>40</v>
      </c>
      <c r="CR161" t="s">
        <v>551</v>
      </c>
      <c r="CS161" t="s">
        <v>292</v>
      </c>
      <c r="CT161" t="s">
        <v>535</v>
      </c>
      <c r="CU161">
        <v>435</v>
      </c>
    </row>
    <row r="162" spans="2:99">
      <c r="B162" t="s">
        <v>508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551</v>
      </c>
      <c r="CS162" t="s">
        <v>292</v>
      </c>
      <c r="CT162" t="s">
        <v>536</v>
      </c>
      <c r="CU162">
        <v>676</v>
      </c>
    </row>
    <row r="163" spans="2:99">
      <c r="B163" t="s">
        <v>508</v>
      </c>
      <c r="C163" t="s">
        <v>550</v>
      </c>
      <c r="D163">
        <v>50</v>
      </c>
      <c r="E163">
        <v>974</v>
      </c>
      <c r="F163">
        <v>78</v>
      </c>
      <c r="CQ163" t="s">
        <v>40</v>
      </c>
      <c r="CR163" t="s">
        <v>551</v>
      </c>
      <c r="CS163" t="s">
        <v>292</v>
      </c>
      <c r="CT163" t="s">
        <v>136</v>
      </c>
      <c r="CU163">
        <v>1520</v>
      </c>
    </row>
    <row r="164" spans="2:99">
      <c r="B164" t="s">
        <v>508</v>
      </c>
      <c r="C164" t="s">
        <v>422</v>
      </c>
      <c r="D164">
        <v>1</v>
      </c>
      <c r="E164">
        <v>22</v>
      </c>
      <c r="F164">
        <v>7</v>
      </c>
      <c r="CQ164" t="s">
        <v>40</v>
      </c>
      <c r="CR164" t="s">
        <v>551</v>
      </c>
      <c r="CS164" t="s">
        <v>292</v>
      </c>
      <c r="CT164" t="s">
        <v>548</v>
      </c>
      <c r="CU164">
        <v>44</v>
      </c>
    </row>
    <row r="165" spans="2:99">
      <c r="B165" t="s">
        <v>508</v>
      </c>
      <c r="C165" t="s">
        <v>425</v>
      </c>
      <c r="E165">
        <v>46</v>
      </c>
      <c r="F165">
        <v>51</v>
      </c>
      <c r="CQ165" t="s">
        <v>40</v>
      </c>
      <c r="CR165" t="s">
        <v>551</v>
      </c>
      <c r="CS165" t="s">
        <v>292</v>
      </c>
      <c r="CT165" t="s">
        <v>537</v>
      </c>
      <c r="CU165">
        <v>24</v>
      </c>
    </row>
    <row r="166" spans="2:99">
      <c r="B166" t="s">
        <v>508</v>
      </c>
      <c r="C166" t="s">
        <v>420</v>
      </c>
      <c r="D166">
        <v>88</v>
      </c>
      <c r="E166" s="122">
        <v>3271</v>
      </c>
      <c r="F166" s="122">
        <v>1220</v>
      </c>
      <c r="CQ166" t="s">
        <v>40</v>
      </c>
      <c r="CR166" t="s">
        <v>551</v>
      </c>
      <c r="CS166" t="s">
        <v>292</v>
      </c>
      <c r="CT166" t="s">
        <v>538</v>
      </c>
      <c r="CU166">
        <v>7</v>
      </c>
    </row>
    <row r="167" spans="2:99">
      <c r="B167" t="s">
        <v>508</v>
      </c>
      <c r="C167" t="s">
        <v>475</v>
      </c>
      <c r="E167">
        <v>2</v>
      </c>
      <c r="F167">
        <v>1</v>
      </c>
      <c r="CQ167" t="s">
        <v>40</v>
      </c>
      <c r="CR167" t="s">
        <v>551</v>
      </c>
      <c r="CS167" t="s">
        <v>292</v>
      </c>
      <c r="CT167" t="s">
        <v>539</v>
      </c>
      <c r="CU167">
        <v>17</v>
      </c>
    </row>
    <row r="168" spans="2:99">
      <c r="B168" t="s">
        <v>508</v>
      </c>
      <c r="C168" t="s">
        <v>427</v>
      </c>
      <c r="E168">
        <v>27</v>
      </c>
      <c r="F168">
        <v>34</v>
      </c>
      <c r="CQ168" t="s">
        <v>40</v>
      </c>
      <c r="CR168" t="s">
        <v>551</v>
      </c>
      <c r="CS168" t="s">
        <v>292</v>
      </c>
      <c r="CT168" t="s">
        <v>540</v>
      </c>
      <c r="CU168">
        <v>28</v>
      </c>
    </row>
    <row r="169" spans="2:99">
      <c r="B169" t="s">
        <v>508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551</v>
      </c>
      <c r="CS169" t="s">
        <v>292</v>
      </c>
      <c r="CT169" t="s">
        <v>526</v>
      </c>
      <c r="CU169">
        <v>36</v>
      </c>
    </row>
    <row r="170" spans="2:99">
      <c r="B170" t="s">
        <v>508</v>
      </c>
      <c r="C170" t="s">
        <v>423</v>
      </c>
      <c r="E170">
        <v>5</v>
      </c>
      <c r="F170">
        <v>9</v>
      </c>
      <c r="CQ170" t="s">
        <v>40</v>
      </c>
      <c r="CR170" t="s">
        <v>551</v>
      </c>
      <c r="CS170" t="s">
        <v>526</v>
      </c>
    </row>
    <row r="171" spans="2:99">
      <c r="B171" t="s">
        <v>541</v>
      </c>
      <c r="D171" s="122">
        <v>3552</v>
      </c>
      <c r="E171">
        <v>356</v>
      </c>
      <c r="F171">
        <v>48</v>
      </c>
      <c r="CQ171" t="s">
        <v>40</v>
      </c>
      <c r="CR171" t="s">
        <v>551</v>
      </c>
      <c r="CS171" t="s">
        <v>526</v>
      </c>
      <c r="CT171" t="s">
        <v>515</v>
      </c>
      <c r="CU171">
        <v>685</v>
      </c>
    </row>
    <row r="172" spans="2:99">
      <c r="B172" t="s">
        <v>541</v>
      </c>
      <c r="C172" t="s">
        <v>398</v>
      </c>
      <c r="D172">
        <v>1</v>
      </c>
      <c r="CQ172" t="s">
        <v>40</v>
      </c>
      <c r="CR172" t="s">
        <v>551</v>
      </c>
      <c r="CS172" t="s">
        <v>526</v>
      </c>
      <c r="CT172" t="s">
        <v>534</v>
      </c>
      <c r="CU172">
        <v>14</v>
      </c>
    </row>
    <row r="173" spans="2:99">
      <c r="B173" t="s">
        <v>541</v>
      </c>
      <c r="C173" t="s">
        <v>419</v>
      </c>
      <c r="D173">
        <v>34</v>
      </c>
      <c r="E173">
        <v>70</v>
      </c>
      <c r="F173">
        <v>121</v>
      </c>
      <c r="CQ173" t="s">
        <v>40</v>
      </c>
      <c r="CR173" t="s">
        <v>551</v>
      </c>
      <c r="CS173" t="s">
        <v>526</v>
      </c>
      <c r="CT173" t="s">
        <v>535</v>
      </c>
      <c r="CU173">
        <v>263</v>
      </c>
    </row>
    <row r="174" spans="2:99">
      <c r="B174" t="s">
        <v>541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551</v>
      </c>
      <c r="CS174" t="s">
        <v>526</v>
      </c>
      <c r="CT174" t="s">
        <v>536</v>
      </c>
      <c r="CU174">
        <v>164</v>
      </c>
    </row>
    <row r="175" spans="2:99">
      <c r="B175" t="s">
        <v>541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551</v>
      </c>
      <c r="CS175" t="s">
        <v>526</v>
      </c>
      <c r="CT175" t="s">
        <v>136</v>
      </c>
      <c r="CU175">
        <v>38</v>
      </c>
    </row>
    <row r="176" spans="2:99">
      <c r="B176" t="s">
        <v>541</v>
      </c>
      <c r="C176" t="s">
        <v>477</v>
      </c>
      <c r="E176" s="122"/>
      <c r="F176" s="122">
        <v>6</v>
      </c>
      <c r="CQ176" t="s">
        <v>40</v>
      </c>
      <c r="CR176" t="s">
        <v>551</v>
      </c>
      <c r="CS176" t="s">
        <v>526</v>
      </c>
      <c r="CT176" t="s">
        <v>548</v>
      </c>
      <c r="CU176">
        <v>87</v>
      </c>
    </row>
    <row r="177" spans="2:99">
      <c r="B177" t="s">
        <v>541</v>
      </c>
      <c r="C177" t="s">
        <v>478</v>
      </c>
      <c r="F177">
        <v>1</v>
      </c>
      <c r="CQ177" t="s">
        <v>40</v>
      </c>
      <c r="CR177" t="s">
        <v>551</v>
      </c>
      <c r="CS177" t="s">
        <v>526</v>
      </c>
      <c r="CT177" t="s">
        <v>537</v>
      </c>
      <c r="CU177">
        <v>79</v>
      </c>
    </row>
    <row r="178" spans="2:99">
      <c r="B178" t="s">
        <v>541</v>
      </c>
      <c r="C178" t="s">
        <v>424</v>
      </c>
      <c r="D178" s="122"/>
      <c r="E178" s="122">
        <v>2</v>
      </c>
      <c r="F178" s="122">
        <v>6</v>
      </c>
      <c r="CQ178" t="s">
        <v>40</v>
      </c>
      <c r="CR178" t="s">
        <v>551</v>
      </c>
      <c r="CS178" t="s">
        <v>526</v>
      </c>
      <c r="CT178" t="s">
        <v>538</v>
      </c>
      <c r="CU178">
        <v>1</v>
      </c>
    </row>
    <row r="179" spans="2:99">
      <c r="B179" t="s">
        <v>541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551</v>
      </c>
      <c r="CS179" t="s">
        <v>526</v>
      </c>
      <c r="CT179" t="s">
        <v>539</v>
      </c>
      <c r="CU179">
        <v>22</v>
      </c>
    </row>
    <row r="180" spans="2:99">
      <c r="B180" t="s">
        <v>541</v>
      </c>
      <c r="C180" t="s">
        <v>421</v>
      </c>
      <c r="E180">
        <v>256</v>
      </c>
      <c r="F180">
        <v>62</v>
      </c>
      <c r="CQ180" t="s">
        <v>40</v>
      </c>
      <c r="CR180" t="s">
        <v>551</v>
      </c>
      <c r="CS180" t="s">
        <v>526</v>
      </c>
      <c r="CT180" t="s">
        <v>540</v>
      </c>
      <c r="CU180">
        <v>0</v>
      </c>
    </row>
    <row r="181" spans="2:99">
      <c r="B181" t="s">
        <v>541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551</v>
      </c>
      <c r="CS181" t="s">
        <v>526</v>
      </c>
      <c r="CT181" t="s">
        <v>526</v>
      </c>
      <c r="CU181">
        <v>17</v>
      </c>
    </row>
    <row r="182" spans="2:99">
      <c r="B182" t="s">
        <v>541</v>
      </c>
      <c r="C182" t="s">
        <v>550</v>
      </c>
      <c r="D182">
        <v>27</v>
      </c>
      <c r="E182" s="122">
        <v>330</v>
      </c>
      <c r="F182">
        <v>69</v>
      </c>
      <c r="CQ182" t="s">
        <v>40</v>
      </c>
      <c r="CR182" t="s">
        <v>519</v>
      </c>
    </row>
    <row r="183" spans="2:99">
      <c r="B183" t="s">
        <v>541</v>
      </c>
      <c r="C183" t="s">
        <v>422</v>
      </c>
      <c r="D183">
        <v>1</v>
      </c>
      <c r="E183">
        <v>4</v>
      </c>
      <c r="F183">
        <v>1</v>
      </c>
      <c r="CQ183" t="s">
        <v>40</v>
      </c>
      <c r="CR183" t="s">
        <v>519</v>
      </c>
      <c r="CS183" t="s">
        <v>515</v>
      </c>
    </row>
    <row r="184" spans="2:99">
      <c r="B184" t="s">
        <v>541</v>
      </c>
      <c r="C184" t="s">
        <v>425</v>
      </c>
      <c r="E184">
        <v>52</v>
      </c>
      <c r="F184">
        <v>17</v>
      </c>
      <c r="CQ184" t="s">
        <v>40</v>
      </c>
      <c r="CR184" t="s">
        <v>519</v>
      </c>
      <c r="CS184" t="s">
        <v>40</v>
      </c>
      <c r="CT184" t="s">
        <v>515</v>
      </c>
      <c r="CU184">
        <v>126107</v>
      </c>
    </row>
    <row r="185" spans="2:99">
      <c r="B185" t="s">
        <v>541</v>
      </c>
      <c r="C185" t="s">
        <v>420</v>
      </c>
      <c r="D185">
        <v>59</v>
      </c>
      <c r="E185" s="122">
        <v>4072</v>
      </c>
      <c r="F185">
        <v>927</v>
      </c>
      <c r="CQ185" t="s">
        <v>40</v>
      </c>
      <c r="CR185" t="s">
        <v>519</v>
      </c>
      <c r="CS185" t="s">
        <v>40</v>
      </c>
      <c r="CT185" t="s">
        <v>534</v>
      </c>
      <c r="CU185">
        <v>2346</v>
      </c>
    </row>
    <row r="186" spans="2:99">
      <c r="B186" t="s">
        <v>541</v>
      </c>
      <c r="C186" t="s">
        <v>475</v>
      </c>
      <c r="E186">
        <v>2</v>
      </c>
      <c r="F186">
        <v>8</v>
      </c>
      <c r="CQ186" t="s">
        <v>40</v>
      </c>
      <c r="CR186" t="s">
        <v>519</v>
      </c>
      <c r="CS186" t="s">
        <v>40</v>
      </c>
      <c r="CT186" t="s">
        <v>535</v>
      </c>
      <c r="CU186">
        <v>45409</v>
      </c>
    </row>
    <row r="187" spans="2:99">
      <c r="B187" t="s">
        <v>541</v>
      </c>
      <c r="C187" t="s">
        <v>427</v>
      </c>
      <c r="D187" s="122"/>
      <c r="E187">
        <v>16</v>
      </c>
      <c r="F187">
        <v>69</v>
      </c>
      <c r="CQ187" t="s">
        <v>40</v>
      </c>
      <c r="CR187" t="s">
        <v>519</v>
      </c>
      <c r="CS187" t="s">
        <v>40</v>
      </c>
      <c r="CT187" t="s">
        <v>536</v>
      </c>
      <c r="CU187">
        <v>52319</v>
      </c>
    </row>
    <row r="188" spans="2:99">
      <c r="B188" t="s">
        <v>541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519</v>
      </c>
      <c r="CS188" t="s">
        <v>40</v>
      </c>
      <c r="CT188" t="s">
        <v>136</v>
      </c>
      <c r="CU188">
        <v>5334</v>
      </c>
    </row>
    <row r="189" spans="2:99">
      <c r="B189" t="s">
        <v>541</v>
      </c>
      <c r="C189" t="s">
        <v>423</v>
      </c>
      <c r="E189">
        <v>44</v>
      </c>
      <c r="F189">
        <v>17</v>
      </c>
      <c r="CQ189" t="s">
        <v>40</v>
      </c>
      <c r="CR189" t="s">
        <v>519</v>
      </c>
      <c r="CS189" t="s">
        <v>40</v>
      </c>
      <c r="CT189" t="s">
        <v>548</v>
      </c>
      <c r="CU189">
        <v>8187</v>
      </c>
    </row>
    <row r="190" spans="2:99">
      <c r="B190" t="s">
        <v>542</v>
      </c>
      <c r="D190" s="122">
        <v>3321</v>
      </c>
      <c r="E190">
        <v>227</v>
      </c>
      <c r="F190">
        <v>43</v>
      </c>
      <c r="CQ190" t="s">
        <v>40</v>
      </c>
      <c r="CR190" t="s">
        <v>519</v>
      </c>
      <c r="CS190" t="s">
        <v>40</v>
      </c>
      <c r="CT190" t="s">
        <v>537</v>
      </c>
      <c r="CU190">
        <v>8789</v>
      </c>
    </row>
    <row r="191" spans="2:99">
      <c r="B191" t="s">
        <v>542</v>
      </c>
      <c r="C191" t="s">
        <v>398</v>
      </c>
      <c r="D191">
        <v>1</v>
      </c>
      <c r="E191" s="122"/>
      <c r="CQ191" t="s">
        <v>40</v>
      </c>
      <c r="CR191" t="s">
        <v>519</v>
      </c>
      <c r="CS191" t="s">
        <v>40</v>
      </c>
      <c r="CT191" t="s">
        <v>538</v>
      </c>
      <c r="CU191">
        <v>310</v>
      </c>
    </row>
    <row r="192" spans="2:99">
      <c r="B192" t="s">
        <v>542</v>
      </c>
      <c r="C192" t="s">
        <v>399</v>
      </c>
      <c r="D192" s="122">
        <v>1</v>
      </c>
      <c r="E192" s="122"/>
      <c r="F192" s="122"/>
      <c r="CQ192" t="s">
        <v>40</v>
      </c>
      <c r="CR192" t="s">
        <v>519</v>
      </c>
      <c r="CS192" t="s">
        <v>40</v>
      </c>
      <c r="CT192" t="s">
        <v>539</v>
      </c>
      <c r="CU192">
        <v>2440</v>
      </c>
    </row>
    <row r="193" spans="2:99">
      <c r="B193" t="s">
        <v>542</v>
      </c>
      <c r="C193" t="s">
        <v>419</v>
      </c>
      <c r="E193">
        <v>1</v>
      </c>
      <c r="F193">
        <v>7</v>
      </c>
      <c r="CQ193" t="s">
        <v>40</v>
      </c>
      <c r="CR193" t="s">
        <v>519</v>
      </c>
      <c r="CS193" t="s">
        <v>40</v>
      </c>
      <c r="CT193" t="s">
        <v>540</v>
      </c>
      <c r="CU193">
        <v>386</v>
      </c>
    </row>
    <row r="194" spans="2:99">
      <c r="B194" t="s">
        <v>542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519</v>
      </c>
      <c r="CS194" t="s">
        <v>40</v>
      </c>
      <c r="CT194" t="s">
        <v>526</v>
      </c>
      <c r="CU194">
        <v>587</v>
      </c>
    </row>
    <row r="195" spans="2:99">
      <c r="B195" t="s">
        <v>542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519</v>
      </c>
      <c r="CS195" t="s">
        <v>46</v>
      </c>
    </row>
    <row r="196" spans="2:99">
      <c r="B196" t="s">
        <v>542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519</v>
      </c>
      <c r="CS196" t="s">
        <v>46</v>
      </c>
      <c r="CT196" t="s">
        <v>515</v>
      </c>
      <c r="CU196">
        <v>42427</v>
      </c>
    </row>
    <row r="197" spans="2:99">
      <c r="B197" t="s">
        <v>542</v>
      </c>
      <c r="C197" t="s">
        <v>421</v>
      </c>
      <c r="F197">
        <v>3</v>
      </c>
      <c r="CQ197" t="s">
        <v>40</v>
      </c>
      <c r="CR197" t="s">
        <v>519</v>
      </c>
      <c r="CS197" t="s">
        <v>46</v>
      </c>
      <c r="CT197" t="s">
        <v>534</v>
      </c>
      <c r="CU197">
        <v>834</v>
      </c>
    </row>
    <row r="198" spans="2:99">
      <c r="B198" t="s">
        <v>542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519</v>
      </c>
      <c r="CS198" t="s">
        <v>46</v>
      </c>
      <c r="CT198" t="s">
        <v>535</v>
      </c>
      <c r="CU198">
        <v>23868</v>
      </c>
    </row>
    <row r="199" spans="2:99">
      <c r="B199" t="s">
        <v>542</v>
      </c>
      <c r="C199" t="s">
        <v>550</v>
      </c>
      <c r="F199">
        <v>3</v>
      </c>
      <c r="CQ199" t="s">
        <v>40</v>
      </c>
      <c r="CR199" t="s">
        <v>519</v>
      </c>
      <c r="CS199" t="s">
        <v>46</v>
      </c>
      <c r="CT199" t="s">
        <v>536</v>
      </c>
      <c r="CU199">
        <v>4865</v>
      </c>
    </row>
    <row r="200" spans="2:99">
      <c r="B200" t="s">
        <v>542</v>
      </c>
      <c r="C200" t="s">
        <v>425</v>
      </c>
      <c r="F200">
        <v>1</v>
      </c>
      <c r="CQ200" t="s">
        <v>40</v>
      </c>
      <c r="CR200" t="s">
        <v>519</v>
      </c>
      <c r="CS200" t="s">
        <v>46</v>
      </c>
      <c r="CT200" t="s">
        <v>136</v>
      </c>
      <c r="CU200">
        <v>864</v>
      </c>
    </row>
    <row r="201" spans="2:99">
      <c r="B201" t="s">
        <v>542</v>
      </c>
      <c r="C201" t="s">
        <v>420</v>
      </c>
      <c r="E201">
        <v>9</v>
      </c>
      <c r="F201">
        <v>35</v>
      </c>
      <c r="CQ201" t="s">
        <v>40</v>
      </c>
      <c r="CR201" t="s">
        <v>519</v>
      </c>
      <c r="CS201" t="s">
        <v>46</v>
      </c>
      <c r="CT201" t="s">
        <v>548</v>
      </c>
      <c r="CU201">
        <v>3293</v>
      </c>
    </row>
    <row r="202" spans="2:99">
      <c r="B202" t="s">
        <v>542</v>
      </c>
      <c r="C202" t="s">
        <v>475</v>
      </c>
      <c r="F202">
        <v>1</v>
      </c>
      <c r="CQ202" t="s">
        <v>40</v>
      </c>
      <c r="CR202" t="s">
        <v>519</v>
      </c>
      <c r="CS202" t="s">
        <v>46</v>
      </c>
      <c r="CT202" t="s">
        <v>537</v>
      </c>
      <c r="CU202">
        <v>6483</v>
      </c>
    </row>
    <row r="203" spans="2:99">
      <c r="B203" t="s">
        <v>542</v>
      </c>
      <c r="C203" t="s">
        <v>427</v>
      </c>
      <c r="F203">
        <v>27</v>
      </c>
      <c r="CQ203" t="s">
        <v>40</v>
      </c>
      <c r="CR203" t="s">
        <v>519</v>
      </c>
      <c r="CS203" t="s">
        <v>46</v>
      </c>
      <c r="CT203" t="s">
        <v>538</v>
      </c>
      <c r="CU203">
        <v>185</v>
      </c>
    </row>
    <row r="204" spans="2:99">
      <c r="B204" t="s">
        <v>542</v>
      </c>
      <c r="C204" t="s">
        <v>403</v>
      </c>
      <c r="E204">
        <v>10</v>
      </c>
      <c r="F204">
        <v>22</v>
      </c>
      <c r="CQ204" t="s">
        <v>40</v>
      </c>
      <c r="CR204" t="s">
        <v>519</v>
      </c>
      <c r="CS204" t="s">
        <v>46</v>
      </c>
      <c r="CT204" t="s">
        <v>539</v>
      </c>
      <c r="CU204">
        <v>1648</v>
      </c>
    </row>
    <row r="205" spans="2:99">
      <c r="B205" t="s">
        <v>542</v>
      </c>
      <c r="C205" t="s">
        <v>423</v>
      </c>
      <c r="F205">
        <v>1</v>
      </c>
      <c r="CQ205" t="s">
        <v>40</v>
      </c>
      <c r="CR205" t="s">
        <v>519</v>
      </c>
      <c r="CS205" t="s">
        <v>46</v>
      </c>
      <c r="CT205" t="s">
        <v>540</v>
      </c>
      <c r="CU205">
        <v>192</v>
      </c>
    </row>
    <row r="206" spans="2:99">
      <c r="CQ206" t="s">
        <v>40</v>
      </c>
      <c r="CR206" t="s">
        <v>519</v>
      </c>
      <c r="CS206" t="s">
        <v>46</v>
      </c>
      <c r="CT206" t="s">
        <v>526</v>
      </c>
      <c r="CU206">
        <v>195</v>
      </c>
    </row>
    <row r="207" spans="2:99">
      <c r="CQ207" t="s">
        <v>40</v>
      </c>
      <c r="CR207" t="s">
        <v>519</v>
      </c>
      <c r="CS207" t="s">
        <v>44</v>
      </c>
    </row>
    <row r="208" spans="2:99">
      <c r="CQ208" t="s">
        <v>40</v>
      </c>
      <c r="CR208" t="s">
        <v>519</v>
      </c>
      <c r="CS208" t="s">
        <v>44</v>
      </c>
      <c r="CT208" t="s">
        <v>515</v>
      </c>
      <c r="CU208">
        <v>39121</v>
      </c>
    </row>
    <row r="209" spans="95:99">
      <c r="CQ209" t="s">
        <v>40</v>
      </c>
      <c r="CR209" t="s">
        <v>519</v>
      </c>
      <c r="CS209" t="s">
        <v>44</v>
      </c>
      <c r="CT209" t="s">
        <v>534</v>
      </c>
      <c r="CU209">
        <v>499</v>
      </c>
    </row>
    <row r="210" spans="95:99">
      <c r="CQ210" t="s">
        <v>40</v>
      </c>
      <c r="CR210" t="s">
        <v>519</v>
      </c>
      <c r="CS210" t="s">
        <v>44</v>
      </c>
      <c r="CT210" t="s">
        <v>535</v>
      </c>
      <c r="CU210">
        <v>11993</v>
      </c>
    </row>
    <row r="211" spans="95:99">
      <c r="CQ211" t="s">
        <v>40</v>
      </c>
      <c r="CR211" t="s">
        <v>519</v>
      </c>
      <c r="CS211" t="s">
        <v>44</v>
      </c>
      <c r="CT211" t="s">
        <v>536</v>
      </c>
      <c r="CU211">
        <v>21486</v>
      </c>
    </row>
    <row r="212" spans="95:99">
      <c r="CQ212" t="s">
        <v>40</v>
      </c>
      <c r="CR212" t="s">
        <v>519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519</v>
      </c>
      <c r="CS213" t="s">
        <v>44</v>
      </c>
      <c r="CT213" t="s">
        <v>548</v>
      </c>
      <c r="CU213">
        <v>1969</v>
      </c>
    </row>
    <row r="214" spans="95:99">
      <c r="CQ214" t="s">
        <v>40</v>
      </c>
      <c r="CR214" t="s">
        <v>519</v>
      </c>
      <c r="CS214" t="s">
        <v>44</v>
      </c>
      <c r="CT214" t="s">
        <v>537</v>
      </c>
      <c r="CU214">
        <v>1282</v>
      </c>
    </row>
    <row r="215" spans="95:99">
      <c r="CQ215" t="s">
        <v>40</v>
      </c>
      <c r="CR215" t="s">
        <v>519</v>
      </c>
      <c r="CS215" t="s">
        <v>44</v>
      </c>
      <c r="CT215" t="s">
        <v>538</v>
      </c>
      <c r="CU215">
        <v>64</v>
      </c>
    </row>
    <row r="216" spans="95:99">
      <c r="CQ216" t="s">
        <v>40</v>
      </c>
      <c r="CR216" t="s">
        <v>519</v>
      </c>
      <c r="CS216" t="s">
        <v>44</v>
      </c>
      <c r="CT216" t="s">
        <v>539</v>
      </c>
      <c r="CU216">
        <v>423</v>
      </c>
    </row>
    <row r="217" spans="95:99">
      <c r="CQ217" t="s">
        <v>40</v>
      </c>
      <c r="CR217" t="s">
        <v>519</v>
      </c>
      <c r="CS217" t="s">
        <v>44</v>
      </c>
      <c r="CT217" t="s">
        <v>540</v>
      </c>
      <c r="CU217">
        <v>91</v>
      </c>
    </row>
    <row r="218" spans="95:99">
      <c r="CQ218" t="s">
        <v>40</v>
      </c>
      <c r="CR218" t="s">
        <v>519</v>
      </c>
      <c r="CS218" t="s">
        <v>44</v>
      </c>
      <c r="CT218" t="s">
        <v>526</v>
      </c>
      <c r="CU218">
        <v>177</v>
      </c>
    </row>
    <row r="219" spans="95:99">
      <c r="CQ219" t="s">
        <v>40</v>
      </c>
      <c r="CR219" t="s">
        <v>519</v>
      </c>
      <c r="CS219" t="s">
        <v>44</v>
      </c>
    </row>
    <row r="220" spans="95:99">
      <c r="CQ220" t="s">
        <v>40</v>
      </c>
      <c r="CR220" t="s">
        <v>519</v>
      </c>
      <c r="CS220" t="s">
        <v>44</v>
      </c>
      <c r="CT220" t="s">
        <v>515</v>
      </c>
      <c r="CU220">
        <v>38410</v>
      </c>
    </row>
    <row r="221" spans="95:99">
      <c r="CQ221" t="s">
        <v>40</v>
      </c>
      <c r="CR221" t="s">
        <v>519</v>
      </c>
      <c r="CS221" t="s">
        <v>44</v>
      </c>
      <c r="CT221" t="s">
        <v>534</v>
      </c>
      <c r="CU221">
        <v>787</v>
      </c>
    </row>
    <row r="222" spans="95:99">
      <c r="CQ222" t="s">
        <v>40</v>
      </c>
      <c r="CR222" t="s">
        <v>519</v>
      </c>
      <c r="CS222" t="s">
        <v>44</v>
      </c>
      <c r="CT222" t="s">
        <v>535</v>
      </c>
      <c r="CU222">
        <v>8816</v>
      </c>
    </row>
    <row r="223" spans="95:99">
      <c r="CQ223" t="s">
        <v>40</v>
      </c>
      <c r="CR223" t="s">
        <v>519</v>
      </c>
      <c r="CS223" t="s">
        <v>44</v>
      </c>
      <c r="CT223" t="s">
        <v>536</v>
      </c>
      <c r="CU223">
        <v>22951</v>
      </c>
    </row>
    <row r="224" spans="95:99">
      <c r="CQ224" t="s">
        <v>40</v>
      </c>
      <c r="CR224" t="s">
        <v>519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519</v>
      </c>
      <c r="CS225" t="s">
        <v>44</v>
      </c>
      <c r="CT225" t="s">
        <v>548</v>
      </c>
      <c r="CU225">
        <v>2750</v>
      </c>
    </row>
    <row r="226" spans="95:99">
      <c r="CQ226" t="s">
        <v>40</v>
      </c>
      <c r="CR226" t="s">
        <v>519</v>
      </c>
      <c r="CS226" t="s">
        <v>44</v>
      </c>
      <c r="CT226" t="s">
        <v>537</v>
      </c>
      <c r="CU226">
        <v>920</v>
      </c>
    </row>
    <row r="227" spans="95:99">
      <c r="CQ227" t="s">
        <v>40</v>
      </c>
      <c r="CR227" t="s">
        <v>519</v>
      </c>
      <c r="CS227" t="s">
        <v>44</v>
      </c>
      <c r="CT227" t="s">
        <v>538</v>
      </c>
      <c r="CU227">
        <v>48</v>
      </c>
    </row>
    <row r="228" spans="95:99">
      <c r="CQ228" t="s">
        <v>40</v>
      </c>
      <c r="CR228" t="s">
        <v>519</v>
      </c>
      <c r="CS228" t="s">
        <v>44</v>
      </c>
      <c r="CT228" t="s">
        <v>539</v>
      </c>
      <c r="CU228">
        <v>333</v>
      </c>
    </row>
    <row r="229" spans="95:99">
      <c r="CQ229" t="s">
        <v>40</v>
      </c>
      <c r="CR229" t="s">
        <v>519</v>
      </c>
      <c r="CS229" t="s">
        <v>44</v>
      </c>
      <c r="CT229" t="s">
        <v>540</v>
      </c>
      <c r="CU229">
        <v>72</v>
      </c>
    </row>
    <row r="230" spans="95:99">
      <c r="CQ230" t="s">
        <v>40</v>
      </c>
      <c r="CR230" t="s">
        <v>519</v>
      </c>
      <c r="CS230" t="s">
        <v>44</v>
      </c>
      <c r="CT230" t="s">
        <v>526</v>
      </c>
      <c r="CU230">
        <v>154</v>
      </c>
    </row>
    <row r="231" spans="95:99">
      <c r="CQ231" t="s">
        <v>40</v>
      </c>
      <c r="CR231" t="s">
        <v>519</v>
      </c>
      <c r="CS231" t="s">
        <v>292</v>
      </c>
    </row>
    <row r="232" spans="95:99">
      <c r="CQ232" t="s">
        <v>40</v>
      </c>
      <c r="CR232" t="s">
        <v>519</v>
      </c>
      <c r="CS232" t="s">
        <v>292</v>
      </c>
      <c r="CT232" t="s">
        <v>515</v>
      </c>
      <c r="CU232">
        <v>3415</v>
      </c>
    </row>
    <row r="233" spans="95:99">
      <c r="CQ233" t="s">
        <v>40</v>
      </c>
      <c r="CR233" t="s">
        <v>519</v>
      </c>
      <c r="CS233" t="s">
        <v>292</v>
      </c>
      <c r="CT233" t="s">
        <v>534</v>
      </c>
      <c r="CU233">
        <v>78</v>
      </c>
    </row>
    <row r="234" spans="95:99">
      <c r="CQ234" t="s">
        <v>40</v>
      </c>
      <c r="CR234" t="s">
        <v>519</v>
      </c>
      <c r="CS234" t="s">
        <v>292</v>
      </c>
      <c r="CT234" t="s">
        <v>535</v>
      </c>
      <c r="CU234">
        <v>182</v>
      </c>
    </row>
    <row r="235" spans="95:99">
      <c r="CQ235" t="s">
        <v>40</v>
      </c>
      <c r="CR235" t="s">
        <v>519</v>
      </c>
      <c r="CS235" t="s">
        <v>292</v>
      </c>
      <c r="CT235" t="s">
        <v>536</v>
      </c>
      <c r="CU235">
        <v>2264</v>
      </c>
    </row>
    <row r="236" spans="95:99">
      <c r="CQ236" t="s">
        <v>40</v>
      </c>
      <c r="CR236" t="s">
        <v>519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519</v>
      </c>
      <c r="CS237" t="s">
        <v>292</v>
      </c>
      <c r="CT237" t="s">
        <v>548</v>
      </c>
      <c r="CU237">
        <v>62</v>
      </c>
    </row>
    <row r="238" spans="95:99">
      <c r="CQ238" t="s">
        <v>40</v>
      </c>
      <c r="CR238" t="s">
        <v>519</v>
      </c>
      <c r="CS238" t="s">
        <v>292</v>
      </c>
      <c r="CT238" t="s">
        <v>537</v>
      </c>
      <c r="CU238">
        <v>15</v>
      </c>
    </row>
    <row r="239" spans="95:99">
      <c r="CQ239" t="s">
        <v>40</v>
      </c>
      <c r="CR239" t="s">
        <v>519</v>
      </c>
      <c r="CS239" t="s">
        <v>292</v>
      </c>
      <c r="CT239" t="s">
        <v>538</v>
      </c>
      <c r="CU239">
        <v>4</v>
      </c>
    </row>
    <row r="240" spans="95:99">
      <c r="CQ240" t="s">
        <v>40</v>
      </c>
      <c r="CR240" t="s">
        <v>519</v>
      </c>
      <c r="CS240" t="s">
        <v>292</v>
      </c>
      <c r="CT240" t="s">
        <v>539</v>
      </c>
      <c r="CU240">
        <v>10</v>
      </c>
    </row>
    <row r="241" spans="95:99">
      <c r="CQ241" t="s">
        <v>40</v>
      </c>
      <c r="CR241" t="s">
        <v>519</v>
      </c>
      <c r="CS241" t="s">
        <v>292</v>
      </c>
      <c r="CT241" t="s">
        <v>540</v>
      </c>
      <c r="CU241">
        <v>10</v>
      </c>
    </row>
    <row r="242" spans="95:99">
      <c r="CQ242" t="s">
        <v>40</v>
      </c>
      <c r="CR242" t="s">
        <v>519</v>
      </c>
      <c r="CS242" t="s">
        <v>292</v>
      </c>
      <c r="CT242" t="s">
        <v>526</v>
      </c>
      <c r="CU242">
        <v>26</v>
      </c>
    </row>
    <row r="243" spans="95:99">
      <c r="CQ243" t="s">
        <v>40</v>
      </c>
      <c r="CR243" t="s">
        <v>519</v>
      </c>
      <c r="CS243" t="s">
        <v>292</v>
      </c>
    </row>
    <row r="244" spans="95:99">
      <c r="CQ244" t="s">
        <v>40</v>
      </c>
      <c r="CR244" t="s">
        <v>519</v>
      </c>
      <c r="CS244" t="s">
        <v>292</v>
      </c>
      <c r="CT244" t="s">
        <v>515</v>
      </c>
      <c r="CU244">
        <v>1974</v>
      </c>
    </row>
    <row r="245" spans="95:99">
      <c r="CQ245" t="s">
        <v>40</v>
      </c>
      <c r="CR245" t="s">
        <v>519</v>
      </c>
      <c r="CS245" t="s">
        <v>292</v>
      </c>
      <c r="CT245" t="s">
        <v>534</v>
      </c>
      <c r="CU245">
        <v>134</v>
      </c>
    </row>
    <row r="246" spans="95:99">
      <c r="CQ246" t="s">
        <v>40</v>
      </c>
      <c r="CR246" t="s">
        <v>519</v>
      </c>
      <c r="CS246" t="s">
        <v>292</v>
      </c>
      <c r="CT246" t="s">
        <v>535</v>
      </c>
      <c r="CU246">
        <v>323</v>
      </c>
    </row>
    <row r="247" spans="95:99">
      <c r="CQ247" t="s">
        <v>40</v>
      </c>
      <c r="CR247" t="s">
        <v>519</v>
      </c>
      <c r="CS247" t="s">
        <v>292</v>
      </c>
      <c r="CT247" t="s">
        <v>536</v>
      </c>
      <c r="CU247">
        <v>466</v>
      </c>
    </row>
    <row r="248" spans="95:99">
      <c r="CQ248" t="s">
        <v>40</v>
      </c>
      <c r="CR248" t="s">
        <v>519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519</v>
      </c>
      <c r="CS249" t="s">
        <v>292</v>
      </c>
      <c r="CT249" t="s">
        <v>548</v>
      </c>
      <c r="CU249">
        <v>36</v>
      </c>
    </row>
    <row r="250" spans="95:99">
      <c r="CQ250" t="s">
        <v>40</v>
      </c>
      <c r="CR250" t="s">
        <v>519</v>
      </c>
      <c r="CS250" t="s">
        <v>292</v>
      </c>
      <c r="CT250" t="s">
        <v>537</v>
      </c>
      <c r="CU250">
        <v>22</v>
      </c>
    </row>
    <row r="251" spans="95:99">
      <c r="CQ251" t="s">
        <v>40</v>
      </c>
      <c r="CR251" t="s">
        <v>519</v>
      </c>
      <c r="CS251" t="s">
        <v>292</v>
      </c>
      <c r="CT251" t="s">
        <v>538</v>
      </c>
      <c r="CU251">
        <v>8</v>
      </c>
    </row>
    <row r="252" spans="95:99">
      <c r="CQ252" t="s">
        <v>40</v>
      </c>
      <c r="CR252" t="s">
        <v>519</v>
      </c>
      <c r="CS252" t="s">
        <v>292</v>
      </c>
      <c r="CT252" t="s">
        <v>539</v>
      </c>
      <c r="CU252">
        <v>9</v>
      </c>
    </row>
    <row r="253" spans="95:99">
      <c r="CQ253" t="s">
        <v>40</v>
      </c>
      <c r="CR253" t="s">
        <v>519</v>
      </c>
      <c r="CS253" t="s">
        <v>292</v>
      </c>
      <c r="CT253" t="s">
        <v>540</v>
      </c>
      <c r="CU253">
        <v>20</v>
      </c>
    </row>
    <row r="254" spans="95:99">
      <c r="CQ254" t="s">
        <v>40</v>
      </c>
      <c r="CR254" t="s">
        <v>519</v>
      </c>
      <c r="CS254" t="s">
        <v>292</v>
      </c>
      <c r="CT254" t="s">
        <v>526</v>
      </c>
      <c r="CU254">
        <v>10</v>
      </c>
    </row>
    <row r="255" spans="95:99">
      <c r="CQ255" t="s">
        <v>40</v>
      </c>
      <c r="CR255" t="s">
        <v>519</v>
      </c>
      <c r="CS255" t="s">
        <v>526</v>
      </c>
    </row>
    <row r="256" spans="95:99">
      <c r="CQ256" t="s">
        <v>40</v>
      </c>
      <c r="CR256" t="s">
        <v>519</v>
      </c>
      <c r="CS256" t="s">
        <v>526</v>
      </c>
      <c r="CT256" t="s">
        <v>515</v>
      </c>
      <c r="CU256">
        <v>760</v>
      </c>
    </row>
    <row r="257" spans="95:99">
      <c r="CQ257" t="s">
        <v>40</v>
      </c>
      <c r="CR257" t="s">
        <v>519</v>
      </c>
      <c r="CS257" t="s">
        <v>526</v>
      </c>
      <c r="CT257" t="s">
        <v>534</v>
      </c>
      <c r="CU257">
        <v>14</v>
      </c>
    </row>
    <row r="258" spans="95:99">
      <c r="CQ258" t="s">
        <v>40</v>
      </c>
      <c r="CR258" t="s">
        <v>519</v>
      </c>
      <c r="CS258" t="s">
        <v>526</v>
      </c>
      <c r="CT258" t="s">
        <v>535</v>
      </c>
      <c r="CU258">
        <v>227</v>
      </c>
    </row>
    <row r="259" spans="95:99">
      <c r="CQ259" t="s">
        <v>40</v>
      </c>
      <c r="CR259" t="s">
        <v>519</v>
      </c>
      <c r="CS259" t="s">
        <v>526</v>
      </c>
      <c r="CT259" t="s">
        <v>536</v>
      </c>
      <c r="CU259">
        <v>287</v>
      </c>
    </row>
    <row r="260" spans="95:99">
      <c r="CQ260" t="s">
        <v>40</v>
      </c>
      <c r="CR260" t="s">
        <v>519</v>
      </c>
      <c r="CS260" t="s">
        <v>526</v>
      </c>
      <c r="CT260" t="s">
        <v>136</v>
      </c>
      <c r="CU260">
        <v>44</v>
      </c>
    </row>
    <row r="261" spans="95:99">
      <c r="CQ261" t="s">
        <v>40</v>
      </c>
      <c r="CR261" t="s">
        <v>519</v>
      </c>
      <c r="CS261" t="s">
        <v>526</v>
      </c>
      <c r="CT261" t="s">
        <v>548</v>
      </c>
      <c r="CU261">
        <v>77</v>
      </c>
    </row>
    <row r="262" spans="95:99">
      <c r="CQ262" t="s">
        <v>40</v>
      </c>
      <c r="CR262" t="s">
        <v>519</v>
      </c>
      <c r="CS262" t="s">
        <v>526</v>
      </c>
      <c r="CT262" t="s">
        <v>537</v>
      </c>
      <c r="CU262">
        <v>67</v>
      </c>
    </row>
    <row r="263" spans="95:99">
      <c r="CQ263" t="s">
        <v>40</v>
      </c>
      <c r="CR263" t="s">
        <v>519</v>
      </c>
      <c r="CS263" t="s">
        <v>526</v>
      </c>
      <c r="CT263" t="s">
        <v>538</v>
      </c>
      <c r="CU263">
        <v>1</v>
      </c>
    </row>
    <row r="264" spans="95:99">
      <c r="CQ264" t="s">
        <v>40</v>
      </c>
      <c r="CR264" t="s">
        <v>519</v>
      </c>
      <c r="CS264" t="s">
        <v>526</v>
      </c>
      <c r="CT264" t="s">
        <v>539</v>
      </c>
      <c r="CU264">
        <v>17</v>
      </c>
    </row>
    <row r="265" spans="95:99">
      <c r="CQ265" t="s">
        <v>40</v>
      </c>
      <c r="CR265" t="s">
        <v>519</v>
      </c>
      <c r="CS265" t="s">
        <v>526</v>
      </c>
      <c r="CT265" t="s">
        <v>540</v>
      </c>
      <c r="CU265">
        <v>1</v>
      </c>
    </row>
    <row r="266" spans="95:99">
      <c r="CQ266" t="s">
        <v>40</v>
      </c>
      <c r="CR266" t="s">
        <v>519</v>
      </c>
      <c r="CS266" t="s">
        <v>526</v>
      </c>
      <c r="CT266" t="s">
        <v>526</v>
      </c>
      <c r="CU266">
        <v>25</v>
      </c>
    </row>
    <row r="267" spans="95:99">
      <c r="CQ267" t="s">
        <v>40</v>
      </c>
      <c r="CR267" t="s">
        <v>520</v>
      </c>
    </row>
    <row r="268" spans="95:99">
      <c r="CQ268" t="s">
        <v>40</v>
      </c>
      <c r="CR268" t="s">
        <v>520</v>
      </c>
      <c r="CS268" t="s">
        <v>515</v>
      </c>
    </row>
    <row r="269" spans="95:99">
      <c r="CQ269" t="s">
        <v>40</v>
      </c>
      <c r="CR269" t="s">
        <v>520</v>
      </c>
      <c r="CS269" t="s">
        <v>40</v>
      </c>
      <c r="CT269" t="s">
        <v>515</v>
      </c>
      <c r="CU269">
        <v>116041</v>
      </c>
    </row>
    <row r="270" spans="95:99">
      <c r="CQ270" t="s">
        <v>40</v>
      </c>
      <c r="CR270" t="s">
        <v>520</v>
      </c>
      <c r="CS270" t="s">
        <v>40</v>
      </c>
      <c r="CT270" t="s">
        <v>534</v>
      </c>
      <c r="CU270">
        <v>1455</v>
      </c>
    </row>
    <row r="271" spans="95:99">
      <c r="CQ271" t="s">
        <v>40</v>
      </c>
      <c r="CR271" t="s">
        <v>520</v>
      </c>
      <c r="CS271" t="s">
        <v>40</v>
      </c>
      <c r="CT271" t="s">
        <v>535</v>
      </c>
      <c r="CU271">
        <v>49346</v>
      </c>
    </row>
    <row r="272" spans="95:99">
      <c r="CQ272" t="s">
        <v>40</v>
      </c>
      <c r="CR272" t="s">
        <v>520</v>
      </c>
      <c r="CS272" t="s">
        <v>40</v>
      </c>
      <c r="CT272" t="s">
        <v>536</v>
      </c>
      <c r="CU272">
        <v>45221</v>
      </c>
    </row>
    <row r="273" spans="95:99">
      <c r="CQ273" t="s">
        <v>40</v>
      </c>
      <c r="CR273" t="s">
        <v>520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520</v>
      </c>
      <c r="CS274" t="s">
        <v>40</v>
      </c>
      <c r="CT274" t="s">
        <v>548</v>
      </c>
      <c r="CU274">
        <v>6401</v>
      </c>
    </row>
    <row r="275" spans="95:99">
      <c r="CQ275" t="s">
        <v>40</v>
      </c>
      <c r="CR275" t="s">
        <v>520</v>
      </c>
      <c r="CS275" t="s">
        <v>40</v>
      </c>
      <c r="CT275" t="s">
        <v>537</v>
      </c>
      <c r="CU275">
        <v>5888</v>
      </c>
    </row>
    <row r="276" spans="95:99">
      <c r="CQ276" t="s">
        <v>40</v>
      </c>
      <c r="CR276" t="s">
        <v>520</v>
      </c>
      <c r="CS276" t="s">
        <v>40</v>
      </c>
      <c r="CT276" t="s">
        <v>538</v>
      </c>
      <c r="CU276">
        <v>443</v>
      </c>
    </row>
    <row r="277" spans="95:99">
      <c r="CQ277" t="s">
        <v>40</v>
      </c>
      <c r="CR277" t="s">
        <v>520</v>
      </c>
      <c r="CS277" t="s">
        <v>40</v>
      </c>
      <c r="CT277" t="s">
        <v>539</v>
      </c>
      <c r="CU277">
        <v>1688</v>
      </c>
    </row>
    <row r="278" spans="95:99">
      <c r="CQ278" t="s">
        <v>40</v>
      </c>
      <c r="CR278" t="s">
        <v>520</v>
      </c>
      <c r="CS278" t="s">
        <v>40</v>
      </c>
      <c r="CT278" t="s">
        <v>540</v>
      </c>
      <c r="CU278">
        <v>329</v>
      </c>
    </row>
    <row r="279" spans="95:99">
      <c r="CQ279" t="s">
        <v>40</v>
      </c>
      <c r="CR279" t="s">
        <v>520</v>
      </c>
      <c r="CS279" t="s">
        <v>40</v>
      </c>
      <c r="CT279" t="s">
        <v>526</v>
      </c>
      <c r="CU279">
        <v>550</v>
      </c>
    </row>
    <row r="280" spans="95:99">
      <c r="CQ280" t="s">
        <v>40</v>
      </c>
      <c r="CR280" t="s">
        <v>520</v>
      </c>
      <c r="CS280" t="s">
        <v>46</v>
      </c>
    </row>
    <row r="281" spans="95:99">
      <c r="CQ281" t="s">
        <v>40</v>
      </c>
      <c r="CR281" t="s">
        <v>520</v>
      </c>
      <c r="CS281" t="s">
        <v>46</v>
      </c>
      <c r="CT281" t="s">
        <v>515</v>
      </c>
      <c r="CU281">
        <v>42221</v>
      </c>
    </row>
    <row r="282" spans="95:99">
      <c r="CQ282" t="s">
        <v>40</v>
      </c>
      <c r="CR282" t="s">
        <v>520</v>
      </c>
      <c r="CS282" t="s">
        <v>46</v>
      </c>
      <c r="CT282" t="s">
        <v>534</v>
      </c>
      <c r="CU282">
        <v>492</v>
      </c>
    </row>
    <row r="283" spans="95:99">
      <c r="CQ283" t="s">
        <v>40</v>
      </c>
      <c r="CR283" t="s">
        <v>520</v>
      </c>
      <c r="CS283" t="s">
        <v>46</v>
      </c>
      <c r="CT283" t="s">
        <v>535</v>
      </c>
      <c r="CU283">
        <v>26248</v>
      </c>
    </row>
    <row r="284" spans="95:99">
      <c r="CQ284" t="s">
        <v>40</v>
      </c>
      <c r="CR284" t="s">
        <v>520</v>
      </c>
      <c r="CS284" t="s">
        <v>46</v>
      </c>
      <c r="CT284" t="s">
        <v>536</v>
      </c>
      <c r="CU284">
        <v>6182</v>
      </c>
    </row>
    <row r="285" spans="95:99">
      <c r="CQ285" t="s">
        <v>40</v>
      </c>
      <c r="CR285" t="s">
        <v>520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520</v>
      </c>
      <c r="CS286" t="s">
        <v>46</v>
      </c>
      <c r="CT286" t="s">
        <v>548</v>
      </c>
      <c r="CU286">
        <v>2338</v>
      </c>
    </row>
    <row r="287" spans="95:99">
      <c r="CQ287" t="s">
        <v>40</v>
      </c>
      <c r="CR287" t="s">
        <v>520</v>
      </c>
      <c r="CS287" t="s">
        <v>46</v>
      </c>
      <c r="CT287" t="s">
        <v>537</v>
      </c>
      <c r="CU287">
        <v>4315</v>
      </c>
    </row>
    <row r="288" spans="95:99">
      <c r="CQ288" t="s">
        <v>40</v>
      </c>
      <c r="CR288" t="s">
        <v>520</v>
      </c>
      <c r="CS288" t="s">
        <v>46</v>
      </c>
      <c r="CT288" t="s">
        <v>538</v>
      </c>
      <c r="CU288">
        <v>298</v>
      </c>
    </row>
    <row r="289" spans="95:99">
      <c r="CQ289" t="s">
        <v>40</v>
      </c>
      <c r="CR289" t="s">
        <v>520</v>
      </c>
      <c r="CS289" t="s">
        <v>46</v>
      </c>
      <c r="CT289" t="s">
        <v>539</v>
      </c>
      <c r="CU289">
        <v>1142</v>
      </c>
    </row>
    <row r="290" spans="95:99">
      <c r="CQ290" t="s">
        <v>40</v>
      </c>
      <c r="CR290" t="s">
        <v>520</v>
      </c>
      <c r="CS290" t="s">
        <v>46</v>
      </c>
      <c r="CT290" t="s">
        <v>540</v>
      </c>
      <c r="CU290">
        <v>160</v>
      </c>
    </row>
    <row r="291" spans="95:99">
      <c r="CQ291" t="s">
        <v>40</v>
      </c>
      <c r="CR291" t="s">
        <v>520</v>
      </c>
      <c r="CS291" t="s">
        <v>46</v>
      </c>
      <c r="CT291" t="s">
        <v>526</v>
      </c>
      <c r="CU291">
        <v>190</v>
      </c>
    </row>
    <row r="292" spans="95:99">
      <c r="CQ292" t="s">
        <v>40</v>
      </c>
      <c r="CR292" t="s">
        <v>520</v>
      </c>
      <c r="CS292" t="s">
        <v>44</v>
      </c>
    </row>
    <row r="293" spans="95:99">
      <c r="CQ293" t="s">
        <v>40</v>
      </c>
      <c r="CR293" t="s">
        <v>520</v>
      </c>
      <c r="CS293" t="s">
        <v>44</v>
      </c>
      <c r="CT293" t="s">
        <v>515</v>
      </c>
      <c r="CU293">
        <v>43364</v>
      </c>
    </row>
    <row r="294" spans="95:99">
      <c r="CQ294" t="s">
        <v>40</v>
      </c>
      <c r="CR294" t="s">
        <v>520</v>
      </c>
      <c r="CS294" t="s">
        <v>44</v>
      </c>
      <c r="CT294" t="s">
        <v>534</v>
      </c>
      <c r="CU294">
        <v>342</v>
      </c>
    </row>
    <row r="295" spans="95:99">
      <c r="CQ295" t="s">
        <v>40</v>
      </c>
      <c r="CR295" t="s">
        <v>520</v>
      </c>
      <c r="CS295" t="s">
        <v>44</v>
      </c>
      <c r="CT295" t="s">
        <v>535</v>
      </c>
      <c r="CU295">
        <v>15757</v>
      </c>
    </row>
    <row r="296" spans="95:99">
      <c r="CQ296" t="s">
        <v>40</v>
      </c>
      <c r="CR296" t="s">
        <v>520</v>
      </c>
      <c r="CS296" t="s">
        <v>44</v>
      </c>
      <c r="CT296" t="s">
        <v>536</v>
      </c>
      <c r="CU296">
        <v>22945</v>
      </c>
    </row>
    <row r="297" spans="95:99">
      <c r="CQ297" t="s">
        <v>40</v>
      </c>
      <c r="CR297" t="s">
        <v>520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520</v>
      </c>
      <c r="CS298" t="s">
        <v>44</v>
      </c>
      <c r="CT298" t="s">
        <v>548</v>
      </c>
      <c r="CU298">
        <v>1779</v>
      </c>
    </row>
    <row r="299" spans="95:99">
      <c r="CQ299" t="s">
        <v>40</v>
      </c>
      <c r="CR299" t="s">
        <v>520</v>
      </c>
      <c r="CS299" t="s">
        <v>44</v>
      </c>
      <c r="CT299" t="s">
        <v>537</v>
      </c>
      <c r="CU299">
        <v>835</v>
      </c>
    </row>
    <row r="300" spans="95:99">
      <c r="CQ300" t="s">
        <v>40</v>
      </c>
      <c r="CR300" t="s">
        <v>520</v>
      </c>
      <c r="CS300" t="s">
        <v>44</v>
      </c>
      <c r="CT300" t="s">
        <v>538</v>
      </c>
      <c r="CU300">
        <v>99</v>
      </c>
    </row>
    <row r="301" spans="95:99">
      <c r="CQ301" t="s">
        <v>40</v>
      </c>
      <c r="CR301" t="s">
        <v>520</v>
      </c>
      <c r="CS301" t="s">
        <v>44</v>
      </c>
      <c r="CT301" t="s">
        <v>539</v>
      </c>
      <c r="CU301">
        <v>322</v>
      </c>
    </row>
    <row r="302" spans="95:99">
      <c r="CQ302" t="s">
        <v>40</v>
      </c>
      <c r="CR302" t="s">
        <v>520</v>
      </c>
      <c r="CS302" t="s">
        <v>44</v>
      </c>
      <c r="CT302" t="s">
        <v>540</v>
      </c>
      <c r="CU302">
        <v>76</v>
      </c>
    </row>
    <row r="303" spans="95:99">
      <c r="CQ303" t="s">
        <v>40</v>
      </c>
      <c r="CR303" t="s">
        <v>520</v>
      </c>
      <c r="CS303" t="s">
        <v>44</v>
      </c>
      <c r="CT303" t="s">
        <v>526</v>
      </c>
      <c r="CU303">
        <v>158</v>
      </c>
    </row>
    <row r="304" spans="95:99">
      <c r="CQ304" t="s">
        <v>40</v>
      </c>
      <c r="CR304" t="s">
        <v>520</v>
      </c>
      <c r="CS304" t="s">
        <v>44</v>
      </c>
    </row>
    <row r="305" spans="95:99">
      <c r="CQ305" t="s">
        <v>40</v>
      </c>
      <c r="CR305" t="s">
        <v>520</v>
      </c>
      <c r="CS305" t="s">
        <v>44</v>
      </c>
      <c r="CT305" t="s">
        <v>515</v>
      </c>
      <c r="CU305">
        <v>24370</v>
      </c>
    </row>
    <row r="306" spans="95:99">
      <c r="CQ306" t="s">
        <v>40</v>
      </c>
      <c r="CR306" t="s">
        <v>520</v>
      </c>
      <c r="CS306" t="s">
        <v>44</v>
      </c>
      <c r="CT306" t="s">
        <v>534</v>
      </c>
      <c r="CU306">
        <v>410</v>
      </c>
    </row>
    <row r="307" spans="95:99">
      <c r="CQ307" t="s">
        <v>40</v>
      </c>
      <c r="CR307" t="s">
        <v>520</v>
      </c>
      <c r="CS307" t="s">
        <v>44</v>
      </c>
      <c r="CT307" t="s">
        <v>535</v>
      </c>
      <c r="CU307">
        <v>6586</v>
      </c>
    </row>
    <row r="308" spans="95:99">
      <c r="CQ308" t="s">
        <v>40</v>
      </c>
      <c r="CR308" t="s">
        <v>520</v>
      </c>
      <c r="CS308" t="s">
        <v>44</v>
      </c>
      <c r="CT308" t="s">
        <v>536</v>
      </c>
      <c r="CU308">
        <v>13317</v>
      </c>
    </row>
    <row r="309" spans="95:99">
      <c r="CQ309" t="s">
        <v>40</v>
      </c>
      <c r="CR309" t="s">
        <v>520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520</v>
      </c>
      <c r="CS310" t="s">
        <v>44</v>
      </c>
      <c r="CT310" t="s">
        <v>548</v>
      </c>
      <c r="CU310">
        <v>2122</v>
      </c>
    </row>
    <row r="311" spans="95:99">
      <c r="CQ311" t="s">
        <v>40</v>
      </c>
      <c r="CR311" t="s">
        <v>520</v>
      </c>
      <c r="CS311" t="s">
        <v>44</v>
      </c>
      <c r="CT311" t="s">
        <v>537</v>
      </c>
      <c r="CU311">
        <v>644</v>
      </c>
    </row>
    <row r="312" spans="95:99">
      <c r="CQ312" t="s">
        <v>40</v>
      </c>
      <c r="CR312" t="s">
        <v>520</v>
      </c>
      <c r="CS312" t="s">
        <v>44</v>
      </c>
      <c r="CT312" t="s">
        <v>538</v>
      </c>
      <c r="CU312">
        <v>30</v>
      </c>
    </row>
    <row r="313" spans="95:99">
      <c r="CQ313" t="s">
        <v>40</v>
      </c>
      <c r="CR313" t="s">
        <v>520</v>
      </c>
      <c r="CS313" t="s">
        <v>44</v>
      </c>
      <c r="CT313" t="s">
        <v>539</v>
      </c>
      <c r="CU313">
        <v>191</v>
      </c>
    </row>
    <row r="314" spans="95:99">
      <c r="CQ314" t="s">
        <v>40</v>
      </c>
      <c r="CR314" t="s">
        <v>520</v>
      </c>
      <c r="CS314" t="s">
        <v>44</v>
      </c>
      <c r="CT314" t="s">
        <v>540</v>
      </c>
      <c r="CU314">
        <v>43</v>
      </c>
    </row>
    <row r="315" spans="95:99">
      <c r="CQ315" t="s">
        <v>40</v>
      </c>
      <c r="CR315" t="s">
        <v>520</v>
      </c>
      <c r="CS315" t="s">
        <v>44</v>
      </c>
      <c r="CT315" t="s">
        <v>526</v>
      </c>
      <c r="CU315">
        <v>123</v>
      </c>
    </row>
    <row r="316" spans="95:99">
      <c r="CQ316" t="s">
        <v>40</v>
      </c>
      <c r="CR316" t="s">
        <v>520</v>
      </c>
      <c r="CS316" t="s">
        <v>292</v>
      </c>
    </row>
    <row r="317" spans="95:99">
      <c r="CQ317" t="s">
        <v>40</v>
      </c>
      <c r="CR317" t="s">
        <v>520</v>
      </c>
      <c r="CS317" t="s">
        <v>292</v>
      </c>
      <c r="CT317" t="s">
        <v>515</v>
      </c>
      <c r="CU317">
        <v>4039</v>
      </c>
    </row>
    <row r="318" spans="95:99">
      <c r="CQ318" t="s">
        <v>40</v>
      </c>
      <c r="CR318" t="s">
        <v>520</v>
      </c>
      <c r="CS318" t="s">
        <v>292</v>
      </c>
      <c r="CT318" t="s">
        <v>534</v>
      </c>
      <c r="CU318">
        <v>126</v>
      </c>
    </row>
    <row r="319" spans="95:99">
      <c r="CQ319" t="s">
        <v>40</v>
      </c>
      <c r="CR319" t="s">
        <v>520</v>
      </c>
      <c r="CS319" t="s">
        <v>292</v>
      </c>
      <c r="CT319" t="s">
        <v>535</v>
      </c>
      <c r="CU319">
        <v>242</v>
      </c>
    </row>
    <row r="320" spans="95:99">
      <c r="CQ320" t="s">
        <v>40</v>
      </c>
      <c r="CR320" t="s">
        <v>520</v>
      </c>
      <c r="CS320" t="s">
        <v>292</v>
      </c>
      <c r="CT320" t="s">
        <v>536</v>
      </c>
      <c r="CU320">
        <v>2214</v>
      </c>
    </row>
    <row r="321" spans="95:99">
      <c r="CQ321" t="s">
        <v>40</v>
      </c>
      <c r="CR321" t="s">
        <v>520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520</v>
      </c>
      <c r="CS322" t="s">
        <v>292</v>
      </c>
      <c r="CT322" t="s">
        <v>548</v>
      </c>
      <c r="CU322">
        <v>81</v>
      </c>
    </row>
    <row r="323" spans="95:99">
      <c r="CQ323" t="s">
        <v>40</v>
      </c>
      <c r="CR323" t="s">
        <v>520</v>
      </c>
      <c r="CS323" t="s">
        <v>292</v>
      </c>
      <c r="CT323" t="s">
        <v>537</v>
      </c>
      <c r="CU323">
        <v>20</v>
      </c>
    </row>
    <row r="324" spans="95:99">
      <c r="CQ324" t="s">
        <v>40</v>
      </c>
      <c r="CR324" t="s">
        <v>520</v>
      </c>
      <c r="CS324" t="s">
        <v>292</v>
      </c>
      <c r="CT324" t="s">
        <v>538</v>
      </c>
      <c r="CU324">
        <v>10</v>
      </c>
    </row>
    <row r="325" spans="95:99">
      <c r="CQ325" t="s">
        <v>40</v>
      </c>
      <c r="CR325" t="s">
        <v>520</v>
      </c>
      <c r="CS325" t="s">
        <v>292</v>
      </c>
      <c r="CT325" t="s">
        <v>539</v>
      </c>
      <c r="CU325">
        <v>16</v>
      </c>
    </row>
    <row r="326" spans="95:99">
      <c r="CQ326" t="s">
        <v>40</v>
      </c>
      <c r="CR326" t="s">
        <v>520</v>
      </c>
      <c r="CS326" t="s">
        <v>292</v>
      </c>
      <c r="CT326" t="s">
        <v>540</v>
      </c>
      <c r="CU326">
        <v>36</v>
      </c>
    </row>
    <row r="327" spans="95:99">
      <c r="CQ327" t="s">
        <v>40</v>
      </c>
      <c r="CR327" t="s">
        <v>520</v>
      </c>
      <c r="CS327" t="s">
        <v>292</v>
      </c>
      <c r="CT327" t="s">
        <v>526</v>
      </c>
      <c r="CU327">
        <v>43</v>
      </c>
    </row>
    <row r="328" spans="95:99">
      <c r="CQ328" t="s">
        <v>40</v>
      </c>
      <c r="CR328" t="s">
        <v>520</v>
      </c>
      <c r="CS328" t="s">
        <v>292</v>
      </c>
    </row>
    <row r="329" spans="95:99">
      <c r="CQ329" t="s">
        <v>40</v>
      </c>
      <c r="CR329" t="s">
        <v>520</v>
      </c>
      <c r="CS329" t="s">
        <v>292</v>
      </c>
      <c r="CT329" t="s">
        <v>515</v>
      </c>
      <c r="CU329">
        <v>1381</v>
      </c>
    </row>
    <row r="330" spans="95:99">
      <c r="CQ330" t="s">
        <v>40</v>
      </c>
      <c r="CR330" t="s">
        <v>520</v>
      </c>
      <c r="CS330" t="s">
        <v>292</v>
      </c>
      <c r="CT330" t="s">
        <v>534</v>
      </c>
      <c r="CU330">
        <v>71</v>
      </c>
    </row>
    <row r="331" spans="95:99">
      <c r="CQ331" t="s">
        <v>40</v>
      </c>
      <c r="CR331" t="s">
        <v>520</v>
      </c>
      <c r="CS331" t="s">
        <v>292</v>
      </c>
      <c r="CT331" t="s">
        <v>535</v>
      </c>
      <c r="CU331">
        <v>264</v>
      </c>
    </row>
    <row r="332" spans="95:99">
      <c r="CQ332" t="s">
        <v>40</v>
      </c>
      <c r="CR332" t="s">
        <v>520</v>
      </c>
      <c r="CS332" t="s">
        <v>292</v>
      </c>
      <c r="CT332" t="s">
        <v>536</v>
      </c>
      <c r="CU332">
        <v>346</v>
      </c>
    </row>
    <row r="333" spans="95:99">
      <c r="CQ333" t="s">
        <v>40</v>
      </c>
      <c r="CR333" t="s">
        <v>520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520</v>
      </c>
      <c r="CS334" t="s">
        <v>292</v>
      </c>
      <c r="CT334" t="s">
        <v>548</v>
      </c>
      <c r="CU334">
        <v>19</v>
      </c>
    </row>
    <row r="335" spans="95:99">
      <c r="CQ335" t="s">
        <v>40</v>
      </c>
      <c r="CR335" t="s">
        <v>520</v>
      </c>
      <c r="CS335" t="s">
        <v>292</v>
      </c>
      <c r="CT335" t="s">
        <v>537</v>
      </c>
      <c r="CU335">
        <v>14</v>
      </c>
    </row>
    <row r="336" spans="95:99">
      <c r="CQ336" t="s">
        <v>40</v>
      </c>
      <c r="CR336" t="s">
        <v>520</v>
      </c>
      <c r="CS336" t="s">
        <v>292</v>
      </c>
      <c r="CT336" t="s">
        <v>538</v>
      </c>
      <c r="CU336">
        <v>5</v>
      </c>
    </row>
    <row r="337" spans="95:99">
      <c r="CQ337" t="s">
        <v>40</v>
      </c>
      <c r="CR337" t="s">
        <v>520</v>
      </c>
      <c r="CS337" t="s">
        <v>292</v>
      </c>
      <c r="CT337" t="s">
        <v>539</v>
      </c>
      <c r="CU337">
        <v>8</v>
      </c>
    </row>
    <row r="338" spans="95:99">
      <c r="CQ338" t="s">
        <v>40</v>
      </c>
      <c r="CR338" t="s">
        <v>520</v>
      </c>
      <c r="CS338" t="s">
        <v>292</v>
      </c>
      <c r="CT338" t="s">
        <v>540</v>
      </c>
      <c r="CU338">
        <v>13</v>
      </c>
    </row>
    <row r="339" spans="95:99">
      <c r="CQ339" t="s">
        <v>40</v>
      </c>
      <c r="CR339" t="s">
        <v>520</v>
      </c>
      <c r="CS339" t="s">
        <v>292</v>
      </c>
      <c r="CT339" t="s">
        <v>526</v>
      </c>
      <c r="CU339">
        <v>13</v>
      </c>
    </row>
    <row r="340" spans="95:99">
      <c r="CQ340" t="s">
        <v>40</v>
      </c>
      <c r="CR340" t="s">
        <v>520</v>
      </c>
      <c r="CS340" t="s">
        <v>526</v>
      </c>
    </row>
    <row r="341" spans="95:99">
      <c r="CQ341" t="s">
        <v>40</v>
      </c>
      <c r="CR341" t="s">
        <v>520</v>
      </c>
      <c r="CS341" t="s">
        <v>526</v>
      </c>
      <c r="CT341" t="s">
        <v>515</v>
      </c>
      <c r="CU341">
        <v>666</v>
      </c>
    </row>
    <row r="342" spans="95:99">
      <c r="CQ342" t="s">
        <v>40</v>
      </c>
      <c r="CR342" t="s">
        <v>520</v>
      </c>
      <c r="CS342" t="s">
        <v>526</v>
      </c>
      <c r="CT342" t="s">
        <v>534</v>
      </c>
      <c r="CU342">
        <v>14</v>
      </c>
    </row>
    <row r="343" spans="95:99">
      <c r="CQ343" t="s">
        <v>40</v>
      </c>
      <c r="CR343" t="s">
        <v>520</v>
      </c>
      <c r="CS343" t="s">
        <v>526</v>
      </c>
      <c r="CT343" t="s">
        <v>535</v>
      </c>
      <c r="CU343">
        <v>249</v>
      </c>
    </row>
    <row r="344" spans="95:99">
      <c r="CQ344" t="s">
        <v>40</v>
      </c>
      <c r="CR344" t="s">
        <v>520</v>
      </c>
      <c r="CS344" t="s">
        <v>526</v>
      </c>
      <c r="CT344" t="s">
        <v>536</v>
      </c>
      <c r="CU344">
        <v>217</v>
      </c>
    </row>
    <row r="345" spans="95:99">
      <c r="CQ345" t="s">
        <v>40</v>
      </c>
      <c r="CR345" t="s">
        <v>520</v>
      </c>
      <c r="CS345" t="s">
        <v>526</v>
      </c>
      <c r="CT345" t="s">
        <v>136</v>
      </c>
      <c r="CU345">
        <v>30</v>
      </c>
    </row>
    <row r="346" spans="95:99">
      <c r="CQ346" t="s">
        <v>40</v>
      </c>
      <c r="CR346" t="s">
        <v>520</v>
      </c>
      <c r="CS346" t="s">
        <v>526</v>
      </c>
      <c r="CT346" t="s">
        <v>548</v>
      </c>
      <c r="CU346">
        <v>62</v>
      </c>
    </row>
    <row r="347" spans="95:99">
      <c r="CQ347" t="s">
        <v>40</v>
      </c>
      <c r="CR347" t="s">
        <v>520</v>
      </c>
      <c r="CS347" t="s">
        <v>526</v>
      </c>
      <c r="CT347" t="s">
        <v>537</v>
      </c>
      <c r="CU347">
        <v>60</v>
      </c>
    </row>
    <row r="348" spans="95:99">
      <c r="CQ348" t="s">
        <v>40</v>
      </c>
      <c r="CR348" t="s">
        <v>520</v>
      </c>
      <c r="CS348" t="s">
        <v>526</v>
      </c>
      <c r="CT348" t="s">
        <v>538</v>
      </c>
      <c r="CU348">
        <v>1</v>
      </c>
    </row>
    <row r="349" spans="95:99">
      <c r="CQ349" t="s">
        <v>40</v>
      </c>
      <c r="CR349" t="s">
        <v>520</v>
      </c>
      <c r="CS349" t="s">
        <v>526</v>
      </c>
      <c r="CT349" t="s">
        <v>539</v>
      </c>
      <c r="CU349">
        <v>9</v>
      </c>
    </row>
    <row r="350" spans="95:99">
      <c r="CQ350" t="s">
        <v>40</v>
      </c>
      <c r="CR350" t="s">
        <v>520</v>
      </c>
      <c r="CS350" t="s">
        <v>526</v>
      </c>
      <c r="CT350" t="s">
        <v>540</v>
      </c>
      <c r="CU350">
        <v>1</v>
      </c>
    </row>
    <row r="351" spans="95:99">
      <c r="CQ351" t="s">
        <v>40</v>
      </c>
      <c r="CR351" t="s">
        <v>520</v>
      </c>
      <c r="CS351" t="s">
        <v>526</v>
      </c>
      <c r="CT351" t="s">
        <v>526</v>
      </c>
      <c r="CU351">
        <v>23</v>
      </c>
    </row>
    <row r="352" spans="95:99">
      <c r="CQ352" t="s">
        <v>40</v>
      </c>
      <c r="CR352" t="s">
        <v>521</v>
      </c>
    </row>
    <row r="353" spans="95:99">
      <c r="CQ353" t="s">
        <v>40</v>
      </c>
      <c r="CR353" t="s">
        <v>521</v>
      </c>
      <c r="CS353" t="s">
        <v>515</v>
      </c>
    </row>
    <row r="354" spans="95:99">
      <c r="CQ354" t="s">
        <v>40</v>
      </c>
      <c r="CR354" t="s">
        <v>521</v>
      </c>
      <c r="CS354" t="s">
        <v>40</v>
      </c>
      <c r="CT354" t="s">
        <v>515</v>
      </c>
      <c r="CU354">
        <v>213473</v>
      </c>
    </row>
    <row r="355" spans="95:99">
      <c r="CQ355" t="s">
        <v>40</v>
      </c>
      <c r="CR355" t="s">
        <v>521</v>
      </c>
      <c r="CS355" t="s">
        <v>40</v>
      </c>
      <c r="CT355" t="s">
        <v>534</v>
      </c>
      <c r="CU355">
        <v>2065</v>
      </c>
    </row>
    <row r="356" spans="95:99">
      <c r="CQ356" t="s">
        <v>40</v>
      </c>
      <c r="CR356" t="s">
        <v>521</v>
      </c>
      <c r="CS356" t="s">
        <v>40</v>
      </c>
      <c r="CT356" t="s">
        <v>535</v>
      </c>
      <c r="CU356">
        <v>107466</v>
      </c>
    </row>
    <row r="357" spans="95:99">
      <c r="CQ357" t="s">
        <v>40</v>
      </c>
      <c r="CR357" t="s">
        <v>521</v>
      </c>
      <c r="CS357" t="s">
        <v>40</v>
      </c>
      <c r="CT357" t="s">
        <v>536</v>
      </c>
      <c r="CU357">
        <v>64595</v>
      </c>
    </row>
    <row r="358" spans="95:99">
      <c r="CQ358" t="s">
        <v>40</v>
      </c>
      <c r="CR358" t="s">
        <v>521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521</v>
      </c>
      <c r="CS359" t="s">
        <v>40</v>
      </c>
      <c r="CT359" t="s">
        <v>548</v>
      </c>
      <c r="CU359">
        <v>13094</v>
      </c>
    </row>
    <row r="360" spans="95:99">
      <c r="CQ360" t="s">
        <v>40</v>
      </c>
      <c r="CR360" t="s">
        <v>521</v>
      </c>
      <c r="CS360" t="s">
        <v>40</v>
      </c>
      <c r="CT360" t="s">
        <v>537</v>
      </c>
      <c r="CU360">
        <v>12883</v>
      </c>
    </row>
    <row r="361" spans="95:99">
      <c r="CQ361" t="s">
        <v>40</v>
      </c>
      <c r="CR361" t="s">
        <v>521</v>
      </c>
      <c r="CS361" t="s">
        <v>40</v>
      </c>
      <c r="CT361" t="s">
        <v>538</v>
      </c>
      <c r="CU361">
        <v>1087</v>
      </c>
    </row>
    <row r="362" spans="95:99">
      <c r="CQ362" t="s">
        <v>40</v>
      </c>
      <c r="CR362" t="s">
        <v>521</v>
      </c>
      <c r="CS362" t="s">
        <v>40</v>
      </c>
      <c r="CT362" t="s">
        <v>539</v>
      </c>
      <c r="CU362">
        <v>3939</v>
      </c>
    </row>
    <row r="363" spans="95:99">
      <c r="CQ363" t="s">
        <v>40</v>
      </c>
      <c r="CR363" t="s">
        <v>521</v>
      </c>
      <c r="CS363" t="s">
        <v>40</v>
      </c>
      <c r="CT363" t="s">
        <v>540</v>
      </c>
      <c r="CU363">
        <v>636</v>
      </c>
    </row>
    <row r="364" spans="95:99">
      <c r="CQ364" t="s">
        <v>40</v>
      </c>
      <c r="CR364" t="s">
        <v>521</v>
      </c>
      <c r="CS364" t="s">
        <v>40</v>
      </c>
      <c r="CT364" t="s">
        <v>526</v>
      </c>
      <c r="CU364">
        <v>945</v>
      </c>
    </row>
    <row r="365" spans="95:99">
      <c r="CQ365" t="s">
        <v>40</v>
      </c>
      <c r="CR365" t="s">
        <v>521</v>
      </c>
      <c r="CS365" t="s">
        <v>46</v>
      </c>
    </row>
    <row r="366" spans="95:99">
      <c r="CQ366" t="s">
        <v>40</v>
      </c>
      <c r="CR366" t="s">
        <v>521</v>
      </c>
      <c r="CS366" t="s">
        <v>46</v>
      </c>
      <c r="CT366" t="s">
        <v>515</v>
      </c>
      <c r="CU366">
        <v>97698</v>
      </c>
    </row>
    <row r="367" spans="95:99">
      <c r="CQ367" t="s">
        <v>40</v>
      </c>
      <c r="CR367" t="s">
        <v>521</v>
      </c>
      <c r="CS367" t="s">
        <v>46</v>
      </c>
      <c r="CT367" t="s">
        <v>534</v>
      </c>
      <c r="CU367">
        <v>743</v>
      </c>
    </row>
    <row r="368" spans="95:99">
      <c r="CQ368" t="s">
        <v>40</v>
      </c>
      <c r="CR368" t="s">
        <v>521</v>
      </c>
      <c r="CS368" t="s">
        <v>46</v>
      </c>
      <c r="CT368" t="s">
        <v>535</v>
      </c>
      <c r="CU368">
        <v>66311</v>
      </c>
    </row>
    <row r="369" spans="95:99">
      <c r="CQ369" t="s">
        <v>40</v>
      </c>
      <c r="CR369" t="s">
        <v>521</v>
      </c>
      <c r="CS369" t="s">
        <v>46</v>
      </c>
      <c r="CT369" t="s">
        <v>536</v>
      </c>
      <c r="CU369">
        <v>10132</v>
      </c>
    </row>
    <row r="370" spans="95:99">
      <c r="CQ370" t="s">
        <v>40</v>
      </c>
      <c r="CR370" t="s">
        <v>521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521</v>
      </c>
      <c r="CS371" t="s">
        <v>46</v>
      </c>
      <c r="CT371" t="s">
        <v>548</v>
      </c>
      <c r="CU371">
        <v>5117</v>
      </c>
    </row>
    <row r="372" spans="95:99">
      <c r="CQ372" t="s">
        <v>40</v>
      </c>
      <c r="CR372" t="s">
        <v>521</v>
      </c>
      <c r="CS372" t="s">
        <v>46</v>
      </c>
      <c r="CT372" t="s">
        <v>537</v>
      </c>
      <c r="CU372">
        <v>9754</v>
      </c>
    </row>
    <row r="373" spans="95:99">
      <c r="CQ373" t="s">
        <v>40</v>
      </c>
      <c r="CR373" t="s">
        <v>521</v>
      </c>
      <c r="CS373" t="s">
        <v>46</v>
      </c>
      <c r="CT373" t="s">
        <v>538</v>
      </c>
      <c r="CU373">
        <v>841</v>
      </c>
    </row>
    <row r="374" spans="95:99">
      <c r="CQ374" t="s">
        <v>40</v>
      </c>
      <c r="CR374" t="s">
        <v>521</v>
      </c>
      <c r="CS374" t="s">
        <v>46</v>
      </c>
      <c r="CT374" t="s">
        <v>539</v>
      </c>
      <c r="CU374">
        <v>2881</v>
      </c>
    </row>
    <row r="375" spans="95:99">
      <c r="CQ375" t="s">
        <v>40</v>
      </c>
      <c r="CR375" t="s">
        <v>521</v>
      </c>
      <c r="CS375" t="s">
        <v>46</v>
      </c>
      <c r="CT375" t="s">
        <v>540</v>
      </c>
      <c r="CU375">
        <v>346</v>
      </c>
    </row>
    <row r="376" spans="95:99">
      <c r="CQ376" t="s">
        <v>40</v>
      </c>
      <c r="CR376" t="s">
        <v>521</v>
      </c>
      <c r="CS376" t="s">
        <v>46</v>
      </c>
      <c r="CT376" t="s">
        <v>526</v>
      </c>
      <c r="CU376">
        <v>411</v>
      </c>
    </row>
    <row r="377" spans="95:99">
      <c r="CQ377" t="s">
        <v>40</v>
      </c>
      <c r="CR377" t="s">
        <v>521</v>
      </c>
      <c r="CS377" t="s">
        <v>44</v>
      </c>
    </row>
    <row r="378" spans="95:99">
      <c r="CQ378" t="s">
        <v>40</v>
      </c>
      <c r="CR378" t="s">
        <v>521</v>
      </c>
      <c r="CS378" t="s">
        <v>44</v>
      </c>
      <c r="CT378" t="s">
        <v>515</v>
      </c>
      <c r="CU378">
        <v>71056</v>
      </c>
    </row>
    <row r="379" spans="95:99">
      <c r="CQ379" t="s">
        <v>40</v>
      </c>
      <c r="CR379" t="s">
        <v>521</v>
      </c>
      <c r="CS379" t="s">
        <v>44</v>
      </c>
      <c r="CT379" t="s">
        <v>534</v>
      </c>
      <c r="CU379">
        <v>476</v>
      </c>
    </row>
    <row r="380" spans="95:99">
      <c r="CQ380" t="s">
        <v>40</v>
      </c>
      <c r="CR380" t="s">
        <v>521</v>
      </c>
      <c r="CS380" t="s">
        <v>44</v>
      </c>
      <c r="CT380" t="s">
        <v>535</v>
      </c>
      <c r="CU380">
        <v>29781</v>
      </c>
    </row>
    <row r="381" spans="95:99">
      <c r="CQ381" t="s">
        <v>40</v>
      </c>
      <c r="CR381" t="s">
        <v>521</v>
      </c>
      <c r="CS381" t="s">
        <v>44</v>
      </c>
      <c r="CT381" t="s">
        <v>536</v>
      </c>
      <c r="CU381">
        <v>32465</v>
      </c>
    </row>
    <row r="382" spans="95:99">
      <c r="CQ382" t="s">
        <v>40</v>
      </c>
      <c r="CR382" t="s">
        <v>521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521</v>
      </c>
      <c r="CS383" t="s">
        <v>44</v>
      </c>
      <c r="CT383" t="s">
        <v>548</v>
      </c>
      <c r="CU383">
        <v>3866</v>
      </c>
    </row>
    <row r="384" spans="95:99">
      <c r="CQ384" t="s">
        <v>40</v>
      </c>
      <c r="CR384" t="s">
        <v>521</v>
      </c>
      <c r="CS384" t="s">
        <v>44</v>
      </c>
      <c r="CT384" t="s">
        <v>537</v>
      </c>
      <c r="CU384">
        <v>1862</v>
      </c>
    </row>
    <row r="385" spans="95:99">
      <c r="CQ385" t="s">
        <v>40</v>
      </c>
      <c r="CR385" t="s">
        <v>521</v>
      </c>
      <c r="CS385" t="s">
        <v>44</v>
      </c>
      <c r="CT385" t="s">
        <v>538</v>
      </c>
      <c r="CU385">
        <v>151</v>
      </c>
    </row>
    <row r="386" spans="95:99">
      <c r="CQ386" t="s">
        <v>40</v>
      </c>
      <c r="CR386" t="s">
        <v>521</v>
      </c>
      <c r="CS386" t="s">
        <v>44</v>
      </c>
      <c r="CT386" t="s">
        <v>539</v>
      </c>
      <c r="CU386">
        <v>632</v>
      </c>
    </row>
    <row r="387" spans="95:99">
      <c r="CQ387" t="s">
        <v>40</v>
      </c>
      <c r="CR387" t="s">
        <v>521</v>
      </c>
      <c r="CS387" t="s">
        <v>44</v>
      </c>
      <c r="CT387" t="s">
        <v>540</v>
      </c>
      <c r="CU387">
        <v>141</v>
      </c>
    </row>
    <row r="388" spans="95:99">
      <c r="CQ388" t="s">
        <v>40</v>
      </c>
      <c r="CR388" t="s">
        <v>521</v>
      </c>
      <c r="CS388" t="s">
        <v>44</v>
      </c>
      <c r="CT388" t="s">
        <v>526</v>
      </c>
      <c r="CU388">
        <v>277</v>
      </c>
    </row>
    <row r="389" spans="95:99">
      <c r="CQ389" t="s">
        <v>40</v>
      </c>
      <c r="CR389" t="s">
        <v>521</v>
      </c>
      <c r="CS389" t="s">
        <v>44</v>
      </c>
    </row>
    <row r="390" spans="95:99">
      <c r="CQ390" t="s">
        <v>40</v>
      </c>
      <c r="CR390" t="s">
        <v>521</v>
      </c>
      <c r="CS390" t="s">
        <v>44</v>
      </c>
      <c r="CT390" t="s">
        <v>515</v>
      </c>
      <c r="CU390">
        <v>36397</v>
      </c>
    </row>
    <row r="391" spans="95:99">
      <c r="CQ391" t="s">
        <v>40</v>
      </c>
      <c r="CR391" t="s">
        <v>521</v>
      </c>
      <c r="CS391" t="s">
        <v>44</v>
      </c>
      <c r="CT391" t="s">
        <v>534</v>
      </c>
      <c r="CU391">
        <v>587</v>
      </c>
    </row>
    <row r="392" spans="95:99">
      <c r="CQ392" t="s">
        <v>40</v>
      </c>
      <c r="CR392" t="s">
        <v>521</v>
      </c>
      <c r="CS392" t="s">
        <v>44</v>
      </c>
      <c r="CT392" t="s">
        <v>535</v>
      </c>
      <c r="CU392">
        <v>10271</v>
      </c>
    </row>
    <row r="393" spans="95:99">
      <c r="CQ393" t="s">
        <v>40</v>
      </c>
      <c r="CR393" t="s">
        <v>521</v>
      </c>
      <c r="CS393" t="s">
        <v>44</v>
      </c>
      <c r="CT393" t="s">
        <v>536</v>
      </c>
      <c r="CU393">
        <v>18730</v>
      </c>
    </row>
    <row r="394" spans="95:99">
      <c r="CQ394" t="s">
        <v>40</v>
      </c>
      <c r="CR394" t="s">
        <v>521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521</v>
      </c>
      <c r="CS395" t="s">
        <v>44</v>
      </c>
      <c r="CT395" t="s">
        <v>548</v>
      </c>
      <c r="CU395">
        <v>3826</v>
      </c>
    </row>
    <row r="396" spans="95:99">
      <c r="CQ396" t="s">
        <v>40</v>
      </c>
      <c r="CR396" t="s">
        <v>521</v>
      </c>
      <c r="CS396" t="s">
        <v>44</v>
      </c>
      <c r="CT396" t="s">
        <v>537</v>
      </c>
      <c r="CU396">
        <v>1118</v>
      </c>
    </row>
    <row r="397" spans="95:99">
      <c r="CQ397" t="s">
        <v>40</v>
      </c>
      <c r="CR397" t="s">
        <v>521</v>
      </c>
      <c r="CS397" t="s">
        <v>44</v>
      </c>
      <c r="CT397" t="s">
        <v>538</v>
      </c>
      <c r="CU397">
        <v>57</v>
      </c>
    </row>
    <row r="398" spans="95:99">
      <c r="CQ398" t="s">
        <v>40</v>
      </c>
      <c r="CR398" t="s">
        <v>521</v>
      </c>
      <c r="CS398" t="s">
        <v>44</v>
      </c>
      <c r="CT398" t="s">
        <v>539</v>
      </c>
      <c r="CU398">
        <v>362</v>
      </c>
    </row>
    <row r="399" spans="95:99">
      <c r="CQ399" t="s">
        <v>40</v>
      </c>
      <c r="CR399" t="s">
        <v>521</v>
      </c>
      <c r="CS399" t="s">
        <v>44</v>
      </c>
      <c r="CT399" t="s">
        <v>540</v>
      </c>
      <c r="CU399">
        <v>79</v>
      </c>
    </row>
    <row r="400" spans="95:99">
      <c r="CQ400" t="s">
        <v>40</v>
      </c>
      <c r="CR400" t="s">
        <v>521</v>
      </c>
      <c r="CS400" t="s">
        <v>44</v>
      </c>
      <c r="CT400" t="s">
        <v>526</v>
      </c>
      <c r="CU400">
        <v>172</v>
      </c>
    </row>
    <row r="401" spans="95:99">
      <c r="CQ401" t="s">
        <v>40</v>
      </c>
      <c r="CR401" t="s">
        <v>521</v>
      </c>
      <c r="CS401" t="s">
        <v>292</v>
      </c>
    </row>
    <row r="402" spans="95:99">
      <c r="CQ402" t="s">
        <v>40</v>
      </c>
      <c r="CR402" t="s">
        <v>521</v>
      </c>
      <c r="CS402" t="s">
        <v>292</v>
      </c>
      <c r="CT402" t="s">
        <v>515</v>
      </c>
      <c r="CU402">
        <v>5873</v>
      </c>
    </row>
    <row r="403" spans="95:99">
      <c r="CQ403" t="s">
        <v>40</v>
      </c>
      <c r="CR403" t="s">
        <v>521</v>
      </c>
      <c r="CS403" t="s">
        <v>292</v>
      </c>
      <c r="CT403" t="s">
        <v>534</v>
      </c>
      <c r="CU403">
        <v>165</v>
      </c>
    </row>
    <row r="404" spans="95:99">
      <c r="CQ404" t="s">
        <v>40</v>
      </c>
      <c r="CR404" t="s">
        <v>521</v>
      </c>
      <c r="CS404" t="s">
        <v>292</v>
      </c>
      <c r="CT404" t="s">
        <v>535</v>
      </c>
      <c r="CU404">
        <v>402</v>
      </c>
    </row>
    <row r="405" spans="95:99">
      <c r="CQ405" t="s">
        <v>40</v>
      </c>
      <c r="CR405" t="s">
        <v>521</v>
      </c>
      <c r="CS405" t="s">
        <v>292</v>
      </c>
      <c r="CT405" t="s">
        <v>536</v>
      </c>
      <c r="CU405">
        <v>2613</v>
      </c>
    </row>
    <row r="406" spans="95:99">
      <c r="CQ406" t="s">
        <v>40</v>
      </c>
      <c r="CR406" t="s">
        <v>521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521</v>
      </c>
      <c r="CS407" t="s">
        <v>292</v>
      </c>
      <c r="CT407" t="s">
        <v>548</v>
      </c>
      <c r="CU407">
        <v>127</v>
      </c>
    </row>
    <row r="408" spans="95:99">
      <c r="CQ408" t="s">
        <v>40</v>
      </c>
      <c r="CR408" t="s">
        <v>521</v>
      </c>
      <c r="CS408" t="s">
        <v>292</v>
      </c>
      <c r="CT408" t="s">
        <v>537</v>
      </c>
      <c r="CU408">
        <v>31</v>
      </c>
    </row>
    <row r="409" spans="95:99">
      <c r="CQ409" t="s">
        <v>40</v>
      </c>
      <c r="CR409" t="s">
        <v>521</v>
      </c>
      <c r="CS409" t="s">
        <v>292</v>
      </c>
      <c r="CT409" t="s">
        <v>538</v>
      </c>
      <c r="CU409">
        <v>26</v>
      </c>
    </row>
    <row r="410" spans="95:99">
      <c r="CQ410" t="s">
        <v>40</v>
      </c>
      <c r="CR410" t="s">
        <v>521</v>
      </c>
      <c r="CS410" t="s">
        <v>292</v>
      </c>
      <c r="CT410" t="s">
        <v>539</v>
      </c>
      <c r="CU410">
        <v>24</v>
      </c>
    </row>
    <row r="411" spans="95:99">
      <c r="CQ411" t="s">
        <v>40</v>
      </c>
      <c r="CR411" t="s">
        <v>521</v>
      </c>
      <c r="CS411" t="s">
        <v>292</v>
      </c>
      <c r="CT411" t="s">
        <v>540</v>
      </c>
      <c r="CU411">
        <v>46</v>
      </c>
    </row>
    <row r="412" spans="95:99">
      <c r="CQ412" t="s">
        <v>40</v>
      </c>
      <c r="CR412" t="s">
        <v>521</v>
      </c>
      <c r="CS412" t="s">
        <v>292</v>
      </c>
      <c r="CT412" t="s">
        <v>526</v>
      </c>
      <c r="CU412">
        <v>43</v>
      </c>
    </row>
    <row r="413" spans="95:99">
      <c r="CQ413" t="s">
        <v>40</v>
      </c>
      <c r="CR413" t="s">
        <v>521</v>
      </c>
      <c r="CS413" t="s">
        <v>292</v>
      </c>
    </row>
    <row r="414" spans="95:99">
      <c r="CQ414" t="s">
        <v>40</v>
      </c>
      <c r="CR414" t="s">
        <v>521</v>
      </c>
      <c r="CS414" t="s">
        <v>292</v>
      </c>
      <c r="CT414" t="s">
        <v>515</v>
      </c>
      <c r="CU414">
        <v>1328</v>
      </c>
    </row>
    <row r="415" spans="95:99">
      <c r="CQ415" t="s">
        <v>40</v>
      </c>
      <c r="CR415" t="s">
        <v>521</v>
      </c>
      <c r="CS415" t="s">
        <v>292</v>
      </c>
      <c r="CT415" t="s">
        <v>534</v>
      </c>
      <c r="CU415">
        <v>79</v>
      </c>
    </row>
    <row r="416" spans="95:99">
      <c r="CQ416" t="s">
        <v>40</v>
      </c>
      <c r="CR416" t="s">
        <v>521</v>
      </c>
      <c r="CS416" t="s">
        <v>292</v>
      </c>
      <c r="CT416" t="s">
        <v>535</v>
      </c>
      <c r="CU416">
        <v>277</v>
      </c>
    </row>
    <row r="417" spans="95:99">
      <c r="CQ417" t="s">
        <v>40</v>
      </c>
      <c r="CR417" t="s">
        <v>521</v>
      </c>
      <c r="CS417" t="s">
        <v>292</v>
      </c>
      <c r="CT417" t="s">
        <v>536</v>
      </c>
      <c r="CU417">
        <v>298</v>
      </c>
    </row>
    <row r="418" spans="95:99">
      <c r="CQ418" t="s">
        <v>40</v>
      </c>
      <c r="CR418" t="s">
        <v>521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521</v>
      </c>
      <c r="CS419" t="s">
        <v>292</v>
      </c>
      <c r="CT419" t="s">
        <v>548</v>
      </c>
      <c r="CU419">
        <v>48</v>
      </c>
    </row>
    <row r="420" spans="95:99">
      <c r="CQ420" t="s">
        <v>40</v>
      </c>
      <c r="CR420" t="s">
        <v>521</v>
      </c>
      <c r="CS420" t="s">
        <v>292</v>
      </c>
      <c r="CT420" t="s">
        <v>537</v>
      </c>
      <c r="CU420">
        <v>17</v>
      </c>
    </row>
    <row r="421" spans="95:99">
      <c r="CQ421" t="s">
        <v>40</v>
      </c>
      <c r="CR421" t="s">
        <v>521</v>
      </c>
      <c r="CS421" t="s">
        <v>292</v>
      </c>
      <c r="CT421" t="s">
        <v>538</v>
      </c>
      <c r="CU421">
        <v>11</v>
      </c>
    </row>
    <row r="422" spans="95:99">
      <c r="CQ422" t="s">
        <v>40</v>
      </c>
      <c r="CR422" t="s">
        <v>521</v>
      </c>
      <c r="CS422" t="s">
        <v>292</v>
      </c>
      <c r="CT422" t="s">
        <v>539</v>
      </c>
      <c r="CU422">
        <v>13</v>
      </c>
    </row>
    <row r="423" spans="95:99">
      <c r="CQ423" t="s">
        <v>40</v>
      </c>
      <c r="CR423" t="s">
        <v>521</v>
      </c>
      <c r="CS423" t="s">
        <v>292</v>
      </c>
      <c r="CT423" t="s">
        <v>540</v>
      </c>
      <c r="CU423">
        <v>16</v>
      </c>
    </row>
    <row r="424" spans="95:99">
      <c r="CQ424" t="s">
        <v>40</v>
      </c>
      <c r="CR424" t="s">
        <v>521</v>
      </c>
      <c r="CS424" t="s">
        <v>292</v>
      </c>
      <c r="CT424" t="s">
        <v>526</v>
      </c>
      <c r="CU424">
        <v>14</v>
      </c>
    </row>
    <row r="425" spans="95:99">
      <c r="CQ425" t="s">
        <v>40</v>
      </c>
      <c r="CR425" t="s">
        <v>521</v>
      </c>
      <c r="CS425" t="s">
        <v>526</v>
      </c>
    </row>
    <row r="426" spans="95:99">
      <c r="CQ426" t="s">
        <v>40</v>
      </c>
      <c r="CR426" t="s">
        <v>521</v>
      </c>
      <c r="CS426" t="s">
        <v>526</v>
      </c>
      <c r="CT426" t="s">
        <v>515</v>
      </c>
      <c r="CU426">
        <v>1121</v>
      </c>
    </row>
    <row r="427" spans="95:99">
      <c r="CQ427" t="s">
        <v>40</v>
      </c>
      <c r="CR427" t="s">
        <v>521</v>
      </c>
      <c r="CS427" t="s">
        <v>526</v>
      </c>
      <c r="CT427" t="s">
        <v>534</v>
      </c>
      <c r="CU427">
        <v>15</v>
      </c>
    </row>
    <row r="428" spans="95:99">
      <c r="CQ428" t="s">
        <v>40</v>
      </c>
      <c r="CR428" t="s">
        <v>521</v>
      </c>
      <c r="CS428" t="s">
        <v>526</v>
      </c>
      <c r="CT428" t="s">
        <v>535</v>
      </c>
      <c r="CU428">
        <v>424</v>
      </c>
    </row>
    <row r="429" spans="95:99">
      <c r="CQ429" t="s">
        <v>40</v>
      </c>
      <c r="CR429" t="s">
        <v>521</v>
      </c>
      <c r="CS429" t="s">
        <v>526</v>
      </c>
      <c r="CT429" t="s">
        <v>536</v>
      </c>
      <c r="CU429">
        <v>357</v>
      </c>
    </row>
    <row r="430" spans="95:99">
      <c r="CQ430" t="s">
        <v>40</v>
      </c>
      <c r="CR430" t="s">
        <v>521</v>
      </c>
      <c r="CS430" t="s">
        <v>526</v>
      </c>
      <c r="CT430" t="s">
        <v>136</v>
      </c>
      <c r="CU430">
        <v>50</v>
      </c>
    </row>
    <row r="431" spans="95:99">
      <c r="CQ431" t="s">
        <v>40</v>
      </c>
      <c r="CR431" t="s">
        <v>521</v>
      </c>
      <c r="CS431" t="s">
        <v>526</v>
      </c>
      <c r="CT431" t="s">
        <v>548</v>
      </c>
      <c r="CU431">
        <v>110</v>
      </c>
    </row>
    <row r="432" spans="95:99">
      <c r="CQ432" t="s">
        <v>40</v>
      </c>
      <c r="CR432" t="s">
        <v>521</v>
      </c>
      <c r="CS432" t="s">
        <v>526</v>
      </c>
      <c r="CT432" t="s">
        <v>537</v>
      </c>
      <c r="CU432">
        <v>101</v>
      </c>
    </row>
    <row r="433" spans="95:99">
      <c r="CQ433" t="s">
        <v>40</v>
      </c>
      <c r="CR433" t="s">
        <v>521</v>
      </c>
      <c r="CS433" t="s">
        <v>526</v>
      </c>
      <c r="CT433" t="s">
        <v>538</v>
      </c>
      <c r="CU433">
        <v>1</v>
      </c>
    </row>
    <row r="434" spans="95:99">
      <c r="CQ434" t="s">
        <v>40</v>
      </c>
      <c r="CR434" t="s">
        <v>521</v>
      </c>
      <c r="CS434" t="s">
        <v>526</v>
      </c>
      <c r="CT434" t="s">
        <v>539</v>
      </c>
      <c r="CU434">
        <v>27</v>
      </c>
    </row>
    <row r="435" spans="95:99">
      <c r="CQ435" t="s">
        <v>40</v>
      </c>
      <c r="CR435" t="s">
        <v>521</v>
      </c>
      <c r="CS435" t="s">
        <v>526</v>
      </c>
      <c r="CT435" t="s">
        <v>540</v>
      </c>
      <c r="CU435">
        <v>8</v>
      </c>
    </row>
    <row r="436" spans="95:99">
      <c r="CQ436" t="s">
        <v>40</v>
      </c>
      <c r="CR436" t="s">
        <v>521</v>
      </c>
      <c r="CS436" t="s">
        <v>526</v>
      </c>
      <c r="CT436" t="s">
        <v>526</v>
      </c>
      <c r="CU436">
        <v>28</v>
      </c>
    </row>
    <row r="437" spans="95:99">
      <c r="CQ437" t="s">
        <v>40</v>
      </c>
      <c r="CR437" t="s">
        <v>522</v>
      </c>
    </row>
    <row r="438" spans="95:99">
      <c r="CQ438" t="s">
        <v>40</v>
      </c>
      <c r="CR438" t="s">
        <v>522</v>
      </c>
      <c r="CS438" t="s">
        <v>515</v>
      </c>
    </row>
    <row r="439" spans="95:99">
      <c r="CQ439" t="s">
        <v>40</v>
      </c>
      <c r="CR439" t="s">
        <v>522</v>
      </c>
      <c r="CS439" t="s">
        <v>40</v>
      </c>
      <c r="CT439" t="s">
        <v>515</v>
      </c>
      <c r="CU439">
        <v>171044</v>
      </c>
    </row>
    <row r="440" spans="95:99">
      <c r="CQ440" t="s">
        <v>40</v>
      </c>
      <c r="CR440" t="s">
        <v>522</v>
      </c>
      <c r="CS440" t="s">
        <v>40</v>
      </c>
      <c r="CT440" t="s">
        <v>534</v>
      </c>
      <c r="CU440">
        <v>1605</v>
      </c>
    </row>
    <row r="441" spans="95:99">
      <c r="CQ441" t="s">
        <v>40</v>
      </c>
      <c r="CR441" t="s">
        <v>522</v>
      </c>
      <c r="CS441" t="s">
        <v>40</v>
      </c>
      <c r="CT441" t="s">
        <v>535</v>
      </c>
      <c r="CU441">
        <v>79276</v>
      </c>
    </row>
    <row r="442" spans="95:99">
      <c r="CQ442" t="s">
        <v>40</v>
      </c>
      <c r="CR442" t="s">
        <v>522</v>
      </c>
      <c r="CS442" t="s">
        <v>40</v>
      </c>
      <c r="CT442" t="s">
        <v>536</v>
      </c>
      <c r="CU442">
        <v>47640</v>
      </c>
    </row>
    <row r="443" spans="95:99">
      <c r="CQ443" t="s">
        <v>40</v>
      </c>
      <c r="CR443" t="s">
        <v>522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522</v>
      </c>
      <c r="CS444" t="s">
        <v>40</v>
      </c>
      <c r="CT444" t="s">
        <v>548</v>
      </c>
      <c r="CU444">
        <v>11935</v>
      </c>
    </row>
    <row r="445" spans="95:99">
      <c r="CQ445" t="s">
        <v>40</v>
      </c>
      <c r="CR445" t="s">
        <v>522</v>
      </c>
      <c r="CS445" t="s">
        <v>40</v>
      </c>
      <c r="CT445" t="s">
        <v>537</v>
      </c>
      <c r="CU445">
        <v>13578</v>
      </c>
    </row>
    <row r="446" spans="95:99">
      <c r="CQ446" t="s">
        <v>40</v>
      </c>
      <c r="CR446" t="s">
        <v>522</v>
      </c>
      <c r="CS446" t="s">
        <v>40</v>
      </c>
      <c r="CT446" t="s">
        <v>538</v>
      </c>
      <c r="CU446">
        <v>1414</v>
      </c>
    </row>
    <row r="447" spans="95:99">
      <c r="CQ447" t="s">
        <v>40</v>
      </c>
      <c r="CR447" t="s">
        <v>522</v>
      </c>
      <c r="CS447" t="s">
        <v>40</v>
      </c>
      <c r="CT447" t="s">
        <v>539</v>
      </c>
      <c r="CU447">
        <v>3748</v>
      </c>
    </row>
    <row r="448" spans="95:99">
      <c r="CQ448" t="s">
        <v>40</v>
      </c>
      <c r="CR448" t="s">
        <v>522</v>
      </c>
      <c r="CS448" t="s">
        <v>40</v>
      </c>
      <c r="CT448" t="s">
        <v>540</v>
      </c>
      <c r="CU448">
        <v>617</v>
      </c>
    </row>
    <row r="449" spans="95:99">
      <c r="CQ449" t="s">
        <v>40</v>
      </c>
      <c r="CR449" t="s">
        <v>522</v>
      </c>
      <c r="CS449" t="s">
        <v>40</v>
      </c>
      <c r="CT449" t="s">
        <v>526</v>
      </c>
      <c r="CU449">
        <v>753</v>
      </c>
    </row>
    <row r="450" spans="95:99">
      <c r="CQ450" t="s">
        <v>40</v>
      </c>
      <c r="CR450" t="s">
        <v>522</v>
      </c>
      <c r="CS450" t="s">
        <v>46</v>
      </c>
    </row>
    <row r="451" spans="95:99">
      <c r="CQ451" t="s">
        <v>40</v>
      </c>
      <c r="CR451" t="s">
        <v>522</v>
      </c>
      <c r="CS451" t="s">
        <v>46</v>
      </c>
      <c r="CT451" t="s">
        <v>515</v>
      </c>
      <c r="CU451">
        <v>86491</v>
      </c>
    </row>
    <row r="452" spans="95:99">
      <c r="CQ452" t="s">
        <v>40</v>
      </c>
      <c r="CR452" t="s">
        <v>522</v>
      </c>
      <c r="CS452" t="s">
        <v>46</v>
      </c>
      <c r="CT452" t="s">
        <v>534</v>
      </c>
      <c r="CU452">
        <v>474</v>
      </c>
    </row>
    <row r="453" spans="95:99">
      <c r="CQ453" t="s">
        <v>40</v>
      </c>
      <c r="CR453" t="s">
        <v>522</v>
      </c>
      <c r="CS453" t="s">
        <v>46</v>
      </c>
      <c r="CT453" t="s">
        <v>535</v>
      </c>
      <c r="CU453">
        <v>54892</v>
      </c>
    </row>
    <row r="454" spans="95:99">
      <c r="CQ454" t="s">
        <v>40</v>
      </c>
      <c r="CR454" t="s">
        <v>522</v>
      </c>
      <c r="CS454" t="s">
        <v>46</v>
      </c>
      <c r="CT454" t="s">
        <v>536</v>
      </c>
      <c r="CU454">
        <v>8821</v>
      </c>
    </row>
    <row r="455" spans="95:99">
      <c r="CQ455" t="s">
        <v>40</v>
      </c>
      <c r="CR455" t="s">
        <v>522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522</v>
      </c>
      <c r="CS456" t="s">
        <v>46</v>
      </c>
      <c r="CT456" t="s">
        <v>548</v>
      </c>
      <c r="CU456">
        <v>5425</v>
      </c>
    </row>
    <row r="457" spans="95:99">
      <c r="CQ457" t="s">
        <v>40</v>
      </c>
      <c r="CR457" t="s">
        <v>522</v>
      </c>
      <c r="CS457" t="s">
        <v>46</v>
      </c>
      <c r="CT457" t="s">
        <v>537</v>
      </c>
      <c r="CU457">
        <v>11032</v>
      </c>
    </row>
    <row r="458" spans="95:99">
      <c r="CQ458" t="s">
        <v>40</v>
      </c>
      <c r="CR458" t="s">
        <v>522</v>
      </c>
      <c r="CS458" t="s">
        <v>46</v>
      </c>
      <c r="CT458" t="s">
        <v>538</v>
      </c>
      <c r="CU458">
        <v>1160</v>
      </c>
    </row>
    <row r="459" spans="95:99">
      <c r="CQ459" t="s">
        <v>40</v>
      </c>
      <c r="CR459" t="s">
        <v>522</v>
      </c>
      <c r="CS459" t="s">
        <v>46</v>
      </c>
      <c r="CT459" t="s">
        <v>539</v>
      </c>
      <c r="CU459">
        <v>2941</v>
      </c>
    </row>
    <row r="460" spans="95:99">
      <c r="CQ460" t="s">
        <v>40</v>
      </c>
      <c r="CR460" t="s">
        <v>522</v>
      </c>
      <c r="CS460" t="s">
        <v>46</v>
      </c>
      <c r="CT460" t="s">
        <v>540</v>
      </c>
      <c r="CU460">
        <v>341</v>
      </c>
    </row>
    <row r="461" spans="95:99">
      <c r="CQ461" t="s">
        <v>40</v>
      </c>
      <c r="CR461" t="s">
        <v>522</v>
      </c>
      <c r="CS461" t="s">
        <v>46</v>
      </c>
      <c r="CT461" t="s">
        <v>526</v>
      </c>
      <c r="CU461">
        <v>356</v>
      </c>
    </row>
    <row r="462" spans="95:99">
      <c r="CQ462" t="s">
        <v>40</v>
      </c>
      <c r="CR462" t="s">
        <v>522</v>
      </c>
      <c r="CS462" t="s">
        <v>44</v>
      </c>
    </row>
    <row r="463" spans="95:99">
      <c r="CQ463" t="s">
        <v>40</v>
      </c>
      <c r="CR463" t="s">
        <v>522</v>
      </c>
      <c r="CS463" t="s">
        <v>44</v>
      </c>
      <c r="CT463" t="s">
        <v>515</v>
      </c>
      <c r="CU463">
        <v>49522</v>
      </c>
    </row>
    <row r="464" spans="95:99">
      <c r="CQ464" t="s">
        <v>40</v>
      </c>
      <c r="CR464" t="s">
        <v>522</v>
      </c>
      <c r="CS464" t="s">
        <v>44</v>
      </c>
      <c r="CT464" t="s">
        <v>534</v>
      </c>
      <c r="CU464">
        <v>361</v>
      </c>
    </row>
    <row r="465" spans="95:99">
      <c r="CQ465" t="s">
        <v>40</v>
      </c>
      <c r="CR465" t="s">
        <v>522</v>
      </c>
      <c r="CS465" t="s">
        <v>44</v>
      </c>
      <c r="CT465" t="s">
        <v>535</v>
      </c>
      <c r="CU465">
        <v>18320</v>
      </c>
    </row>
    <row r="466" spans="95:99">
      <c r="CQ466" t="s">
        <v>40</v>
      </c>
      <c r="CR466" t="s">
        <v>522</v>
      </c>
      <c r="CS466" t="s">
        <v>44</v>
      </c>
      <c r="CT466" t="s">
        <v>536</v>
      </c>
      <c r="CU466">
        <v>22832</v>
      </c>
    </row>
    <row r="467" spans="95:99">
      <c r="CQ467" t="s">
        <v>40</v>
      </c>
      <c r="CR467" t="s">
        <v>522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522</v>
      </c>
      <c r="CS468" t="s">
        <v>44</v>
      </c>
      <c r="CT468" t="s">
        <v>548</v>
      </c>
      <c r="CU468">
        <v>3709</v>
      </c>
    </row>
    <row r="469" spans="95:99">
      <c r="CQ469" t="s">
        <v>40</v>
      </c>
      <c r="CR469" t="s">
        <v>522</v>
      </c>
      <c r="CS469" t="s">
        <v>44</v>
      </c>
      <c r="CT469" t="s">
        <v>537</v>
      </c>
      <c r="CU469">
        <v>1719</v>
      </c>
    </row>
    <row r="470" spans="95:99">
      <c r="CQ470" t="s">
        <v>40</v>
      </c>
      <c r="CR470" t="s">
        <v>522</v>
      </c>
      <c r="CS470" t="s">
        <v>44</v>
      </c>
      <c r="CT470" t="s">
        <v>538</v>
      </c>
      <c r="CU470">
        <v>159</v>
      </c>
    </row>
    <row r="471" spans="95:99">
      <c r="CQ471" t="s">
        <v>40</v>
      </c>
      <c r="CR471" t="s">
        <v>522</v>
      </c>
      <c r="CS471" t="s">
        <v>44</v>
      </c>
      <c r="CT471" t="s">
        <v>539</v>
      </c>
      <c r="CU471">
        <v>532</v>
      </c>
    </row>
    <row r="472" spans="95:99">
      <c r="CQ472" t="s">
        <v>40</v>
      </c>
      <c r="CR472" t="s">
        <v>522</v>
      </c>
      <c r="CS472" t="s">
        <v>44</v>
      </c>
      <c r="CT472" t="s">
        <v>540</v>
      </c>
      <c r="CU472">
        <v>141</v>
      </c>
    </row>
    <row r="473" spans="95:99">
      <c r="CQ473" t="s">
        <v>40</v>
      </c>
      <c r="CR473" t="s">
        <v>522</v>
      </c>
      <c r="CS473" t="s">
        <v>44</v>
      </c>
      <c r="CT473" t="s">
        <v>526</v>
      </c>
      <c r="CU473">
        <v>183</v>
      </c>
    </row>
    <row r="474" spans="95:99">
      <c r="CQ474" t="s">
        <v>40</v>
      </c>
      <c r="CR474" t="s">
        <v>522</v>
      </c>
      <c r="CS474" t="s">
        <v>44</v>
      </c>
    </row>
    <row r="475" spans="95:99">
      <c r="CQ475" t="s">
        <v>40</v>
      </c>
      <c r="CR475" t="s">
        <v>522</v>
      </c>
      <c r="CS475" t="s">
        <v>44</v>
      </c>
      <c r="CT475" t="s">
        <v>515</v>
      </c>
      <c r="CU475">
        <v>23557</v>
      </c>
    </row>
    <row r="476" spans="95:99">
      <c r="CQ476" t="s">
        <v>40</v>
      </c>
      <c r="CR476" t="s">
        <v>522</v>
      </c>
      <c r="CS476" t="s">
        <v>44</v>
      </c>
      <c r="CT476" t="s">
        <v>534</v>
      </c>
      <c r="CU476">
        <v>401</v>
      </c>
    </row>
    <row r="477" spans="95:99">
      <c r="CQ477" t="s">
        <v>40</v>
      </c>
      <c r="CR477" t="s">
        <v>522</v>
      </c>
      <c r="CS477" t="s">
        <v>44</v>
      </c>
      <c r="CT477" t="s">
        <v>535</v>
      </c>
      <c r="CU477">
        <v>5065</v>
      </c>
    </row>
    <row r="478" spans="95:99">
      <c r="CQ478" t="s">
        <v>40</v>
      </c>
      <c r="CR478" t="s">
        <v>522</v>
      </c>
      <c r="CS478" t="s">
        <v>44</v>
      </c>
      <c r="CT478" t="s">
        <v>536</v>
      </c>
      <c r="CU478">
        <v>12785</v>
      </c>
    </row>
    <row r="479" spans="95:99">
      <c r="CQ479" t="s">
        <v>40</v>
      </c>
      <c r="CR479" t="s">
        <v>522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522</v>
      </c>
      <c r="CS480" t="s">
        <v>44</v>
      </c>
      <c r="CT480" t="s">
        <v>548</v>
      </c>
      <c r="CU480">
        <v>2451</v>
      </c>
    </row>
    <row r="481" spans="95:99">
      <c r="CQ481" t="s">
        <v>40</v>
      </c>
      <c r="CR481" t="s">
        <v>522</v>
      </c>
      <c r="CS481" t="s">
        <v>44</v>
      </c>
      <c r="CT481" t="s">
        <v>537</v>
      </c>
      <c r="CU481">
        <v>635</v>
      </c>
    </row>
    <row r="482" spans="95:99">
      <c r="CQ482" t="s">
        <v>40</v>
      </c>
      <c r="CR482" t="s">
        <v>522</v>
      </c>
      <c r="CS482" t="s">
        <v>44</v>
      </c>
      <c r="CT482" t="s">
        <v>538</v>
      </c>
      <c r="CU482">
        <v>37</v>
      </c>
    </row>
    <row r="483" spans="95:99">
      <c r="CQ483" t="s">
        <v>40</v>
      </c>
      <c r="CR483" t="s">
        <v>522</v>
      </c>
      <c r="CS483" t="s">
        <v>44</v>
      </c>
      <c r="CT483" t="s">
        <v>539</v>
      </c>
      <c r="CU483">
        <v>214</v>
      </c>
    </row>
    <row r="484" spans="95:99">
      <c r="CQ484" t="s">
        <v>40</v>
      </c>
      <c r="CR484" t="s">
        <v>522</v>
      </c>
      <c r="CS484" t="s">
        <v>44</v>
      </c>
      <c r="CT484" t="s">
        <v>540</v>
      </c>
      <c r="CU484">
        <v>52</v>
      </c>
    </row>
    <row r="485" spans="95:99">
      <c r="CQ485" t="s">
        <v>40</v>
      </c>
      <c r="CR485" t="s">
        <v>522</v>
      </c>
      <c r="CS485" t="s">
        <v>44</v>
      </c>
      <c r="CT485" t="s">
        <v>526</v>
      </c>
      <c r="CU485">
        <v>107</v>
      </c>
    </row>
    <row r="486" spans="95:99">
      <c r="CQ486" t="s">
        <v>40</v>
      </c>
      <c r="CR486" t="s">
        <v>522</v>
      </c>
      <c r="CS486" t="s">
        <v>292</v>
      </c>
    </row>
    <row r="487" spans="95:99">
      <c r="CQ487" t="s">
        <v>40</v>
      </c>
      <c r="CR487" t="s">
        <v>522</v>
      </c>
      <c r="CS487" t="s">
        <v>292</v>
      </c>
      <c r="CT487" t="s">
        <v>515</v>
      </c>
      <c r="CU487">
        <v>9310</v>
      </c>
    </row>
    <row r="488" spans="95:99">
      <c r="CQ488" t="s">
        <v>40</v>
      </c>
      <c r="CR488" t="s">
        <v>522</v>
      </c>
      <c r="CS488" t="s">
        <v>292</v>
      </c>
      <c r="CT488" t="s">
        <v>534</v>
      </c>
      <c r="CU488">
        <v>301</v>
      </c>
    </row>
    <row r="489" spans="95:99">
      <c r="CQ489" t="s">
        <v>40</v>
      </c>
      <c r="CR489" t="s">
        <v>522</v>
      </c>
      <c r="CS489" t="s">
        <v>292</v>
      </c>
      <c r="CT489" t="s">
        <v>535</v>
      </c>
      <c r="CU489">
        <v>390</v>
      </c>
    </row>
    <row r="490" spans="95:99">
      <c r="CQ490" t="s">
        <v>40</v>
      </c>
      <c r="CR490" t="s">
        <v>522</v>
      </c>
      <c r="CS490" t="s">
        <v>292</v>
      </c>
      <c r="CT490" t="s">
        <v>536</v>
      </c>
      <c r="CU490">
        <v>2691</v>
      </c>
    </row>
    <row r="491" spans="95:99">
      <c r="CQ491" t="s">
        <v>40</v>
      </c>
      <c r="CR491" t="s">
        <v>522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522</v>
      </c>
      <c r="CS492" t="s">
        <v>292</v>
      </c>
      <c r="CT492" t="s">
        <v>548</v>
      </c>
      <c r="CU492">
        <v>166</v>
      </c>
    </row>
    <row r="493" spans="95:99">
      <c r="CQ493" t="s">
        <v>40</v>
      </c>
      <c r="CR493" t="s">
        <v>522</v>
      </c>
      <c r="CS493" t="s">
        <v>292</v>
      </c>
      <c r="CT493" t="s">
        <v>537</v>
      </c>
      <c r="CU493">
        <v>61</v>
      </c>
    </row>
    <row r="494" spans="95:99">
      <c r="CQ494" t="s">
        <v>40</v>
      </c>
      <c r="CR494" t="s">
        <v>522</v>
      </c>
      <c r="CS494" t="s">
        <v>292</v>
      </c>
      <c r="CT494" t="s">
        <v>538</v>
      </c>
      <c r="CU494">
        <v>48</v>
      </c>
    </row>
    <row r="495" spans="95:99">
      <c r="CQ495" t="s">
        <v>40</v>
      </c>
      <c r="CR495" t="s">
        <v>522</v>
      </c>
      <c r="CS495" t="s">
        <v>292</v>
      </c>
      <c r="CT495" t="s">
        <v>539</v>
      </c>
      <c r="CU495">
        <v>32</v>
      </c>
    </row>
    <row r="496" spans="95:99">
      <c r="CQ496" t="s">
        <v>40</v>
      </c>
      <c r="CR496" t="s">
        <v>522</v>
      </c>
      <c r="CS496" t="s">
        <v>292</v>
      </c>
      <c r="CT496" t="s">
        <v>540</v>
      </c>
      <c r="CU496">
        <v>67</v>
      </c>
    </row>
    <row r="497" spans="95:99">
      <c r="CQ497" t="s">
        <v>40</v>
      </c>
      <c r="CR497" t="s">
        <v>522</v>
      </c>
      <c r="CS497" t="s">
        <v>292</v>
      </c>
      <c r="CT497" t="s">
        <v>526</v>
      </c>
      <c r="CU497">
        <v>68</v>
      </c>
    </row>
    <row r="498" spans="95:99">
      <c r="CQ498" t="s">
        <v>40</v>
      </c>
      <c r="CR498" t="s">
        <v>522</v>
      </c>
      <c r="CS498" t="s">
        <v>292</v>
      </c>
    </row>
    <row r="499" spans="95:99">
      <c r="CQ499" t="s">
        <v>40</v>
      </c>
      <c r="CR499" t="s">
        <v>522</v>
      </c>
      <c r="CS499" t="s">
        <v>292</v>
      </c>
      <c r="CT499" t="s">
        <v>515</v>
      </c>
      <c r="CU499">
        <v>1175</v>
      </c>
    </row>
    <row r="500" spans="95:99">
      <c r="CQ500" t="s">
        <v>40</v>
      </c>
      <c r="CR500" t="s">
        <v>522</v>
      </c>
      <c r="CS500" t="s">
        <v>292</v>
      </c>
      <c r="CT500" t="s">
        <v>534</v>
      </c>
      <c r="CU500">
        <v>57</v>
      </c>
    </row>
    <row r="501" spans="95:99">
      <c r="CQ501" t="s">
        <v>40</v>
      </c>
      <c r="CR501" t="s">
        <v>522</v>
      </c>
      <c r="CS501" t="s">
        <v>292</v>
      </c>
      <c r="CT501" t="s">
        <v>535</v>
      </c>
      <c r="CU501">
        <v>282</v>
      </c>
    </row>
    <row r="502" spans="95:99">
      <c r="CQ502" t="s">
        <v>40</v>
      </c>
      <c r="CR502" t="s">
        <v>522</v>
      </c>
      <c r="CS502" t="s">
        <v>292</v>
      </c>
      <c r="CT502" t="s">
        <v>536</v>
      </c>
      <c r="CU502">
        <v>235</v>
      </c>
    </row>
    <row r="503" spans="95:99">
      <c r="CQ503" t="s">
        <v>40</v>
      </c>
      <c r="CR503" t="s">
        <v>522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522</v>
      </c>
      <c r="CS504" t="s">
        <v>292</v>
      </c>
      <c r="CT504" t="s">
        <v>548</v>
      </c>
      <c r="CU504">
        <v>45</v>
      </c>
    </row>
    <row r="505" spans="95:99">
      <c r="CQ505" t="s">
        <v>40</v>
      </c>
      <c r="CR505" t="s">
        <v>522</v>
      </c>
      <c r="CS505" t="s">
        <v>292</v>
      </c>
      <c r="CT505" t="s">
        <v>537</v>
      </c>
      <c r="CU505">
        <v>21</v>
      </c>
    </row>
    <row r="506" spans="95:99">
      <c r="CQ506" t="s">
        <v>40</v>
      </c>
      <c r="CR506" t="s">
        <v>522</v>
      </c>
      <c r="CS506" t="s">
        <v>292</v>
      </c>
      <c r="CT506" t="s">
        <v>538</v>
      </c>
      <c r="CU506">
        <v>8</v>
      </c>
    </row>
    <row r="507" spans="95:99">
      <c r="CQ507" t="s">
        <v>40</v>
      </c>
      <c r="CR507" t="s">
        <v>522</v>
      </c>
      <c r="CS507" t="s">
        <v>292</v>
      </c>
      <c r="CT507" t="s">
        <v>539</v>
      </c>
      <c r="CU507">
        <v>11</v>
      </c>
    </row>
    <row r="508" spans="95:99">
      <c r="CQ508" t="s">
        <v>40</v>
      </c>
      <c r="CR508" t="s">
        <v>522</v>
      </c>
      <c r="CS508" t="s">
        <v>292</v>
      </c>
      <c r="CT508" t="s">
        <v>540</v>
      </c>
      <c r="CU508">
        <v>10</v>
      </c>
    </row>
    <row r="509" spans="95:99">
      <c r="CQ509" t="s">
        <v>40</v>
      </c>
      <c r="CR509" t="s">
        <v>522</v>
      </c>
      <c r="CS509" t="s">
        <v>292</v>
      </c>
      <c r="CT509" t="s">
        <v>526</v>
      </c>
      <c r="CU509">
        <v>8</v>
      </c>
    </row>
    <row r="510" spans="95:99">
      <c r="CQ510" t="s">
        <v>40</v>
      </c>
      <c r="CR510" t="s">
        <v>522</v>
      </c>
      <c r="CS510" t="s">
        <v>526</v>
      </c>
    </row>
    <row r="511" spans="95:99">
      <c r="CQ511" t="s">
        <v>40</v>
      </c>
      <c r="CR511" t="s">
        <v>522</v>
      </c>
      <c r="CS511" t="s">
        <v>526</v>
      </c>
      <c r="CT511" t="s">
        <v>515</v>
      </c>
      <c r="CU511">
        <v>989</v>
      </c>
    </row>
    <row r="512" spans="95:99">
      <c r="CQ512" t="s">
        <v>40</v>
      </c>
      <c r="CR512" t="s">
        <v>522</v>
      </c>
      <c r="CS512" t="s">
        <v>526</v>
      </c>
      <c r="CT512" t="s">
        <v>534</v>
      </c>
      <c r="CU512">
        <v>11</v>
      </c>
    </row>
    <row r="513" spans="95:99">
      <c r="CQ513" t="s">
        <v>40</v>
      </c>
      <c r="CR513" t="s">
        <v>522</v>
      </c>
      <c r="CS513" t="s">
        <v>526</v>
      </c>
      <c r="CT513" t="s">
        <v>535</v>
      </c>
      <c r="CU513">
        <v>327</v>
      </c>
    </row>
    <row r="514" spans="95:99">
      <c r="CQ514" t="s">
        <v>40</v>
      </c>
      <c r="CR514" t="s">
        <v>522</v>
      </c>
      <c r="CS514" t="s">
        <v>526</v>
      </c>
      <c r="CT514" t="s">
        <v>536</v>
      </c>
      <c r="CU514">
        <v>276</v>
      </c>
    </row>
    <row r="515" spans="95:99">
      <c r="CQ515" t="s">
        <v>40</v>
      </c>
      <c r="CR515" t="s">
        <v>522</v>
      </c>
      <c r="CS515" t="s">
        <v>526</v>
      </c>
      <c r="CT515" t="s">
        <v>136</v>
      </c>
      <c r="CU515">
        <v>69</v>
      </c>
    </row>
    <row r="516" spans="95:99">
      <c r="CQ516" t="s">
        <v>40</v>
      </c>
      <c r="CR516" t="s">
        <v>522</v>
      </c>
      <c r="CS516" t="s">
        <v>526</v>
      </c>
      <c r="CT516" t="s">
        <v>548</v>
      </c>
      <c r="CU516">
        <v>139</v>
      </c>
    </row>
    <row r="517" spans="95:99">
      <c r="CQ517" t="s">
        <v>40</v>
      </c>
      <c r="CR517" t="s">
        <v>522</v>
      </c>
      <c r="CS517" t="s">
        <v>526</v>
      </c>
      <c r="CT517" t="s">
        <v>537</v>
      </c>
      <c r="CU517">
        <v>110</v>
      </c>
    </row>
    <row r="518" spans="95:99">
      <c r="CQ518" t="s">
        <v>40</v>
      </c>
      <c r="CR518" t="s">
        <v>522</v>
      </c>
      <c r="CS518" t="s">
        <v>526</v>
      </c>
      <c r="CT518" t="s">
        <v>538</v>
      </c>
      <c r="CU518">
        <v>2</v>
      </c>
    </row>
    <row r="519" spans="95:99">
      <c r="CQ519" t="s">
        <v>40</v>
      </c>
      <c r="CR519" t="s">
        <v>522</v>
      </c>
      <c r="CS519" t="s">
        <v>526</v>
      </c>
      <c r="CT519" t="s">
        <v>539</v>
      </c>
      <c r="CU519">
        <v>18</v>
      </c>
    </row>
    <row r="520" spans="95:99">
      <c r="CQ520" t="s">
        <v>40</v>
      </c>
      <c r="CR520" t="s">
        <v>522</v>
      </c>
      <c r="CS520" t="s">
        <v>526</v>
      </c>
      <c r="CT520" t="s">
        <v>540</v>
      </c>
      <c r="CU520">
        <v>6</v>
      </c>
    </row>
    <row r="521" spans="95:99">
      <c r="CQ521" t="s">
        <v>40</v>
      </c>
      <c r="CR521" t="s">
        <v>522</v>
      </c>
      <c r="CS521" t="s">
        <v>526</v>
      </c>
      <c r="CT521" t="s">
        <v>526</v>
      </c>
      <c r="CU521">
        <v>31</v>
      </c>
    </row>
    <row r="522" spans="95:99">
      <c r="CQ522" t="s">
        <v>40</v>
      </c>
      <c r="CR522" t="s">
        <v>523</v>
      </c>
    </row>
    <row r="523" spans="95:99">
      <c r="CQ523" t="s">
        <v>40</v>
      </c>
      <c r="CR523" t="s">
        <v>523</v>
      </c>
      <c r="CS523" t="s">
        <v>515</v>
      </c>
    </row>
    <row r="524" spans="95:99">
      <c r="CQ524" t="s">
        <v>40</v>
      </c>
      <c r="CR524" t="s">
        <v>523</v>
      </c>
      <c r="CS524" t="s">
        <v>40</v>
      </c>
      <c r="CT524" t="s">
        <v>515</v>
      </c>
      <c r="CU524">
        <v>240811</v>
      </c>
    </row>
    <row r="525" spans="95:99">
      <c r="CQ525" t="s">
        <v>40</v>
      </c>
      <c r="CR525" t="s">
        <v>523</v>
      </c>
      <c r="CS525" t="s">
        <v>40</v>
      </c>
      <c r="CT525" t="s">
        <v>534</v>
      </c>
      <c r="CU525">
        <v>1766</v>
      </c>
    </row>
    <row r="526" spans="95:99">
      <c r="CQ526" t="s">
        <v>40</v>
      </c>
      <c r="CR526" t="s">
        <v>523</v>
      </c>
      <c r="CS526" t="s">
        <v>40</v>
      </c>
      <c r="CT526" t="s">
        <v>535</v>
      </c>
      <c r="CU526">
        <v>102250</v>
      </c>
    </row>
    <row r="527" spans="95:99">
      <c r="CQ527" t="s">
        <v>40</v>
      </c>
      <c r="CR527" t="s">
        <v>523</v>
      </c>
      <c r="CS527" t="s">
        <v>40</v>
      </c>
      <c r="CT527" t="s">
        <v>536</v>
      </c>
      <c r="CU527">
        <v>82895</v>
      </c>
    </row>
    <row r="528" spans="95:99">
      <c r="CQ528" t="s">
        <v>40</v>
      </c>
      <c r="CR528" t="s">
        <v>523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523</v>
      </c>
      <c r="CS529" t="s">
        <v>40</v>
      </c>
      <c r="CT529" t="s">
        <v>548</v>
      </c>
      <c r="CU529">
        <v>11120</v>
      </c>
    </row>
    <row r="530" spans="95:99">
      <c r="CQ530" t="s">
        <v>40</v>
      </c>
      <c r="CR530" t="s">
        <v>523</v>
      </c>
      <c r="CS530" t="s">
        <v>40</v>
      </c>
      <c r="CT530" t="s">
        <v>537</v>
      </c>
      <c r="CU530">
        <v>10850</v>
      </c>
    </row>
    <row r="531" spans="95:99">
      <c r="CQ531" t="s">
        <v>40</v>
      </c>
      <c r="CR531" t="s">
        <v>523</v>
      </c>
      <c r="CS531" t="s">
        <v>40</v>
      </c>
      <c r="CT531" t="s">
        <v>538</v>
      </c>
      <c r="CU531">
        <v>1378</v>
      </c>
    </row>
    <row r="532" spans="95:99">
      <c r="CQ532" t="s">
        <v>40</v>
      </c>
      <c r="CR532" t="s">
        <v>523</v>
      </c>
      <c r="CS532" t="s">
        <v>40</v>
      </c>
      <c r="CT532" t="s">
        <v>539</v>
      </c>
      <c r="CU532">
        <v>3613</v>
      </c>
    </row>
    <row r="533" spans="95:99">
      <c r="CQ533" t="s">
        <v>40</v>
      </c>
      <c r="CR533" t="s">
        <v>523</v>
      </c>
      <c r="CS533" t="s">
        <v>40</v>
      </c>
      <c r="CT533" t="s">
        <v>540</v>
      </c>
      <c r="CU533">
        <v>807</v>
      </c>
    </row>
    <row r="534" spans="95:99">
      <c r="CQ534" t="s">
        <v>40</v>
      </c>
      <c r="CR534" t="s">
        <v>523</v>
      </c>
      <c r="CS534" t="s">
        <v>40</v>
      </c>
      <c r="CT534" t="s">
        <v>526</v>
      </c>
      <c r="CU534">
        <v>1079</v>
      </c>
    </row>
    <row r="535" spans="95:99">
      <c r="CQ535" t="s">
        <v>40</v>
      </c>
      <c r="CR535" t="s">
        <v>523</v>
      </c>
      <c r="CS535" t="s">
        <v>46</v>
      </c>
    </row>
    <row r="536" spans="95:99">
      <c r="CQ536" t="s">
        <v>40</v>
      </c>
      <c r="CR536" t="s">
        <v>523</v>
      </c>
      <c r="CS536" t="s">
        <v>46</v>
      </c>
      <c r="CT536" t="s">
        <v>515</v>
      </c>
      <c r="CU536">
        <v>111455</v>
      </c>
    </row>
    <row r="537" spans="95:99">
      <c r="CQ537" t="s">
        <v>40</v>
      </c>
      <c r="CR537" t="s">
        <v>523</v>
      </c>
      <c r="CS537" t="s">
        <v>46</v>
      </c>
      <c r="CT537" t="s">
        <v>534</v>
      </c>
      <c r="CU537">
        <v>445</v>
      </c>
    </row>
    <row r="538" spans="95:99">
      <c r="CQ538" t="s">
        <v>40</v>
      </c>
      <c r="CR538" t="s">
        <v>523</v>
      </c>
      <c r="CS538" t="s">
        <v>46</v>
      </c>
      <c r="CT538" t="s">
        <v>535</v>
      </c>
      <c r="CU538">
        <v>74134</v>
      </c>
    </row>
    <row r="539" spans="95:99">
      <c r="CQ539" t="s">
        <v>40</v>
      </c>
      <c r="CR539" t="s">
        <v>523</v>
      </c>
      <c r="CS539" t="s">
        <v>46</v>
      </c>
      <c r="CT539" t="s">
        <v>536</v>
      </c>
      <c r="CU539">
        <v>17190</v>
      </c>
    </row>
    <row r="540" spans="95:99">
      <c r="CQ540" t="s">
        <v>40</v>
      </c>
      <c r="CR540" t="s">
        <v>523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523</v>
      </c>
      <c r="CS541" t="s">
        <v>46</v>
      </c>
      <c r="CT541" t="s">
        <v>548</v>
      </c>
      <c r="CU541">
        <v>4583</v>
      </c>
    </row>
    <row r="542" spans="95:99">
      <c r="CQ542" t="s">
        <v>40</v>
      </c>
      <c r="CR542" t="s">
        <v>523</v>
      </c>
      <c r="CS542" t="s">
        <v>46</v>
      </c>
      <c r="CT542" t="s">
        <v>537</v>
      </c>
      <c r="CU542">
        <v>8635</v>
      </c>
    </row>
    <row r="543" spans="95:99">
      <c r="CQ543" t="s">
        <v>40</v>
      </c>
      <c r="CR543" t="s">
        <v>523</v>
      </c>
      <c r="CS543" t="s">
        <v>46</v>
      </c>
      <c r="CT543" t="s">
        <v>538</v>
      </c>
      <c r="CU543">
        <v>969</v>
      </c>
    </row>
    <row r="544" spans="95:99">
      <c r="CQ544" t="s">
        <v>40</v>
      </c>
      <c r="CR544" t="s">
        <v>523</v>
      </c>
      <c r="CS544" t="s">
        <v>46</v>
      </c>
      <c r="CT544" t="s">
        <v>539</v>
      </c>
      <c r="CU544">
        <v>2895</v>
      </c>
    </row>
    <row r="545" spans="95:99">
      <c r="CQ545" t="s">
        <v>40</v>
      </c>
      <c r="CR545" t="s">
        <v>523</v>
      </c>
      <c r="CS545" t="s">
        <v>46</v>
      </c>
      <c r="CT545" t="s">
        <v>540</v>
      </c>
      <c r="CU545">
        <v>428</v>
      </c>
    </row>
    <row r="546" spans="95:99">
      <c r="CQ546" t="s">
        <v>40</v>
      </c>
      <c r="CR546" t="s">
        <v>523</v>
      </c>
      <c r="CS546" t="s">
        <v>46</v>
      </c>
      <c r="CT546" t="s">
        <v>526</v>
      </c>
      <c r="CU546">
        <v>429</v>
      </c>
    </row>
    <row r="547" spans="95:99">
      <c r="CQ547" t="s">
        <v>40</v>
      </c>
      <c r="CR547" t="s">
        <v>523</v>
      </c>
      <c r="CS547" t="s">
        <v>44</v>
      </c>
    </row>
    <row r="548" spans="95:99">
      <c r="CQ548" t="s">
        <v>40</v>
      </c>
      <c r="CR548" t="s">
        <v>523</v>
      </c>
      <c r="CS548" t="s">
        <v>44</v>
      </c>
      <c r="CT548" t="s">
        <v>515</v>
      </c>
      <c r="CU548">
        <v>80437</v>
      </c>
    </row>
    <row r="549" spans="95:99">
      <c r="CQ549" t="s">
        <v>40</v>
      </c>
      <c r="CR549" t="s">
        <v>523</v>
      </c>
      <c r="CS549" t="s">
        <v>44</v>
      </c>
      <c r="CT549" t="s">
        <v>534</v>
      </c>
      <c r="CU549">
        <v>339</v>
      </c>
    </row>
    <row r="550" spans="95:99">
      <c r="CQ550" t="s">
        <v>40</v>
      </c>
      <c r="CR550" t="s">
        <v>523</v>
      </c>
      <c r="CS550" t="s">
        <v>44</v>
      </c>
      <c r="CT550" t="s">
        <v>535</v>
      </c>
      <c r="CU550">
        <v>23596</v>
      </c>
    </row>
    <row r="551" spans="95:99">
      <c r="CQ551" t="s">
        <v>40</v>
      </c>
      <c r="CR551" t="s">
        <v>523</v>
      </c>
      <c r="CS551" t="s">
        <v>44</v>
      </c>
      <c r="CT551" t="s">
        <v>536</v>
      </c>
      <c r="CU551">
        <v>46106</v>
      </c>
    </row>
    <row r="552" spans="95:99">
      <c r="CQ552" t="s">
        <v>40</v>
      </c>
      <c r="CR552" t="s">
        <v>523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523</v>
      </c>
      <c r="CS553" t="s">
        <v>44</v>
      </c>
      <c r="CT553" t="s">
        <v>548</v>
      </c>
      <c r="CU553">
        <v>4671</v>
      </c>
    </row>
    <row r="554" spans="95:99">
      <c r="CQ554" t="s">
        <v>40</v>
      </c>
      <c r="CR554" t="s">
        <v>523</v>
      </c>
      <c r="CS554" t="s">
        <v>44</v>
      </c>
      <c r="CT554" t="s">
        <v>537</v>
      </c>
      <c r="CU554">
        <v>1692</v>
      </c>
    </row>
    <row r="555" spans="95:99">
      <c r="CQ555" t="s">
        <v>40</v>
      </c>
      <c r="CR555" t="s">
        <v>523</v>
      </c>
      <c r="CS555" t="s">
        <v>44</v>
      </c>
      <c r="CT555" t="s">
        <v>538</v>
      </c>
      <c r="CU555">
        <v>237</v>
      </c>
    </row>
    <row r="556" spans="95:99">
      <c r="CQ556" t="s">
        <v>40</v>
      </c>
      <c r="CR556" t="s">
        <v>523</v>
      </c>
      <c r="CS556" t="s">
        <v>44</v>
      </c>
      <c r="CT556" t="s">
        <v>539</v>
      </c>
      <c r="CU556">
        <v>506</v>
      </c>
    </row>
    <row r="557" spans="95:99">
      <c r="CQ557" t="s">
        <v>40</v>
      </c>
      <c r="CR557" t="s">
        <v>523</v>
      </c>
      <c r="CS557" t="s">
        <v>44</v>
      </c>
      <c r="CT557" t="s">
        <v>540</v>
      </c>
      <c r="CU557">
        <v>150</v>
      </c>
    </row>
    <row r="558" spans="95:99">
      <c r="CQ558" t="s">
        <v>40</v>
      </c>
      <c r="CR558" t="s">
        <v>523</v>
      </c>
      <c r="CS558" t="s">
        <v>44</v>
      </c>
      <c r="CT558" t="s">
        <v>526</v>
      </c>
      <c r="CU558">
        <v>299</v>
      </c>
    </row>
    <row r="559" spans="95:99">
      <c r="CQ559" t="s">
        <v>40</v>
      </c>
      <c r="CR559" t="s">
        <v>523</v>
      </c>
      <c r="CS559" t="s">
        <v>44</v>
      </c>
    </row>
    <row r="560" spans="95:99">
      <c r="CQ560" t="s">
        <v>40</v>
      </c>
      <c r="CR560" t="s">
        <v>523</v>
      </c>
      <c r="CS560" t="s">
        <v>44</v>
      </c>
      <c r="CT560" t="s">
        <v>515</v>
      </c>
      <c r="CU560">
        <v>19161</v>
      </c>
    </row>
    <row r="561" spans="95:99">
      <c r="CQ561" t="s">
        <v>40</v>
      </c>
      <c r="CR561" t="s">
        <v>523</v>
      </c>
      <c r="CS561" t="s">
        <v>44</v>
      </c>
      <c r="CT561" t="s">
        <v>534</v>
      </c>
      <c r="CU561">
        <v>216</v>
      </c>
    </row>
    <row r="562" spans="95:99">
      <c r="CQ562" t="s">
        <v>40</v>
      </c>
      <c r="CR562" t="s">
        <v>523</v>
      </c>
      <c r="CS562" t="s">
        <v>44</v>
      </c>
      <c r="CT562" t="s">
        <v>535</v>
      </c>
      <c r="CU562">
        <v>3064</v>
      </c>
    </row>
    <row r="563" spans="95:99">
      <c r="CQ563" t="s">
        <v>40</v>
      </c>
      <c r="CR563" t="s">
        <v>523</v>
      </c>
      <c r="CS563" t="s">
        <v>44</v>
      </c>
      <c r="CT563" t="s">
        <v>536</v>
      </c>
      <c r="CU563">
        <v>11328</v>
      </c>
    </row>
    <row r="564" spans="95:99">
      <c r="CQ564" t="s">
        <v>40</v>
      </c>
      <c r="CR564" t="s">
        <v>523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523</v>
      </c>
      <c r="CS565" t="s">
        <v>44</v>
      </c>
      <c r="CT565" t="s">
        <v>548</v>
      </c>
      <c r="CU565">
        <v>1462</v>
      </c>
    </row>
    <row r="566" spans="95:99">
      <c r="CQ566" t="s">
        <v>40</v>
      </c>
      <c r="CR566" t="s">
        <v>523</v>
      </c>
      <c r="CS566" t="s">
        <v>44</v>
      </c>
      <c r="CT566" t="s">
        <v>537</v>
      </c>
      <c r="CU566">
        <v>374</v>
      </c>
    </row>
    <row r="567" spans="95:99">
      <c r="CQ567" t="s">
        <v>40</v>
      </c>
      <c r="CR567" t="s">
        <v>523</v>
      </c>
      <c r="CS567" t="s">
        <v>44</v>
      </c>
      <c r="CT567" t="s">
        <v>538</v>
      </c>
      <c r="CU567">
        <v>68</v>
      </c>
    </row>
    <row r="568" spans="95:99">
      <c r="CQ568" t="s">
        <v>40</v>
      </c>
      <c r="CR568" t="s">
        <v>523</v>
      </c>
      <c r="CS568" t="s">
        <v>44</v>
      </c>
      <c r="CT568" t="s">
        <v>539</v>
      </c>
      <c r="CU568">
        <v>139</v>
      </c>
    </row>
    <row r="569" spans="95:99">
      <c r="CQ569" t="s">
        <v>40</v>
      </c>
      <c r="CR569" t="s">
        <v>523</v>
      </c>
      <c r="CS569" t="s">
        <v>44</v>
      </c>
      <c r="CT569" t="s">
        <v>540</v>
      </c>
      <c r="CU569">
        <v>55</v>
      </c>
    </row>
    <row r="570" spans="95:99">
      <c r="CQ570" t="s">
        <v>40</v>
      </c>
      <c r="CR570" t="s">
        <v>523</v>
      </c>
      <c r="CS570" t="s">
        <v>44</v>
      </c>
      <c r="CT570" t="s">
        <v>526</v>
      </c>
      <c r="CU570">
        <v>77</v>
      </c>
    </row>
    <row r="571" spans="95:99">
      <c r="CQ571" t="s">
        <v>40</v>
      </c>
      <c r="CR571" t="s">
        <v>523</v>
      </c>
      <c r="CS571" t="s">
        <v>292</v>
      </c>
    </row>
    <row r="572" spans="95:99">
      <c r="CQ572" t="s">
        <v>40</v>
      </c>
      <c r="CR572" t="s">
        <v>523</v>
      </c>
      <c r="CS572" t="s">
        <v>292</v>
      </c>
      <c r="CT572" t="s">
        <v>515</v>
      </c>
      <c r="CU572">
        <v>27108</v>
      </c>
    </row>
    <row r="573" spans="95:99">
      <c r="CQ573" t="s">
        <v>40</v>
      </c>
      <c r="CR573" t="s">
        <v>523</v>
      </c>
      <c r="CS573" t="s">
        <v>292</v>
      </c>
      <c r="CT573" t="s">
        <v>534</v>
      </c>
      <c r="CU573">
        <v>694</v>
      </c>
    </row>
    <row r="574" spans="95:99">
      <c r="CQ574" t="s">
        <v>40</v>
      </c>
      <c r="CR574" t="s">
        <v>523</v>
      </c>
      <c r="CS574" t="s">
        <v>292</v>
      </c>
      <c r="CT574" t="s">
        <v>535</v>
      </c>
      <c r="CU574">
        <v>753</v>
      </c>
    </row>
    <row r="575" spans="95:99">
      <c r="CQ575" t="s">
        <v>40</v>
      </c>
      <c r="CR575" t="s">
        <v>523</v>
      </c>
      <c r="CS575" t="s">
        <v>292</v>
      </c>
      <c r="CT575" t="s">
        <v>536</v>
      </c>
      <c r="CU575">
        <v>7608</v>
      </c>
    </row>
    <row r="576" spans="95:99">
      <c r="CQ576" t="s">
        <v>40</v>
      </c>
      <c r="CR576" t="s">
        <v>523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523</v>
      </c>
      <c r="CS577" t="s">
        <v>292</v>
      </c>
      <c r="CT577" t="s">
        <v>548</v>
      </c>
      <c r="CU577">
        <v>234</v>
      </c>
    </row>
    <row r="578" spans="95:99">
      <c r="CQ578" t="s">
        <v>40</v>
      </c>
      <c r="CR578" t="s">
        <v>523</v>
      </c>
      <c r="CS578" t="s">
        <v>292</v>
      </c>
      <c r="CT578" t="s">
        <v>537</v>
      </c>
      <c r="CU578">
        <v>56</v>
      </c>
    </row>
    <row r="579" spans="95:99">
      <c r="CQ579" t="s">
        <v>40</v>
      </c>
      <c r="CR579" t="s">
        <v>523</v>
      </c>
      <c r="CS579" t="s">
        <v>292</v>
      </c>
      <c r="CT579" t="s">
        <v>538</v>
      </c>
      <c r="CU579">
        <v>87</v>
      </c>
    </row>
    <row r="580" spans="95:99">
      <c r="CQ580" t="s">
        <v>40</v>
      </c>
      <c r="CR580" t="s">
        <v>523</v>
      </c>
      <c r="CS580" t="s">
        <v>292</v>
      </c>
      <c r="CT580" t="s">
        <v>539</v>
      </c>
      <c r="CU580">
        <v>45</v>
      </c>
    </row>
    <row r="581" spans="95:99">
      <c r="CQ581" t="s">
        <v>40</v>
      </c>
      <c r="CR581" t="s">
        <v>523</v>
      </c>
      <c r="CS581" t="s">
        <v>292</v>
      </c>
      <c r="CT581" t="s">
        <v>540</v>
      </c>
      <c r="CU581">
        <v>161</v>
      </c>
    </row>
    <row r="582" spans="95:99">
      <c r="CQ582" t="s">
        <v>40</v>
      </c>
      <c r="CR582" t="s">
        <v>523</v>
      </c>
      <c r="CS582" t="s">
        <v>292</v>
      </c>
      <c r="CT582" t="s">
        <v>526</v>
      </c>
      <c r="CU582">
        <v>220</v>
      </c>
    </row>
    <row r="583" spans="95:99">
      <c r="CQ583" t="s">
        <v>40</v>
      </c>
      <c r="CR583" t="s">
        <v>523</v>
      </c>
      <c r="CS583" t="s">
        <v>292</v>
      </c>
    </row>
    <row r="584" spans="95:99">
      <c r="CQ584" t="s">
        <v>40</v>
      </c>
      <c r="CR584" t="s">
        <v>523</v>
      </c>
      <c r="CS584" t="s">
        <v>292</v>
      </c>
      <c r="CT584" t="s">
        <v>515</v>
      </c>
      <c r="CU584">
        <v>1672</v>
      </c>
    </row>
    <row r="585" spans="95:99">
      <c r="CQ585" t="s">
        <v>40</v>
      </c>
      <c r="CR585" t="s">
        <v>523</v>
      </c>
      <c r="CS585" t="s">
        <v>292</v>
      </c>
      <c r="CT585" t="s">
        <v>534</v>
      </c>
      <c r="CU585">
        <v>66</v>
      </c>
    </row>
    <row r="586" spans="95:99">
      <c r="CQ586" t="s">
        <v>40</v>
      </c>
      <c r="CR586" t="s">
        <v>523</v>
      </c>
      <c r="CS586" t="s">
        <v>292</v>
      </c>
      <c r="CT586" t="s">
        <v>535</v>
      </c>
      <c r="CU586">
        <v>362</v>
      </c>
    </row>
    <row r="587" spans="95:99">
      <c r="CQ587" t="s">
        <v>40</v>
      </c>
      <c r="CR587" t="s">
        <v>523</v>
      </c>
      <c r="CS587" t="s">
        <v>292</v>
      </c>
      <c r="CT587" t="s">
        <v>536</v>
      </c>
      <c r="CU587">
        <v>354</v>
      </c>
    </row>
    <row r="588" spans="95:99">
      <c r="CQ588" t="s">
        <v>40</v>
      </c>
      <c r="CR588" t="s">
        <v>523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523</v>
      </c>
      <c r="CS589" t="s">
        <v>292</v>
      </c>
      <c r="CT589" t="s">
        <v>548</v>
      </c>
      <c r="CU589">
        <v>64</v>
      </c>
    </row>
    <row r="590" spans="95:99">
      <c r="CQ590" t="s">
        <v>40</v>
      </c>
      <c r="CR590" t="s">
        <v>523</v>
      </c>
      <c r="CS590" t="s">
        <v>292</v>
      </c>
      <c r="CT590" t="s">
        <v>537</v>
      </c>
      <c r="CU590">
        <v>21</v>
      </c>
    </row>
    <row r="591" spans="95:99">
      <c r="CQ591" t="s">
        <v>40</v>
      </c>
      <c r="CR591" t="s">
        <v>523</v>
      </c>
      <c r="CS591" t="s">
        <v>292</v>
      </c>
      <c r="CT591" t="s">
        <v>538</v>
      </c>
      <c r="CU591">
        <v>16</v>
      </c>
    </row>
    <row r="592" spans="95:99">
      <c r="CQ592" t="s">
        <v>40</v>
      </c>
      <c r="CR592" t="s">
        <v>523</v>
      </c>
      <c r="CS592" t="s">
        <v>292</v>
      </c>
      <c r="CT592" t="s">
        <v>539</v>
      </c>
      <c r="CU592">
        <v>14</v>
      </c>
    </row>
    <row r="593" spans="95:99">
      <c r="CQ593" t="s">
        <v>40</v>
      </c>
      <c r="CR593" t="s">
        <v>523</v>
      </c>
      <c r="CS593" t="s">
        <v>292</v>
      </c>
      <c r="CT593" t="s">
        <v>540</v>
      </c>
      <c r="CU593">
        <v>7</v>
      </c>
    </row>
    <row r="594" spans="95:99">
      <c r="CQ594" t="s">
        <v>40</v>
      </c>
      <c r="CR594" t="s">
        <v>523</v>
      </c>
      <c r="CS594" t="s">
        <v>292</v>
      </c>
      <c r="CT594" t="s">
        <v>526</v>
      </c>
      <c r="CU594">
        <v>12</v>
      </c>
    </row>
    <row r="595" spans="95:99">
      <c r="CQ595" t="s">
        <v>40</v>
      </c>
      <c r="CR595" t="s">
        <v>523</v>
      </c>
      <c r="CS595" t="s">
        <v>526</v>
      </c>
    </row>
    <row r="596" spans="95:99">
      <c r="CQ596" t="s">
        <v>40</v>
      </c>
      <c r="CR596" t="s">
        <v>523</v>
      </c>
      <c r="CS596" t="s">
        <v>526</v>
      </c>
      <c r="CT596" t="s">
        <v>515</v>
      </c>
      <c r="CU596">
        <v>978</v>
      </c>
    </row>
    <row r="597" spans="95:99">
      <c r="CQ597" t="s">
        <v>40</v>
      </c>
      <c r="CR597" t="s">
        <v>523</v>
      </c>
      <c r="CS597" t="s">
        <v>526</v>
      </c>
      <c r="CT597" t="s">
        <v>534</v>
      </c>
      <c r="CU597">
        <v>6</v>
      </c>
    </row>
    <row r="598" spans="95:99">
      <c r="CQ598" t="s">
        <v>40</v>
      </c>
      <c r="CR598" t="s">
        <v>523</v>
      </c>
      <c r="CS598" t="s">
        <v>526</v>
      </c>
      <c r="CT598" t="s">
        <v>535</v>
      </c>
      <c r="CU598">
        <v>341</v>
      </c>
    </row>
    <row r="599" spans="95:99">
      <c r="CQ599" t="s">
        <v>40</v>
      </c>
      <c r="CR599" t="s">
        <v>523</v>
      </c>
      <c r="CS599" t="s">
        <v>526</v>
      </c>
      <c r="CT599" t="s">
        <v>536</v>
      </c>
      <c r="CU599">
        <v>309</v>
      </c>
    </row>
    <row r="600" spans="95:99">
      <c r="CQ600" t="s">
        <v>40</v>
      </c>
      <c r="CR600" t="s">
        <v>523</v>
      </c>
      <c r="CS600" t="s">
        <v>526</v>
      </c>
      <c r="CT600" t="s">
        <v>136</v>
      </c>
      <c r="CU600">
        <v>81</v>
      </c>
    </row>
    <row r="601" spans="95:99">
      <c r="CQ601" t="s">
        <v>40</v>
      </c>
      <c r="CR601" t="s">
        <v>523</v>
      </c>
      <c r="CS601" t="s">
        <v>526</v>
      </c>
      <c r="CT601" t="s">
        <v>548</v>
      </c>
      <c r="CU601">
        <v>106</v>
      </c>
    </row>
    <row r="602" spans="95:99">
      <c r="CQ602" t="s">
        <v>40</v>
      </c>
      <c r="CR602" t="s">
        <v>523</v>
      </c>
      <c r="CS602" t="s">
        <v>526</v>
      </c>
      <c r="CT602" t="s">
        <v>537</v>
      </c>
      <c r="CU602">
        <v>72</v>
      </c>
    </row>
    <row r="603" spans="95:99">
      <c r="CQ603" t="s">
        <v>40</v>
      </c>
      <c r="CR603" t="s">
        <v>523</v>
      </c>
      <c r="CS603" t="s">
        <v>526</v>
      </c>
      <c r="CT603" t="s">
        <v>538</v>
      </c>
      <c r="CU603">
        <v>1</v>
      </c>
    </row>
    <row r="604" spans="95:99">
      <c r="CQ604" t="s">
        <v>40</v>
      </c>
      <c r="CR604" t="s">
        <v>523</v>
      </c>
      <c r="CS604" t="s">
        <v>526</v>
      </c>
      <c r="CT604" t="s">
        <v>539</v>
      </c>
      <c r="CU604">
        <v>14</v>
      </c>
    </row>
    <row r="605" spans="95:99">
      <c r="CQ605" t="s">
        <v>40</v>
      </c>
      <c r="CR605" t="s">
        <v>523</v>
      </c>
      <c r="CS605" t="s">
        <v>526</v>
      </c>
      <c r="CT605" t="s">
        <v>540</v>
      </c>
      <c r="CU605">
        <v>6</v>
      </c>
    </row>
    <row r="606" spans="95:99">
      <c r="CQ606" t="s">
        <v>40</v>
      </c>
      <c r="CR606" t="s">
        <v>523</v>
      </c>
      <c r="CS606" t="s">
        <v>526</v>
      </c>
      <c r="CT606" t="s">
        <v>526</v>
      </c>
      <c r="CU606">
        <v>42</v>
      </c>
    </row>
    <row r="607" spans="95:99">
      <c r="CQ607" t="s">
        <v>40</v>
      </c>
      <c r="CR607" t="s">
        <v>524</v>
      </c>
    </row>
    <row r="608" spans="95:99">
      <c r="CQ608" t="s">
        <v>40</v>
      </c>
      <c r="CR608" t="s">
        <v>524</v>
      </c>
      <c r="CS608" t="s">
        <v>515</v>
      </c>
    </row>
    <row r="609" spans="95:99">
      <c r="CQ609" t="s">
        <v>40</v>
      </c>
      <c r="CR609" t="s">
        <v>524</v>
      </c>
      <c r="CS609" t="s">
        <v>40</v>
      </c>
      <c r="CT609" t="s">
        <v>515</v>
      </c>
      <c r="CU609">
        <v>431763</v>
      </c>
    </row>
    <row r="610" spans="95:99">
      <c r="CQ610" t="s">
        <v>40</v>
      </c>
      <c r="CR610" t="s">
        <v>524</v>
      </c>
      <c r="CS610" t="s">
        <v>40</v>
      </c>
      <c r="CT610" t="s">
        <v>534</v>
      </c>
      <c r="CU610">
        <v>2385</v>
      </c>
    </row>
    <row r="611" spans="95:99">
      <c r="CQ611" t="s">
        <v>40</v>
      </c>
      <c r="CR611" t="s">
        <v>524</v>
      </c>
      <c r="CS611" t="s">
        <v>40</v>
      </c>
      <c r="CT611" t="s">
        <v>535</v>
      </c>
      <c r="CU611">
        <v>167241</v>
      </c>
    </row>
    <row r="612" spans="95:99">
      <c r="CQ612" t="s">
        <v>40</v>
      </c>
      <c r="CR612" t="s">
        <v>524</v>
      </c>
      <c r="CS612" t="s">
        <v>40</v>
      </c>
      <c r="CT612" t="s">
        <v>536</v>
      </c>
      <c r="CU612">
        <v>167918</v>
      </c>
    </row>
    <row r="613" spans="95:99">
      <c r="CQ613" t="s">
        <v>40</v>
      </c>
      <c r="CR613" t="s">
        <v>524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524</v>
      </c>
      <c r="CS614" t="s">
        <v>40</v>
      </c>
      <c r="CT614" t="s">
        <v>548</v>
      </c>
      <c r="CU614">
        <v>12590</v>
      </c>
    </row>
    <row r="615" spans="95:99">
      <c r="CQ615" t="s">
        <v>40</v>
      </c>
      <c r="CR615" t="s">
        <v>524</v>
      </c>
      <c r="CS615" t="s">
        <v>40</v>
      </c>
      <c r="CT615" t="s">
        <v>537</v>
      </c>
      <c r="CU615">
        <v>14020</v>
      </c>
    </row>
    <row r="616" spans="95:99">
      <c r="CQ616" t="s">
        <v>40</v>
      </c>
      <c r="CR616" t="s">
        <v>524</v>
      </c>
      <c r="CS616" t="s">
        <v>40</v>
      </c>
      <c r="CT616" t="s">
        <v>538</v>
      </c>
      <c r="CU616">
        <v>3543</v>
      </c>
    </row>
    <row r="617" spans="95:99">
      <c r="CQ617" t="s">
        <v>40</v>
      </c>
      <c r="CR617" t="s">
        <v>524</v>
      </c>
      <c r="CS617" t="s">
        <v>40</v>
      </c>
      <c r="CT617" t="s">
        <v>539</v>
      </c>
      <c r="CU617">
        <v>7212</v>
      </c>
    </row>
    <row r="618" spans="95:99">
      <c r="CQ618" t="s">
        <v>40</v>
      </c>
      <c r="CR618" t="s">
        <v>524</v>
      </c>
      <c r="CS618" t="s">
        <v>40</v>
      </c>
      <c r="CT618" t="s">
        <v>540</v>
      </c>
      <c r="CU618">
        <v>5044</v>
      </c>
    </row>
    <row r="619" spans="95:99">
      <c r="CQ619" t="s">
        <v>40</v>
      </c>
      <c r="CR619" t="s">
        <v>524</v>
      </c>
      <c r="CS619" t="s">
        <v>40</v>
      </c>
      <c r="CT619" t="s">
        <v>526</v>
      </c>
      <c r="CU619">
        <v>2229</v>
      </c>
    </row>
    <row r="620" spans="95:99">
      <c r="CQ620" t="s">
        <v>40</v>
      </c>
      <c r="CR620" t="s">
        <v>524</v>
      </c>
      <c r="CS620" t="s">
        <v>46</v>
      </c>
    </row>
    <row r="621" spans="95:99">
      <c r="CQ621" t="s">
        <v>40</v>
      </c>
      <c r="CR621" t="s">
        <v>524</v>
      </c>
      <c r="CS621" t="s">
        <v>46</v>
      </c>
      <c r="CT621" t="s">
        <v>515</v>
      </c>
      <c r="CU621">
        <v>175223</v>
      </c>
    </row>
    <row r="622" spans="95:99">
      <c r="CQ622" t="s">
        <v>40</v>
      </c>
      <c r="CR622" t="s">
        <v>524</v>
      </c>
      <c r="CS622" t="s">
        <v>46</v>
      </c>
      <c r="CT622" t="s">
        <v>534</v>
      </c>
      <c r="CU622">
        <v>644</v>
      </c>
    </row>
    <row r="623" spans="95:99">
      <c r="CQ623" t="s">
        <v>40</v>
      </c>
      <c r="CR623" t="s">
        <v>524</v>
      </c>
      <c r="CS623" t="s">
        <v>46</v>
      </c>
      <c r="CT623" t="s">
        <v>535</v>
      </c>
      <c r="CU623">
        <v>113051</v>
      </c>
    </row>
    <row r="624" spans="95:99">
      <c r="CQ624" t="s">
        <v>40</v>
      </c>
      <c r="CR624" t="s">
        <v>524</v>
      </c>
      <c r="CS624" t="s">
        <v>46</v>
      </c>
      <c r="CT624" t="s">
        <v>536</v>
      </c>
      <c r="CU624">
        <v>26564</v>
      </c>
    </row>
    <row r="625" spans="95:99">
      <c r="CQ625" t="s">
        <v>40</v>
      </c>
      <c r="CR625" t="s">
        <v>524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524</v>
      </c>
      <c r="CS626" t="s">
        <v>46</v>
      </c>
      <c r="CT626" t="s">
        <v>548</v>
      </c>
      <c r="CU626">
        <v>5234</v>
      </c>
    </row>
    <row r="627" spans="95:99">
      <c r="CQ627" t="s">
        <v>40</v>
      </c>
      <c r="CR627" t="s">
        <v>524</v>
      </c>
      <c r="CS627" t="s">
        <v>46</v>
      </c>
      <c r="CT627" t="s">
        <v>537</v>
      </c>
      <c r="CU627">
        <v>11248</v>
      </c>
    </row>
    <row r="628" spans="95:99">
      <c r="CQ628" t="s">
        <v>40</v>
      </c>
      <c r="CR628" t="s">
        <v>524</v>
      </c>
      <c r="CS628" t="s">
        <v>46</v>
      </c>
      <c r="CT628" t="s">
        <v>538</v>
      </c>
      <c r="CU628">
        <v>1668</v>
      </c>
    </row>
    <row r="629" spans="95:99">
      <c r="CQ629" t="s">
        <v>40</v>
      </c>
      <c r="CR629" t="s">
        <v>524</v>
      </c>
      <c r="CS629" t="s">
        <v>46</v>
      </c>
      <c r="CT629" t="s">
        <v>539</v>
      </c>
      <c r="CU629">
        <v>5852</v>
      </c>
    </row>
    <row r="630" spans="95:99">
      <c r="CQ630" t="s">
        <v>40</v>
      </c>
      <c r="CR630" t="s">
        <v>524</v>
      </c>
      <c r="CS630" t="s">
        <v>46</v>
      </c>
      <c r="CT630" t="s">
        <v>540</v>
      </c>
      <c r="CU630">
        <v>3988</v>
      </c>
    </row>
    <row r="631" spans="95:99">
      <c r="CQ631" t="s">
        <v>40</v>
      </c>
      <c r="CR631" t="s">
        <v>524</v>
      </c>
      <c r="CS631" t="s">
        <v>46</v>
      </c>
      <c r="CT631" t="s">
        <v>526</v>
      </c>
      <c r="CU631">
        <v>766</v>
      </c>
    </row>
    <row r="632" spans="95:99">
      <c r="CQ632" t="s">
        <v>40</v>
      </c>
      <c r="CR632" t="s">
        <v>524</v>
      </c>
      <c r="CS632" t="s">
        <v>44</v>
      </c>
    </row>
    <row r="633" spans="95:99">
      <c r="CQ633" t="s">
        <v>40</v>
      </c>
      <c r="CR633" t="s">
        <v>524</v>
      </c>
      <c r="CS633" t="s">
        <v>44</v>
      </c>
      <c r="CT633" t="s">
        <v>515</v>
      </c>
      <c r="CU633">
        <v>115869</v>
      </c>
    </row>
    <row r="634" spans="95:99">
      <c r="CQ634" t="s">
        <v>40</v>
      </c>
      <c r="CR634" t="s">
        <v>524</v>
      </c>
      <c r="CS634" t="s">
        <v>44</v>
      </c>
      <c r="CT634" t="s">
        <v>534</v>
      </c>
      <c r="CU634">
        <v>424</v>
      </c>
    </row>
    <row r="635" spans="95:99">
      <c r="CQ635" t="s">
        <v>40</v>
      </c>
      <c r="CR635" t="s">
        <v>524</v>
      </c>
      <c r="CS635" t="s">
        <v>44</v>
      </c>
      <c r="CT635" t="s">
        <v>535</v>
      </c>
      <c r="CU635">
        <v>42508</v>
      </c>
    </row>
    <row r="636" spans="95:99">
      <c r="CQ636" t="s">
        <v>40</v>
      </c>
      <c r="CR636" t="s">
        <v>524</v>
      </c>
      <c r="CS636" t="s">
        <v>44</v>
      </c>
      <c r="CT636" t="s">
        <v>536</v>
      </c>
      <c r="CU636">
        <v>59123</v>
      </c>
    </row>
    <row r="637" spans="95:99">
      <c r="CQ637" t="s">
        <v>40</v>
      </c>
      <c r="CR637" t="s">
        <v>524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524</v>
      </c>
      <c r="CS638" t="s">
        <v>44</v>
      </c>
      <c r="CT638" t="s">
        <v>548</v>
      </c>
      <c r="CU638">
        <v>5439</v>
      </c>
    </row>
    <row r="639" spans="95:99">
      <c r="CQ639" t="s">
        <v>40</v>
      </c>
      <c r="CR639" t="s">
        <v>524</v>
      </c>
      <c r="CS639" t="s">
        <v>44</v>
      </c>
      <c r="CT639" t="s">
        <v>537</v>
      </c>
      <c r="CU639">
        <v>2160</v>
      </c>
    </row>
    <row r="640" spans="95:99">
      <c r="CQ640" t="s">
        <v>40</v>
      </c>
      <c r="CR640" t="s">
        <v>524</v>
      </c>
      <c r="CS640" t="s">
        <v>44</v>
      </c>
      <c r="CT640" t="s">
        <v>538</v>
      </c>
      <c r="CU640">
        <v>979</v>
      </c>
    </row>
    <row r="641" spans="95:99">
      <c r="CQ641" t="s">
        <v>40</v>
      </c>
      <c r="CR641" t="s">
        <v>524</v>
      </c>
      <c r="CS641" t="s">
        <v>44</v>
      </c>
      <c r="CT641" t="s">
        <v>539</v>
      </c>
      <c r="CU641">
        <v>903</v>
      </c>
    </row>
    <row r="642" spans="95:99">
      <c r="CQ642" t="s">
        <v>40</v>
      </c>
      <c r="CR642" t="s">
        <v>524</v>
      </c>
      <c r="CS642" t="s">
        <v>44</v>
      </c>
      <c r="CT642" t="s">
        <v>540</v>
      </c>
      <c r="CU642">
        <v>327</v>
      </c>
    </row>
    <row r="643" spans="95:99">
      <c r="CQ643" t="s">
        <v>40</v>
      </c>
      <c r="CR643" t="s">
        <v>524</v>
      </c>
      <c r="CS643" t="s">
        <v>44</v>
      </c>
      <c r="CT643" t="s">
        <v>526</v>
      </c>
      <c r="CU643">
        <v>467</v>
      </c>
    </row>
    <row r="644" spans="95:99">
      <c r="CQ644" t="s">
        <v>40</v>
      </c>
      <c r="CR644" t="s">
        <v>524</v>
      </c>
      <c r="CS644" t="s">
        <v>44</v>
      </c>
    </row>
    <row r="645" spans="95:99">
      <c r="CQ645" t="s">
        <v>40</v>
      </c>
      <c r="CR645" t="s">
        <v>524</v>
      </c>
      <c r="CS645" t="s">
        <v>44</v>
      </c>
      <c r="CT645" t="s">
        <v>515</v>
      </c>
      <c r="CU645">
        <v>51682</v>
      </c>
    </row>
    <row r="646" spans="95:99">
      <c r="CQ646" t="s">
        <v>40</v>
      </c>
      <c r="CR646" t="s">
        <v>524</v>
      </c>
      <c r="CS646" t="s">
        <v>44</v>
      </c>
      <c r="CT646" t="s">
        <v>534</v>
      </c>
      <c r="CU646">
        <v>228</v>
      </c>
    </row>
    <row r="647" spans="95:99">
      <c r="CQ647" t="s">
        <v>40</v>
      </c>
      <c r="CR647" t="s">
        <v>524</v>
      </c>
      <c r="CS647" t="s">
        <v>44</v>
      </c>
      <c r="CT647" t="s">
        <v>535</v>
      </c>
      <c r="CU647">
        <v>8894</v>
      </c>
    </row>
    <row r="648" spans="95:99">
      <c r="CQ648" t="s">
        <v>40</v>
      </c>
      <c r="CR648" t="s">
        <v>524</v>
      </c>
      <c r="CS648" t="s">
        <v>44</v>
      </c>
      <c r="CT648" t="s">
        <v>536</v>
      </c>
      <c r="CU648">
        <v>36277</v>
      </c>
    </row>
    <row r="649" spans="95:99">
      <c r="CQ649" t="s">
        <v>40</v>
      </c>
      <c r="CR649" t="s">
        <v>524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524</v>
      </c>
      <c r="CS650" t="s">
        <v>44</v>
      </c>
      <c r="CT650" t="s">
        <v>548</v>
      </c>
      <c r="CU650">
        <v>1542</v>
      </c>
    </row>
    <row r="651" spans="95:99">
      <c r="CQ651" t="s">
        <v>40</v>
      </c>
      <c r="CR651" t="s">
        <v>524</v>
      </c>
      <c r="CS651" t="s">
        <v>44</v>
      </c>
      <c r="CT651" t="s">
        <v>537</v>
      </c>
      <c r="CU651">
        <v>441</v>
      </c>
    </row>
    <row r="652" spans="95:99">
      <c r="CQ652" t="s">
        <v>40</v>
      </c>
      <c r="CR652" t="s">
        <v>524</v>
      </c>
      <c r="CS652" t="s">
        <v>44</v>
      </c>
      <c r="CT652" t="s">
        <v>538</v>
      </c>
      <c r="CU652">
        <v>499</v>
      </c>
    </row>
    <row r="653" spans="95:99">
      <c r="CQ653" t="s">
        <v>40</v>
      </c>
      <c r="CR653" t="s">
        <v>524</v>
      </c>
      <c r="CS653" t="s">
        <v>44</v>
      </c>
      <c r="CT653" t="s">
        <v>539</v>
      </c>
      <c r="CU653">
        <v>257</v>
      </c>
    </row>
    <row r="654" spans="95:99">
      <c r="CQ654" t="s">
        <v>40</v>
      </c>
      <c r="CR654" t="s">
        <v>524</v>
      </c>
      <c r="CS654" t="s">
        <v>44</v>
      </c>
      <c r="CT654" t="s">
        <v>540</v>
      </c>
      <c r="CU654">
        <v>119</v>
      </c>
    </row>
    <row r="655" spans="95:99">
      <c r="CQ655" t="s">
        <v>40</v>
      </c>
      <c r="CR655" t="s">
        <v>524</v>
      </c>
      <c r="CS655" t="s">
        <v>44</v>
      </c>
      <c r="CT655" t="s">
        <v>526</v>
      </c>
      <c r="CU655">
        <v>223</v>
      </c>
    </row>
    <row r="656" spans="95:99">
      <c r="CQ656" t="s">
        <v>40</v>
      </c>
      <c r="CR656" t="s">
        <v>524</v>
      </c>
      <c r="CS656" t="s">
        <v>292</v>
      </c>
    </row>
    <row r="657" spans="95:99">
      <c r="CQ657" t="s">
        <v>40</v>
      </c>
      <c r="CR657" t="s">
        <v>524</v>
      </c>
      <c r="CS657" t="s">
        <v>292</v>
      </c>
      <c r="CT657" t="s">
        <v>515</v>
      </c>
      <c r="CU657">
        <v>84521</v>
      </c>
    </row>
    <row r="658" spans="95:99">
      <c r="CQ658" t="s">
        <v>40</v>
      </c>
      <c r="CR658" t="s">
        <v>524</v>
      </c>
      <c r="CS658" t="s">
        <v>292</v>
      </c>
      <c r="CT658" t="s">
        <v>534</v>
      </c>
      <c r="CU658">
        <v>1015</v>
      </c>
    </row>
    <row r="659" spans="95:99">
      <c r="CQ659" t="s">
        <v>40</v>
      </c>
      <c r="CR659" t="s">
        <v>524</v>
      </c>
      <c r="CS659" t="s">
        <v>292</v>
      </c>
      <c r="CT659" t="s">
        <v>535</v>
      </c>
      <c r="CU659">
        <v>1604</v>
      </c>
    </row>
    <row r="660" spans="95:99">
      <c r="CQ660" t="s">
        <v>40</v>
      </c>
      <c r="CR660" t="s">
        <v>524</v>
      </c>
      <c r="CS660" t="s">
        <v>292</v>
      </c>
      <c r="CT660" t="s">
        <v>536</v>
      </c>
      <c r="CU660">
        <v>44313</v>
      </c>
    </row>
    <row r="661" spans="95:99">
      <c r="CQ661" t="s">
        <v>40</v>
      </c>
      <c r="CR661" t="s">
        <v>524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524</v>
      </c>
      <c r="CS662" t="s">
        <v>292</v>
      </c>
      <c r="CT662" t="s">
        <v>548</v>
      </c>
      <c r="CU662">
        <v>210</v>
      </c>
    </row>
    <row r="663" spans="95:99">
      <c r="CQ663" t="s">
        <v>40</v>
      </c>
      <c r="CR663" t="s">
        <v>524</v>
      </c>
      <c r="CS663" t="s">
        <v>292</v>
      </c>
      <c r="CT663" t="s">
        <v>537</v>
      </c>
      <c r="CU663">
        <v>65</v>
      </c>
    </row>
    <row r="664" spans="95:99">
      <c r="CQ664" t="s">
        <v>40</v>
      </c>
      <c r="CR664" t="s">
        <v>524</v>
      </c>
      <c r="CS664" t="s">
        <v>292</v>
      </c>
      <c r="CT664" t="s">
        <v>538</v>
      </c>
      <c r="CU664">
        <v>364</v>
      </c>
    </row>
    <row r="665" spans="95:99">
      <c r="CQ665" t="s">
        <v>40</v>
      </c>
      <c r="CR665" t="s">
        <v>524</v>
      </c>
      <c r="CS665" t="s">
        <v>292</v>
      </c>
      <c r="CT665" t="s">
        <v>539</v>
      </c>
      <c r="CU665">
        <v>147</v>
      </c>
    </row>
    <row r="666" spans="95:99">
      <c r="CQ666" t="s">
        <v>40</v>
      </c>
      <c r="CR666" t="s">
        <v>524</v>
      </c>
      <c r="CS666" t="s">
        <v>292</v>
      </c>
      <c r="CT666" t="s">
        <v>540</v>
      </c>
      <c r="CU666">
        <v>574</v>
      </c>
    </row>
    <row r="667" spans="95:99">
      <c r="CQ667" t="s">
        <v>40</v>
      </c>
      <c r="CR667" t="s">
        <v>524</v>
      </c>
      <c r="CS667" t="s">
        <v>292</v>
      </c>
      <c r="CT667" t="s">
        <v>526</v>
      </c>
      <c r="CU667">
        <v>692</v>
      </c>
    </row>
    <row r="668" spans="95:99">
      <c r="CQ668" t="s">
        <v>40</v>
      </c>
      <c r="CR668" t="s">
        <v>524</v>
      </c>
      <c r="CS668" t="s">
        <v>292</v>
      </c>
    </row>
    <row r="669" spans="95:99">
      <c r="CQ669" t="s">
        <v>40</v>
      </c>
      <c r="CR669" t="s">
        <v>524</v>
      </c>
      <c r="CS669" t="s">
        <v>292</v>
      </c>
      <c r="CT669" t="s">
        <v>515</v>
      </c>
      <c r="CU669">
        <v>2399</v>
      </c>
    </row>
    <row r="670" spans="95:99">
      <c r="CQ670" t="s">
        <v>40</v>
      </c>
      <c r="CR670" t="s">
        <v>524</v>
      </c>
      <c r="CS670" t="s">
        <v>292</v>
      </c>
      <c r="CT670" t="s">
        <v>534</v>
      </c>
      <c r="CU670">
        <v>53</v>
      </c>
    </row>
    <row r="671" spans="95:99">
      <c r="CQ671" t="s">
        <v>40</v>
      </c>
      <c r="CR671" t="s">
        <v>524</v>
      </c>
      <c r="CS671" t="s">
        <v>292</v>
      </c>
      <c r="CT671" t="s">
        <v>535</v>
      </c>
      <c r="CU671">
        <v>500</v>
      </c>
    </row>
    <row r="672" spans="95:99">
      <c r="CQ672" t="s">
        <v>40</v>
      </c>
      <c r="CR672" t="s">
        <v>524</v>
      </c>
      <c r="CS672" t="s">
        <v>292</v>
      </c>
      <c r="CT672" t="s">
        <v>536</v>
      </c>
      <c r="CU672">
        <v>756</v>
      </c>
    </row>
    <row r="673" spans="95:99">
      <c r="CQ673" t="s">
        <v>40</v>
      </c>
      <c r="CR673" t="s">
        <v>524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524</v>
      </c>
      <c r="CS674" t="s">
        <v>292</v>
      </c>
      <c r="CT674" t="s">
        <v>548</v>
      </c>
      <c r="CU674">
        <v>45</v>
      </c>
    </row>
    <row r="675" spans="95:99">
      <c r="CQ675" t="s">
        <v>40</v>
      </c>
      <c r="CR675" t="s">
        <v>524</v>
      </c>
      <c r="CS675" t="s">
        <v>292</v>
      </c>
      <c r="CT675" t="s">
        <v>537</v>
      </c>
      <c r="CU675">
        <v>26</v>
      </c>
    </row>
    <row r="676" spans="95:99">
      <c r="CQ676" t="s">
        <v>40</v>
      </c>
      <c r="CR676" t="s">
        <v>524</v>
      </c>
      <c r="CS676" t="s">
        <v>292</v>
      </c>
      <c r="CT676" t="s">
        <v>538</v>
      </c>
      <c r="CU676">
        <v>25</v>
      </c>
    </row>
    <row r="677" spans="95:99">
      <c r="CQ677" t="s">
        <v>40</v>
      </c>
      <c r="CR677" t="s">
        <v>524</v>
      </c>
      <c r="CS677" t="s">
        <v>292</v>
      </c>
      <c r="CT677" t="s">
        <v>539</v>
      </c>
      <c r="CU677">
        <v>28</v>
      </c>
    </row>
    <row r="678" spans="95:99">
      <c r="CQ678" t="s">
        <v>40</v>
      </c>
      <c r="CR678" t="s">
        <v>524</v>
      </c>
      <c r="CS678" t="s">
        <v>292</v>
      </c>
      <c r="CT678" t="s">
        <v>540</v>
      </c>
      <c r="CU678">
        <v>20</v>
      </c>
    </row>
    <row r="679" spans="95:99">
      <c r="CQ679" t="s">
        <v>40</v>
      </c>
      <c r="CR679" t="s">
        <v>524</v>
      </c>
      <c r="CS679" t="s">
        <v>292</v>
      </c>
      <c r="CT679" t="s">
        <v>526</v>
      </c>
      <c r="CU679">
        <v>16</v>
      </c>
    </row>
    <row r="680" spans="95:99">
      <c r="CQ680" t="s">
        <v>40</v>
      </c>
      <c r="CR680" t="s">
        <v>524</v>
      </c>
      <c r="CS680" t="s">
        <v>526</v>
      </c>
    </row>
    <row r="681" spans="95:99">
      <c r="CQ681" t="s">
        <v>40</v>
      </c>
      <c r="CR681" t="s">
        <v>524</v>
      </c>
      <c r="CS681" t="s">
        <v>526</v>
      </c>
      <c r="CT681" t="s">
        <v>515</v>
      </c>
      <c r="CU681">
        <v>2069</v>
      </c>
    </row>
    <row r="682" spans="95:99">
      <c r="CQ682" t="s">
        <v>40</v>
      </c>
      <c r="CR682" t="s">
        <v>524</v>
      </c>
      <c r="CS682" t="s">
        <v>526</v>
      </c>
      <c r="CT682" t="s">
        <v>534</v>
      </c>
      <c r="CU682">
        <v>21</v>
      </c>
    </row>
    <row r="683" spans="95:99">
      <c r="CQ683" t="s">
        <v>40</v>
      </c>
      <c r="CR683" t="s">
        <v>524</v>
      </c>
      <c r="CS683" t="s">
        <v>526</v>
      </c>
      <c r="CT683" t="s">
        <v>535</v>
      </c>
      <c r="CU683">
        <v>684</v>
      </c>
    </row>
    <row r="684" spans="95:99">
      <c r="CQ684" t="s">
        <v>40</v>
      </c>
      <c r="CR684" t="s">
        <v>524</v>
      </c>
      <c r="CS684" t="s">
        <v>526</v>
      </c>
      <c r="CT684" t="s">
        <v>536</v>
      </c>
      <c r="CU684">
        <v>885</v>
      </c>
    </row>
    <row r="685" spans="95:99">
      <c r="CQ685" t="s">
        <v>40</v>
      </c>
      <c r="CR685" t="s">
        <v>524</v>
      </c>
      <c r="CS685" t="s">
        <v>526</v>
      </c>
      <c r="CT685" t="s">
        <v>136</v>
      </c>
      <c r="CU685">
        <v>165</v>
      </c>
    </row>
    <row r="686" spans="95:99">
      <c r="CQ686" t="s">
        <v>40</v>
      </c>
      <c r="CR686" t="s">
        <v>524</v>
      </c>
      <c r="CS686" t="s">
        <v>526</v>
      </c>
      <c r="CT686" t="s">
        <v>548</v>
      </c>
      <c r="CU686">
        <v>120</v>
      </c>
    </row>
    <row r="687" spans="95:99">
      <c r="CQ687" t="s">
        <v>40</v>
      </c>
      <c r="CR687" t="s">
        <v>524</v>
      </c>
      <c r="CS687" t="s">
        <v>526</v>
      </c>
      <c r="CT687" t="s">
        <v>537</v>
      </c>
      <c r="CU687">
        <v>80</v>
      </c>
    </row>
    <row r="688" spans="95:99">
      <c r="CQ688" t="s">
        <v>40</v>
      </c>
      <c r="CR688" t="s">
        <v>524</v>
      </c>
      <c r="CS688" t="s">
        <v>526</v>
      </c>
      <c r="CT688" t="s">
        <v>538</v>
      </c>
      <c r="CU688">
        <v>8</v>
      </c>
    </row>
    <row r="689" spans="95:99">
      <c r="CQ689" t="s">
        <v>40</v>
      </c>
      <c r="CR689" t="s">
        <v>524</v>
      </c>
      <c r="CS689" t="s">
        <v>526</v>
      </c>
      <c r="CT689" t="s">
        <v>539</v>
      </c>
      <c r="CU689">
        <v>25</v>
      </c>
    </row>
    <row r="690" spans="95:99">
      <c r="CQ690" t="s">
        <v>40</v>
      </c>
      <c r="CR690" t="s">
        <v>524</v>
      </c>
      <c r="CS690" t="s">
        <v>526</v>
      </c>
      <c r="CT690" t="s">
        <v>540</v>
      </c>
      <c r="CU690">
        <v>16</v>
      </c>
    </row>
    <row r="691" spans="95:99">
      <c r="CQ691" t="s">
        <v>40</v>
      </c>
      <c r="CR691" t="s">
        <v>524</v>
      </c>
      <c r="CS691" t="s">
        <v>526</v>
      </c>
      <c r="CT691" t="s">
        <v>526</v>
      </c>
      <c r="CU691">
        <v>65</v>
      </c>
    </row>
    <row r="692" spans="95:99">
      <c r="CQ692" t="s">
        <v>40</v>
      </c>
      <c r="CR692" t="s">
        <v>525</v>
      </c>
    </row>
    <row r="693" spans="95:99">
      <c r="CQ693" t="s">
        <v>40</v>
      </c>
      <c r="CR693" t="s">
        <v>525</v>
      </c>
      <c r="CS693" t="s">
        <v>515</v>
      </c>
    </row>
    <row r="694" spans="95:99">
      <c r="CQ694" t="s">
        <v>40</v>
      </c>
      <c r="CR694" t="s">
        <v>525</v>
      </c>
      <c r="CS694" t="s">
        <v>40</v>
      </c>
      <c r="CT694" t="s">
        <v>515</v>
      </c>
      <c r="CU694">
        <v>33436</v>
      </c>
    </row>
    <row r="695" spans="95:99">
      <c r="CQ695" t="s">
        <v>40</v>
      </c>
      <c r="CR695" t="s">
        <v>525</v>
      </c>
      <c r="CS695" t="s">
        <v>40</v>
      </c>
      <c r="CT695" t="s">
        <v>534</v>
      </c>
      <c r="CU695">
        <v>258</v>
      </c>
    </row>
    <row r="696" spans="95:99">
      <c r="CQ696" t="s">
        <v>40</v>
      </c>
      <c r="CR696" t="s">
        <v>525</v>
      </c>
      <c r="CS696" t="s">
        <v>40</v>
      </c>
      <c r="CT696" t="s">
        <v>535</v>
      </c>
      <c r="CU696">
        <v>11042</v>
      </c>
    </row>
    <row r="697" spans="95:99">
      <c r="CQ697" t="s">
        <v>40</v>
      </c>
      <c r="CR697" t="s">
        <v>525</v>
      </c>
      <c r="CS697" t="s">
        <v>40</v>
      </c>
      <c r="CT697" t="s">
        <v>536</v>
      </c>
      <c r="CU697">
        <v>11329</v>
      </c>
    </row>
    <row r="698" spans="95:99">
      <c r="CQ698" t="s">
        <v>40</v>
      </c>
      <c r="CR698" t="s">
        <v>525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525</v>
      </c>
      <c r="CS699" t="s">
        <v>40</v>
      </c>
      <c r="CT699" t="s">
        <v>548</v>
      </c>
      <c r="CU699">
        <v>659</v>
      </c>
    </row>
    <row r="700" spans="95:99">
      <c r="CQ700" t="s">
        <v>40</v>
      </c>
      <c r="CR700" t="s">
        <v>525</v>
      </c>
      <c r="CS700" t="s">
        <v>40</v>
      </c>
      <c r="CT700" t="s">
        <v>537</v>
      </c>
      <c r="CU700">
        <v>1431</v>
      </c>
    </row>
    <row r="701" spans="95:99">
      <c r="CQ701" t="s">
        <v>40</v>
      </c>
      <c r="CR701" t="s">
        <v>525</v>
      </c>
      <c r="CS701" t="s">
        <v>40</v>
      </c>
      <c r="CT701" t="s">
        <v>538</v>
      </c>
      <c r="CU701">
        <v>240</v>
      </c>
    </row>
    <row r="702" spans="95:99">
      <c r="CQ702" t="s">
        <v>40</v>
      </c>
      <c r="CR702" t="s">
        <v>525</v>
      </c>
      <c r="CS702" t="s">
        <v>40</v>
      </c>
      <c r="CT702" t="s">
        <v>539</v>
      </c>
      <c r="CU702">
        <v>1082</v>
      </c>
    </row>
    <row r="703" spans="95:99">
      <c r="CQ703" t="s">
        <v>40</v>
      </c>
      <c r="CR703" t="s">
        <v>525</v>
      </c>
      <c r="CS703" t="s">
        <v>40</v>
      </c>
      <c r="CT703" t="s">
        <v>540</v>
      </c>
      <c r="CU703">
        <v>1667</v>
      </c>
    </row>
    <row r="704" spans="95:99">
      <c r="CQ704" t="s">
        <v>40</v>
      </c>
      <c r="CR704" t="s">
        <v>525</v>
      </c>
      <c r="CS704" t="s">
        <v>40</v>
      </c>
      <c r="CT704" t="s">
        <v>526</v>
      </c>
      <c r="CU704">
        <v>320</v>
      </c>
    </row>
    <row r="705" spans="95:99">
      <c r="CQ705" t="s">
        <v>40</v>
      </c>
      <c r="CR705" t="s">
        <v>525</v>
      </c>
      <c r="CS705" t="s">
        <v>46</v>
      </c>
    </row>
    <row r="706" spans="95:99">
      <c r="CQ706" t="s">
        <v>40</v>
      </c>
      <c r="CR706" t="s">
        <v>525</v>
      </c>
      <c r="CS706" t="s">
        <v>46</v>
      </c>
      <c r="CT706" t="s">
        <v>515</v>
      </c>
      <c r="CU706">
        <v>18050</v>
      </c>
    </row>
    <row r="707" spans="95:99">
      <c r="CQ707" t="s">
        <v>40</v>
      </c>
      <c r="CR707" t="s">
        <v>525</v>
      </c>
      <c r="CS707" t="s">
        <v>46</v>
      </c>
      <c r="CT707" t="s">
        <v>534</v>
      </c>
      <c r="CU707">
        <v>149</v>
      </c>
    </row>
    <row r="708" spans="95:99">
      <c r="CQ708" t="s">
        <v>40</v>
      </c>
      <c r="CR708" t="s">
        <v>525</v>
      </c>
      <c r="CS708" t="s">
        <v>46</v>
      </c>
      <c r="CT708" t="s">
        <v>535</v>
      </c>
      <c r="CU708">
        <v>9159</v>
      </c>
    </row>
    <row r="709" spans="95:99">
      <c r="CQ709" t="s">
        <v>40</v>
      </c>
      <c r="CR709" t="s">
        <v>525</v>
      </c>
      <c r="CS709" t="s">
        <v>46</v>
      </c>
      <c r="CT709" t="s">
        <v>536</v>
      </c>
      <c r="CU709">
        <v>2065</v>
      </c>
    </row>
    <row r="710" spans="95:99">
      <c r="CQ710" t="s">
        <v>40</v>
      </c>
      <c r="CR710" t="s">
        <v>525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525</v>
      </c>
      <c r="CS711" t="s">
        <v>46</v>
      </c>
      <c r="CT711" t="s">
        <v>548</v>
      </c>
      <c r="CU711">
        <v>438</v>
      </c>
    </row>
    <row r="712" spans="95:99">
      <c r="CQ712" t="s">
        <v>40</v>
      </c>
      <c r="CR712" t="s">
        <v>525</v>
      </c>
      <c r="CS712" t="s">
        <v>46</v>
      </c>
      <c r="CT712" t="s">
        <v>537</v>
      </c>
      <c r="CU712">
        <v>1332</v>
      </c>
    </row>
    <row r="713" spans="95:99">
      <c r="CQ713" t="s">
        <v>40</v>
      </c>
      <c r="CR713" t="s">
        <v>525</v>
      </c>
      <c r="CS713" t="s">
        <v>46</v>
      </c>
      <c r="CT713" t="s">
        <v>538</v>
      </c>
      <c r="CU713">
        <v>151</v>
      </c>
    </row>
    <row r="714" spans="95:99">
      <c r="CQ714" t="s">
        <v>40</v>
      </c>
      <c r="CR714" t="s">
        <v>525</v>
      </c>
      <c r="CS714" t="s">
        <v>46</v>
      </c>
      <c r="CT714" t="s">
        <v>539</v>
      </c>
      <c r="CU714">
        <v>964</v>
      </c>
    </row>
    <row r="715" spans="95:99">
      <c r="CQ715" t="s">
        <v>40</v>
      </c>
      <c r="CR715" t="s">
        <v>525</v>
      </c>
      <c r="CS715" t="s">
        <v>46</v>
      </c>
      <c r="CT715" t="s">
        <v>540</v>
      </c>
      <c r="CU715">
        <v>1361</v>
      </c>
    </row>
    <row r="716" spans="95:99">
      <c r="CQ716" t="s">
        <v>40</v>
      </c>
      <c r="CR716" t="s">
        <v>525</v>
      </c>
      <c r="CS716" t="s">
        <v>46</v>
      </c>
      <c r="CT716" t="s">
        <v>526</v>
      </c>
      <c r="CU716">
        <v>133</v>
      </c>
    </row>
    <row r="717" spans="95:99">
      <c r="CQ717" t="s">
        <v>40</v>
      </c>
      <c r="CR717" t="s">
        <v>525</v>
      </c>
      <c r="CS717" t="s">
        <v>44</v>
      </c>
    </row>
    <row r="718" spans="95:99">
      <c r="CQ718" t="s">
        <v>40</v>
      </c>
      <c r="CR718" t="s">
        <v>525</v>
      </c>
      <c r="CS718" t="s">
        <v>44</v>
      </c>
      <c r="CT718" t="s">
        <v>515</v>
      </c>
      <c r="CU718">
        <v>5900</v>
      </c>
    </row>
    <row r="719" spans="95:99">
      <c r="CQ719" t="s">
        <v>40</v>
      </c>
      <c r="CR719" t="s">
        <v>525</v>
      </c>
      <c r="CS719" t="s">
        <v>44</v>
      </c>
      <c r="CT719" t="s">
        <v>534</v>
      </c>
      <c r="CU719">
        <v>20</v>
      </c>
    </row>
    <row r="720" spans="95:99">
      <c r="CQ720" t="s">
        <v>40</v>
      </c>
      <c r="CR720" t="s">
        <v>525</v>
      </c>
      <c r="CS720" t="s">
        <v>44</v>
      </c>
      <c r="CT720" t="s">
        <v>535</v>
      </c>
      <c r="CU720">
        <v>1202</v>
      </c>
    </row>
    <row r="721" spans="95:99">
      <c r="CQ721" t="s">
        <v>40</v>
      </c>
      <c r="CR721" t="s">
        <v>525</v>
      </c>
      <c r="CS721" t="s">
        <v>44</v>
      </c>
      <c r="CT721" t="s">
        <v>536</v>
      </c>
      <c r="CU721">
        <v>3582</v>
      </c>
    </row>
    <row r="722" spans="95:99">
      <c r="CQ722" t="s">
        <v>40</v>
      </c>
      <c r="CR722" t="s">
        <v>525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525</v>
      </c>
      <c r="CS723" t="s">
        <v>44</v>
      </c>
      <c r="CT723" t="s">
        <v>548</v>
      </c>
      <c r="CU723">
        <v>148</v>
      </c>
    </row>
    <row r="724" spans="95:99">
      <c r="CQ724" t="s">
        <v>40</v>
      </c>
      <c r="CR724" t="s">
        <v>525</v>
      </c>
      <c r="CS724" t="s">
        <v>44</v>
      </c>
      <c r="CT724" t="s">
        <v>537</v>
      </c>
      <c r="CU724">
        <v>63</v>
      </c>
    </row>
    <row r="725" spans="95:99">
      <c r="CQ725" t="s">
        <v>40</v>
      </c>
      <c r="CR725" t="s">
        <v>525</v>
      </c>
      <c r="CS725" t="s">
        <v>44</v>
      </c>
      <c r="CT725" t="s">
        <v>538</v>
      </c>
      <c r="CU725">
        <v>28</v>
      </c>
    </row>
    <row r="726" spans="95:99">
      <c r="CQ726" t="s">
        <v>40</v>
      </c>
      <c r="CR726" t="s">
        <v>525</v>
      </c>
      <c r="CS726" t="s">
        <v>44</v>
      </c>
      <c r="CT726" t="s">
        <v>539</v>
      </c>
      <c r="CU726">
        <v>44</v>
      </c>
    </row>
    <row r="727" spans="95:99">
      <c r="CQ727" t="s">
        <v>40</v>
      </c>
      <c r="CR727" t="s">
        <v>525</v>
      </c>
      <c r="CS727" t="s">
        <v>44</v>
      </c>
      <c r="CT727" t="s">
        <v>540</v>
      </c>
      <c r="CU727">
        <v>134</v>
      </c>
    </row>
    <row r="728" spans="95:99">
      <c r="CQ728" t="s">
        <v>40</v>
      </c>
      <c r="CR728" t="s">
        <v>525</v>
      </c>
      <c r="CS728" t="s">
        <v>44</v>
      </c>
      <c r="CT728" t="s">
        <v>526</v>
      </c>
      <c r="CU728">
        <v>46</v>
      </c>
    </row>
    <row r="729" spans="95:99">
      <c r="CQ729" t="s">
        <v>40</v>
      </c>
      <c r="CR729" t="s">
        <v>525</v>
      </c>
      <c r="CS729" t="s">
        <v>44</v>
      </c>
    </row>
    <row r="730" spans="95:99">
      <c r="CQ730" t="s">
        <v>40</v>
      </c>
      <c r="CR730" t="s">
        <v>525</v>
      </c>
      <c r="CS730" t="s">
        <v>44</v>
      </c>
      <c r="CT730" t="s">
        <v>515</v>
      </c>
      <c r="CU730">
        <v>3127</v>
      </c>
    </row>
    <row r="731" spans="95:99">
      <c r="CQ731" t="s">
        <v>40</v>
      </c>
      <c r="CR731" t="s">
        <v>525</v>
      </c>
      <c r="CS731" t="s">
        <v>44</v>
      </c>
      <c r="CT731" t="s">
        <v>534</v>
      </c>
      <c r="CU731">
        <v>13</v>
      </c>
    </row>
    <row r="732" spans="95:99">
      <c r="CQ732" t="s">
        <v>40</v>
      </c>
      <c r="CR732" t="s">
        <v>525</v>
      </c>
      <c r="CS732" t="s">
        <v>44</v>
      </c>
      <c r="CT732" t="s">
        <v>535</v>
      </c>
      <c r="CU732">
        <v>363</v>
      </c>
    </row>
    <row r="733" spans="95:99">
      <c r="CQ733" t="s">
        <v>40</v>
      </c>
      <c r="CR733" t="s">
        <v>525</v>
      </c>
      <c r="CS733" t="s">
        <v>44</v>
      </c>
      <c r="CT733" t="s">
        <v>536</v>
      </c>
      <c r="CU733">
        <v>2280</v>
      </c>
    </row>
    <row r="734" spans="95:99">
      <c r="CQ734" t="s">
        <v>40</v>
      </c>
      <c r="CR734" t="s">
        <v>525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525</v>
      </c>
      <c r="CS735" t="s">
        <v>44</v>
      </c>
      <c r="CT735" t="s">
        <v>548</v>
      </c>
      <c r="CU735">
        <v>50</v>
      </c>
    </row>
    <row r="736" spans="95:99">
      <c r="CQ736" t="s">
        <v>40</v>
      </c>
      <c r="CR736" t="s">
        <v>525</v>
      </c>
      <c r="CS736" t="s">
        <v>44</v>
      </c>
      <c r="CT736" t="s">
        <v>537</v>
      </c>
      <c r="CU736">
        <v>12</v>
      </c>
    </row>
    <row r="737" spans="95:99">
      <c r="CQ737" t="s">
        <v>40</v>
      </c>
      <c r="CR737" t="s">
        <v>525</v>
      </c>
      <c r="CS737" t="s">
        <v>44</v>
      </c>
      <c r="CT737" t="s">
        <v>538</v>
      </c>
      <c r="CU737">
        <v>25</v>
      </c>
    </row>
    <row r="738" spans="95:99">
      <c r="CQ738" t="s">
        <v>40</v>
      </c>
      <c r="CR738" t="s">
        <v>525</v>
      </c>
      <c r="CS738" t="s">
        <v>44</v>
      </c>
      <c r="CT738" t="s">
        <v>539</v>
      </c>
      <c r="CU738">
        <v>36</v>
      </c>
    </row>
    <row r="739" spans="95:99">
      <c r="CQ739" t="s">
        <v>40</v>
      </c>
      <c r="CR739" t="s">
        <v>525</v>
      </c>
      <c r="CS739" t="s">
        <v>44</v>
      </c>
      <c r="CT739" t="s">
        <v>540</v>
      </c>
      <c r="CU739">
        <v>51</v>
      </c>
    </row>
    <row r="740" spans="95:99">
      <c r="CQ740" t="s">
        <v>40</v>
      </c>
      <c r="CR740" t="s">
        <v>525</v>
      </c>
      <c r="CS740" t="s">
        <v>44</v>
      </c>
      <c r="CT740" t="s">
        <v>526</v>
      </c>
      <c r="CU740">
        <v>23</v>
      </c>
    </row>
    <row r="741" spans="95:99">
      <c r="CQ741" t="s">
        <v>40</v>
      </c>
      <c r="CR741" t="s">
        <v>525</v>
      </c>
      <c r="CS741" t="s">
        <v>292</v>
      </c>
    </row>
    <row r="742" spans="95:99">
      <c r="CQ742" t="s">
        <v>40</v>
      </c>
      <c r="CR742" t="s">
        <v>525</v>
      </c>
      <c r="CS742" t="s">
        <v>292</v>
      </c>
      <c r="CT742" t="s">
        <v>515</v>
      </c>
      <c r="CU742">
        <v>5717</v>
      </c>
    </row>
    <row r="743" spans="95:99">
      <c r="CQ743" t="s">
        <v>40</v>
      </c>
      <c r="CR743" t="s">
        <v>525</v>
      </c>
      <c r="CS743" t="s">
        <v>292</v>
      </c>
      <c r="CT743" t="s">
        <v>534</v>
      </c>
      <c r="CU743">
        <v>58</v>
      </c>
    </row>
    <row r="744" spans="95:99">
      <c r="CQ744" t="s">
        <v>40</v>
      </c>
      <c r="CR744" t="s">
        <v>525</v>
      </c>
      <c r="CS744" t="s">
        <v>292</v>
      </c>
      <c r="CT744" t="s">
        <v>535</v>
      </c>
      <c r="CU744">
        <v>171</v>
      </c>
    </row>
    <row r="745" spans="95:99">
      <c r="CQ745" t="s">
        <v>40</v>
      </c>
      <c r="CR745" t="s">
        <v>525</v>
      </c>
      <c r="CS745" t="s">
        <v>292</v>
      </c>
      <c r="CT745" t="s">
        <v>536</v>
      </c>
      <c r="CU745">
        <v>3201</v>
      </c>
    </row>
    <row r="746" spans="95:99">
      <c r="CQ746" t="s">
        <v>40</v>
      </c>
      <c r="CR746" t="s">
        <v>525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525</v>
      </c>
      <c r="CS747" t="s">
        <v>292</v>
      </c>
      <c r="CT747" t="s">
        <v>548</v>
      </c>
      <c r="CU747">
        <v>11</v>
      </c>
    </row>
    <row r="748" spans="95:99">
      <c r="CQ748" t="s">
        <v>40</v>
      </c>
      <c r="CR748" t="s">
        <v>525</v>
      </c>
      <c r="CS748" t="s">
        <v>292</v>
      </c>
      <c r="CT748" t="s">
        <v>537</v>
      </c>
      <c r="CU748">
        <v>9</v>
      </c>
    </row>
    <row r="749" spans="95:99">
      <c r="CQ749" t="s">
        <v>40</v>
      </c>
      <c r="CR749" t="s">
        <v>525</v>
      </c>
      <c r="CS749" t="s">
        <v>292</v>
      </c>
      <c r="CT749" t="s">
        <v>538</v>
      </c>
      <c r="CU749">
        <v>33</v>
      </c>
    </row>
    <row r="750" spans="95:99">
      <c r="CQ750" t="s">
        <v>40</v>
      </c>
      <c r="CR750" t="s">
        <v>525</v>
      </c>
      <c r="CS750" t="s">
        <v>292</v>
      </c>
      <c r="CT750" t="s">
        <v>539</v>
      </c>
      <c r="CU750">
        <v>26</v>
      </c>
    </row>
    <row r="751" spans="95:99">
      <c r="CQ751" t="s">
        <v>40</v>
      </c>
      <c r="CR751" t="s">
        <v>525</v>
      </c>
      <c r="CS751" t="s">
        <v>292</v>
      </c>
      <c r="CT751" t="s">
        <v>540</v>
      </c>
      <c r="CU751">
        <v>110</v>
      </c>
    </row>
    <row r="752" spans="95:99">
      <c r="CQ752" t="s">
        <v>40</v>
      </c>
      <c r="CR752" t="s">
        <v>525</v>
      </c>
      <c r="CS752" t="s">
        <v>292</v>
      </c>
      <c r="CT752" t="s">
        <v>526</v>
      </c>
      <c r="CU752">
        <v>93</v>
      </c>
    </row>
    <row r="753" spans="95:99">
      <c r="CQ753" t="s">
        <v>40</v>
      </c>
      <c r="CR753" t="s">
        <v>525</v>
      </c>
      <c r="CS753" t="s">
        <v>292</v>
      </c>
    </row>
    <row r="754" spans="95:99">
      <c r="CQ754" t="s">
        <v>40</v>
      </c>
      <c r="CR754" t="s">
        <v>525</v>
      </c>
      <c r="CS754" t="s">
        <v>292</v>
      </c>
      <c r="CT754" t="s">
        <v>515</v>
      </c>
      <c r="CU754">
        <v>407</v>
      </c>
    </row>
    <row r="755" spans="95:99">
      <c r="CQ755" t="s">
        <v>40</v>
      </c>
      <c r="CR755" t="s">
        <v>525</v>
      </c>
      <c r="CS755" t="s">
        <v>292</v>
      </c>
      <c r="CT755" t="s">
        <v>534</v>
      </c>
      <c r="CU755">
        <v>15</v>
      </c>
    </row>
    <row r="756" spans="95:99">
      <c r="CQ756" t="s">
        <v>40</v>
      </c>
      <c r="CR756" t="s">
        <v>525</v>
      </c>
      <c r="CS756" t="s">
        <v>292</v>
      </c>
      <c r="CT756" t="s">
        <v>535</v>
      </c>
      <c r="CU756">
        <v>86</v>
      </c>
    </row>
    <row r="757" spans="95:99">
      <c r="CQ757" t="s">
        <v>40</v>
      </c>
      <c r="CR757" t="s">
        <v>525</v>
      </c>
      <c r="CS757" t="s">
        <v>292</v>
      </c>
      <c r="CT757" t="s">
        <v>536</v>
      </c>
      <c r="CU757">
        <v>109</v>
      </c>
    </row>
    <row r="758" spans="95:99">
      <c r="CQ758" t="s">
        <v>40</v>
      </c>
      <c r="CR758" t="s">
        <v>525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525</v>
      </c>
      <c r="CS759" t="s">
        <v>292</v>
      </c>
      <c r="CT759" t="s">
        <v>548</v>
      </c>
      <c r="CU759">
        <v>8</v>
      </c>
    </row>
    <row r="760" spans="95:99">
      <c r="CQ760" t="s">
        <v>40</v>
      </c>
      <c r="CR760" t="s">
        <v>525</v>
      </c>
      <c r="CS760" t="s">
        <v>292</v>
      </c>
      <c r="CT760" t="s">
        <v>537</v>
      </c>
      <c r="CU760">
        <v>8</v>
      </c>
    </row>
    <row r="761" spans="95:99">
      <c r="CQ761" t="s">
        <v>40</v>
      </c>
      <c r="CR761" t="s">
        <v>525</v>
      </c>
      <c r="CS761" t="s">
        <v>292</v>
      </c>
      <c r="CT761" t="s">
        <v>538</v>
      </c>
      <c r="CU761">
        <v>3</v>
      </c>
    </row>
    <row r="762" spans="95:99">
      <c r="CQ762" t="s">
        <v>40</v>
      </c>
      <c r="CR762" t="s">
        <v>525</v>
      </c>
      <c r="CS762" t="s">
        <v>292</v>
      </c>
      <c r="CT762" t="s">
        <v>539</v>
      </c>
      <c r="CU762">
        <v>7</v>
      </c>
    </row>
    <row r="763" spans="95:99">
      <c r="CQ763" t="s">
        <v>40</v>
      </c>
      <c r="CR763" t="s">
        <v>525</v>
      </c>
      <c r="CS763" t="s">
        <v>292</v>
      </c>
      <c r="CT763" t="s">
        <v>540</v>
      </c>
      <c r="CU763">
        <v>7</v>
      </c>
    </row>
    <row r="764" spans="95:99">
      <c r="CQ764" t="s">
        <v>40</v>
      </c>
      <c r="CR764" t="s">
        <v>525</v>
      </c>
      <c r="CS764" t="s">
        <v>292</v>
      </c>
      <c r="CT764" t="s">
        <v>526</v>
      </c>
      <c r="CU764">
        <v>2</v>
      </c>
    </row>
    <row r="765" spans="95:99">
      <c r="CQ765" t="s">
        <v>40</v>
      </c>
      <c r="CR765" t="s">
        <v>525</v>
      </c>
      <c r="CS765" t="s">
        <v>526</v>
      </c>
    </row>
    <row r="766" spans="95:99">
      <c r="CQ766" t="s">
        <v>40</v>
      </c>
      <c r="CR766" t="s">
        <v>525</v>
      </c>
      <c r="CS766" t="s">
        <v>526</v>
      </c>
      <c r="CT766" t="s">
        <v>515</v>
      </c>
      <c r="CU766">
        <v>235</v>
      </c>
    </row>
    <row r="767" spans="95:99">
      <c r="CQ767" t="s">
        <v>40</v>
      </c>
      <c r="CR767" t="s">
        <v>525</v>
      </c>
      <c r="CS767" t="s">
        <v>526</v>
      </c>
      <c r="CT767" t="s">
        <v>534</v>
      </c>
      <c r="CU767">
        <v>3</v>
      </c>
    </row>
    <row r="768" spans="95:99">
      <c r="CQ768" t="s">
        <v>40</v>
      </c>
      <c r="CR768" t="s">
        <v>525</v>
      </c>
      <c r="CS768" t="s">
        <v>526</v>
      </c>
      <c r="CT768" t="s">
        <v>535</v>
      </c>
      <c r="CU768">
        <v>61</v>
      </c>
    </row>
    <row r="769" spans="95:99">
      <c r="CQ769" t="s">
        <v>40</v>
      </c>
      <c r="CR769" t="s">
        <v>525</v>
      </c>
      <c r="CS769" t="s">
        <v>526</v>
      </c>
      <c r="CT769" t="s">
        <v>536</v>
      </c>
      <c r="CU769">
        <v>92</v>
      </c>
    </row>
    <row r="770" spans="95:99">
      <c r="CQ770" t="s">
        <v>40</v>
      </c>
      <c r="CR770" t="s">
        <v>525</v>
      </c>
      <c r="CS770" t="s">
        <v>526</v>
      </c>
      <c r="CT770" t="s">
        <v>136</v>
      </c>
      <c r="CU770">
        <v>36</v>
      </c>
    </row>
    <row r="771" spans="95:99">
      <c r="CQ771" t="s">
        <v>40</v>
      </c>
      <c r="CR771" t="s">
        <v>525</v>
      </c>
      <c r="CS771" t="s">
        <v>526</v>
      </c>
      <c r="CT771" t="s">
        <v>548</v>
      </c>
      <c r="CU771">
        <v>4</v>
      </c>
    </row>
    <row r="772" spans="95:99">
      <c r="CQ772" t="s">
        <v>40</v>
      </c>
      <c r="CR772" t="s">
        <v>525</v>
      </c>
      <c r="CS772" t="s">
        <v>526</v>
      </c>
      <c r="CT772" t="s">
        <v>537</v>
      </c>
      <c r="CU772">
        <v>7</v>
      </c>
    </row>
    <row r="773" spans="95:99">
      <c r="CQ773" t="s">
        <v>40</v>
      </c>
      <c r="CR773" t="s">
        <v>525</v>
      </c>
      <c r="CS773" t="s">
        <v>526</v>
      </c>
      <c r="CT773" t="s">
        <v>538</v>
      </c>
      <c r="CU773">
        <v>0</v>
      </c>
    </row>
    <row r="774" spans="95:99">
      <c r="CQ774" t="s">
        <v>40</v>
      </c>
      <c r="CR774" t="s">
        <v>525</v>
      </c>
      <c r="CS774" t="s">
        <v>526</v>
      </c>
      <c r="CT774" t="s">
        <v>539</v>
      </c>
      <c r="CU774">
        <v>5</v>
      </c>
    </row>
    <row r="775" spans="95:99">
      <c r="CQ775" t="s">
        <v>40</v>
      </c>
      <c r="CR775" t="s">
        <v>525</v>
      </c>
      <c r="CS775" t="s">
        <v>526</v>
      </c>
      <c r="CT775" t="s">
        <v>540</v>
      </c>
      <c r="CU775">
        <v>4</v>
      </c>
    </row>
    <row r="776" spans="95:99">
      <c r="CQ776" t="s">
        <v>40</v>
      </c>
      <c r="CR776" t="s">
        <v>525</v>
      </c>
      <c r="CS776" t="s">
        <v>526</v>
      </c>
      <c r="CT776" t="s">
        <v>526</v>
      </c>
      <c r="CU776">
        <v>23</v>
      </c>
    </row>
    <row r="777" spans="95:99">
      <c r="CQ777" t="s">
        <v>40</v>
      </c>
      <c r="CR777" t="s">
        <v>560</v>
      </c>
    </row>
    <row r="778" spans="95:99">
      <c r="CQ778" t="s">
        <v>40</v>
      </c>
      <c r="CR778" t="s">
        <v>560</v>
      </c>
      <c r="CS778" t="s">
        <v>515</v>
      </c>
    </row>
    <row r="779" spans="95:99">
      <c r="CQ779" t="s">
        <v>40</v>
      </c>
      <c r="CR779" t="s">
        <v>560</v>
      </c>
      <c r="CS779" t="s">
        <v>40</v>
      </c>
      <c r="CT779" t="s">
        <v>515</v>
      </c>
      <c r="CU779">
        <v>114122</v>
      </c>
    </row>
    <row r="780" spans="95:99">
      <c r="CQ780" t="s">
        <v>40</v>
      </c>
      <c r="CR780" t="s">
        <v>560</v>
      </c>
      <c r="CS780" t="s">
        <v>40</v>
      </c>
      <c r="CT780" t="s">
        <v>534</v>
      </c>
      <c r="CU780">
        <v>1836</v>
      </c>
    </row>
    <row r="781" spans="95:99">
      <c r="CQ781" t="s">
        <v>40</v>
      </c>
      <c r="CR781" t="s">
        <v>560</v>
      </c>
      <c r="CS781" t="s">
        <v>40</v>
      </c>
      <c r="CT781" t="s">
        <v>535</v>
      </c>
      <c r="CU781">
        <v>22615</v>
      </c>
    </row>
    <row r="782" spans="95:99">
      <c r="CQ782" t="s">
        <v>40</v>
      </c>
      <c r="CR782" t="s">
        <v>560</v>
      </c>
      <c r="CS782" t="s">
        <v>40</v>
      </c>
      <c r="CT782" t="s">
        <v>536</v>
      </c>
      <c r="CU782">
        <v>29382</v>
      </c>
    </row>
    <row r="783" spans="95:99">
      <c r="CQ783" t="s">
        <v>40</v>
      </c>
      <c r="CR783" t="s">
        <v>560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560</v>
      </c>
      <c r="CS784" t="s">
        <v>40</v>
      </c>
      <c r="CT784" t="s">
        <v>548</v>
      </c>
      <c r="CU784">
        <v>3727</v>
      </c>
    </row>
    <row r="785" spans="95:99">
      <c r="CQ785" t="s">
        <v>40</v>
      </c>
      <c r="CR785" t="s">
        <v>560</v>
      </c>
      <c r="CS785" t="s">
        <v>40</v>
      </c>
      <c r="CT785" t="s">
        <v>537</v>
      </c>
      <c r="CU785">
        <v>1846</v>
      </c>
    </row>
    <row r="786" spans="95:99">
      <c r="CQ786" t="s">
        <v>40</v>
      </c>
      <c r="CR786" t="s">
        <v>560</v>
      </c>
      <c r="CS786" t="s">
        <v>40</v>
      </c>
      <c r="CT786" t="s">
        <v>538</v>
      </c>
      <c r="CU786">
        <v>345</v>
      </c>
    </row>
    <row r="787" spans="95:99">
      <c r="CQ787" t="s">
        <v>40</v>
      </c>
      <c r="CR787" t="s">
        <v>560</v>
      </c>
      <c r="CS787" t="s">
        <v>40</v>
      </c>
      <c r="CT787" t="s">
        <v>539</v>
      </c>
      <c r="CU787">
        <v>790</v>
      </c>
    </row>
    <row r="788" spans="95:99">
      <c r="CQ788" t="s">
        <v>40</v>
      </c>
      <c r="CR788" t="s">
        <v>560</v>
      </c>
      <c r="CS788" t="s">
        <v>40</v>
      </c>
      <c r="CT788" t="s">
        <v>540</v>
      </c>
      <c r="CU788">
        <v>447</v>
      </c>
    </row>
    <row r="789" spans="95:99">
      <c r="CQ789" t="s">
        <v>40</v>
      </c>
      <c r="CR789" t="s">
        <v>560</v>
      </c>
      <c r="CS789" t="s">
        <v>40</v>
      </c>
      <c r="CT789" t="s">
        <v>526</v>
      </c>
      <c r="CU789">
        <v>33339</v>
      </c>
    </row>
    <row r="790" spans="95:99">
      <c r="CQ790" t="s">
        <v>40</v>
      </c>
      <c r="CR790" t="s">
        <v>560</v>
      </c>
      <c r="CS790" t="s">
        <v>46</v>
      </c>
    </row>
    <row r="791" spans="95:99">
      <c r="CQ791" t="s">
        <v>40</v>
      </c>
      <c r="CR791" t="s">
        <v>560</v>
      </c>
      <c r="CS791" t="s">
        <v>46</v>
      </c>
      <c r="CT791" t="s">
        <v>515</v>
      </c>
      <c r="CU791">
        <v>20596</v>
      </c>
    </row>
    <row r="792" spans="95:99">
      <c r="CQ792" t="s">
        <v>40</v>
      </c>
      <c r="CR792" t="s">
        <v>560</v>
      </c>
      <c r="CS792" t="s">
        <v>46</v>
      </c>
      <c r="CT792" t="s">
        <v>534</v>
      </c>
      <c r="CU792">
        <v>240</v>
      </c>
    </row>
    <row r="793" spans="95:99">
      <c r="CQ793" t="s">
        <v>40</v>
      </c>
      <c r="CR793" t="s">
        <v>560</v>
      </c>
      <c r="CS793" t="s">
        <v>46</v>
      </c>
      <c r="CT793" t="s">
        <v>535</v>
      </c>
      <c r="CU793">
        <v>9133</v>
      </c>
    </row>
    <row r="794" spans="95:99">
      <c r="CQ794" t="s">
        <v>40</v>
      </c>
      <c r="CR794" t="s">
        <v>560</v>
      </c>
      <c r="CS794" t="s">
        <v>46</v>
      </c>
      <c r="CT794" t="s">
        <v>536</v>
      </c>
      <c r="CU794">
        <v>3188</v>
      </c>
    </row>
    <row r="795" spans="95:99">
      <c r="CQ795" t="s">
        <v>40</v>
      </c>
      <c r="CR795" t="s">
        <v>560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560</v>
      </c>
      <c r="CS796" t="s">
        <v>46</v>
      </c>
      <c r="CT796" t="s">
        <v>548</v>
      </c>
      <c r="CU796">
        <v>972</v>
      </c>
    </row>
    <row r="797" spans="95:99">
      <c r="CQ797" t="s">
        <v>40</v>
      </c>
      <c r="CR797" t="s">
        <v>560</v>
      </c>
      <c r="CS797" t="s">
        <v>46</v>
      </c>
      <c r="CT797" t="s">
        <v>537</v>
      </c>
      <c r="CU797">
        <v>990</v>
      </c>
    </row>
    <row r="798" spans="95:99">
      <c r="CQ798" t="s">
        <v>40</v>
      </c>
      <c r="CR798" t="s">
        <v>560</v>
      </c>
      <c r="CS798" t="s">
        <v>46</v>
      </c>
      <c r="CT798" t="s">
        <v>538</v>
      </c>
      <c r="CU798">
        <v>97</v>
      </c>
    </row>
    <row r="799" spans="95:99">
      <c r="CQ799" t="s">
        <v>40</v>
      </c>
      <c r="CR799" t="s">
        <v>560</v>
      </c>
      <c r="CS799" t="s">
        <v>46</v>
      </c>
      <c r="CT799" t="s">
        <v>539</v>
      </c>
      <c r="CU799">
        <v>424</v>
      </c>
    </row>
    <row r="800" spans="95:99">
      <c r="CQ800" t="s">
        <v>40</v>
      </c>
      <c r="CR800" t="s">
        <v>560</v>
      </c>
      <c r="CS800" t="s">
        <v>46</v>
      </c>
      <c r="CT800" t="s">
        <v>540</v>
      </c>
      <c r="CU800">
        <v>107</v>
      </c>
    </row>
    <row r="801" spans="95:99">
      <c r="CQ801" t="s">
        <v>40</v>
      </c>
      <c r="CR801" t="s">
        <v>560</v>
      </c>
      <c r="CS801" t="s">
        <v>46</v>
      </c>
      <c r="CT801" t="s">
        <v>526</v>
      </c>
      <c r="CU801">
        <v>4418</v>
      </c>
    </row>
    <row r="802" spans="95:99">
      <c r="CQ802" t="s">
        <v>40</v>
      </c>
      <c r="CR802" t="s">
        <v>560</v>
      </c>
      <c r="CS802" t="s">
        <v>44</v>
      </c>
    </row>
    <row r="803" spans="95:99">
      <c r="CQ803" t="s">
        <v>40</v>
      </c>
      <c r="CR803" t="s">
        <v>560</v>
      </c>
      <c r="CS803" t="s">
        <v>44</v>
      </c>
      <c r="CT803" t="s">
        <v>515</v>
      </c>
      <c r="CU803">
        <v>26052</v>
      </c>
    </row>
    <row r="804" spans="95:99">
      <c r="CQ804" t="s">
        <v>40</v>
      </c>
      <c r="CR804" t="s">
        <v>560</v>
      </c>
      <c r="CS804" t="s">
        <v>44</v>
      </c>
      <c r="CT804" t="s">
        <v>534</v>
      </c>
      <c r="CU804">
        <v>224</v>
      </c>
    </row>
    <row r="805" spans="95:99">
      <c r="CQ805" t="s">
        <v>40</v>
      </c>
      <c r="CR805" t="s">
        <v>560</v>
      </c>
      <c r="CS805" t="s">
        <v>44</v>
      </c>
      <c r="CT805" t="s">
        <v>535</v>
      </c>
      <c r="CU805">
        <v>7790</v>
      </c>
    </row>
    <row r="806" spans="95:99">
      <c r="CQ806" t="s">
        <v>40</v>
      </c>
      <c r="CR806" t="s">
        <v>560</v>
      </c>
      <c r="CS806" t="s">
        <v>44</v>
      </c>
      <c r="CT806" t="s">
        <v>536</v>
      </c>
      <c r="CU806">
        <v>9970</v>
      </c>
    </row>
    <row r="807" spans="95:99">
      <c r="CQ807" t="s">
        <v>40</v>
      </c>
      <c r="CR807" t="s">
        <v>560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560</v>
      </c>
      <c r="CS808" t="s">
        <v>44</v>
      </c>
      <c r="CT808" t="s">
        <v>548</v>
      </c>
      <c r="CU808">
        <v>1232</v>
      </c>
    </row>
    <row r="809" spans="95:99">
      <c r="CQ809" t="s">
        <v>40</v>
      </c>
      <c r="CR809" t="s">
        <v>560</v>
      </c>
      <c r="CS809" t="s">
        <v>44</v>
      </c>
      <c r="CT809" t="s">
        <v>537</v>
      </c>
      <c r="CU809">
        <v>400</v>
      </c>
    </row>
    <row r="810" spans="95:99">
      <c r="CQ810" t="s">
        <v>40</v>
      </c>
      <c r="CR810" t="s">
        <v>560</v>
      </c>
      <c r="CS810" t="s">
        <v>44</v>
      </c>
      <c r="CT810" t="s">
        <v>538</v>
      </c>
      <c r="CU810">
        <v>97</v>
      </c>
    </row>
    <row r="811" spans="95:99">
      <c r="CQ811" t="s">
        <v>40</v>
      </c>
      <c r="CR811" t="s">
        <v>560</v>
      </c>
      <c r="CS811" t="s">
        <v>44</v>
      </c>
      <c r="CT811" t="s">
        <v>539</v>
      </c>
      <c r="CU811">
        <v>144</v>
      </c>
    </row>
    <row r="812" spans="95:99">
      <c r="CQ812" t="s">
        <v>40</v>
      </c>
      <c r="CR812" t="s">
        <v>560</v>
      </c>
      <c r="CS812" t="s">
        <v>44</v>
      </c>
      <c r="CT812" t="s">
        <v>540</v>
      </c>
      <c r="CU812">
        <v>91</v>
      </c>
    </row>
    <row r="813" spans="95:99">
      <c r="CQ813" t="s">
        <v>40</v>
      </c>
      <c r="CR813" t="s">
        <v>560</v>
      </c>
      <c r="CS813" t="s">
        <v>44</v>
      </c>
      <c r="CT813" t="s">
        <v>526</v>
      </c>
      <c r="CU813">
        <v>4442</v>
      </c>
    </row>
    <row r="814" spans="95:99">
      <c r="CQ814" t="s">
        <v>40</v>
      </c>
      <c r="CR814" t="s">
        <v>560</v>
      </c>
      <c r="CS814" t="s">
        <v>44</v>
      </c>
    </row>
    <row r="815" spans="95:99">
      <c r="CQ815" t="s">
        <v>40</v>
      </c>
      <c r="CR815" t="s">
        <v>560</v>
      </c>
      <c r="CS815" t="s">
        <v>44</v>
      </c>
      <c r="CT815" t="s">
        <v>515</v>
      </c>
      <c r="CU815">
        <v>19315</v>
      </c>
    </row>
    <row r="816" spans="95:99">
      <c r="CQ816" t="s">
        <v>40</v>
      </c>
      <c r="CR816" t="s">
        <v>560</v>
      </c>
      <c r="CS816" t="s">
        <v>44</v>
      </c>
      <c r="CT816" t="s">
        <v>534</v>
      </c>
      <c r="CU816">
        <v>298</v>
      </c>
    </row>
    <row r="817" spans="95:99">
      <c r="CQ817" t="s">
        <v>40</v>
      </c>
      <c r="CR817" t="s">
        <v>560</v>
      </c>
      <c r="CS817" t="s">
        <v>44</v>
      </c>
      <c r="CT817" t="s">
        <v>535</v>
      </c>
      <c r="CU817">
        <v>3088</v>
      </c>
    </row>
    <row r="818" spans="95:99">
      <c r="CQ818" t="s">
        <v>40</v>
      </c>
      <c r="CR818" t="s">
        <v>560</v>
      </c>
      <c r="CS818" t="s">
        <v>44</v>
      </c>
      <c r="CT818" t="s">
        <v>536</v>
      </c>
      <c r="CU818">
        <v>7412</v>
      </c>
    </row>
    <row r="819" spans="95:99">
      <c r="CQ819" t="s">
        <v>40</v>
      </c>
      <c r="CR819" t="s">
        <v>560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560</v>
      </c>
      <c r="CS820" t="s">
        <v>44</v>
      </c>
      <c r="CT820" t="s">
        <v>548</v>
      </c>
      <c r="CU820">
        <v>999</v>
      </c>
    </row>
    <row r="821" spans="95:99">
      <c r="CQ821" t="s">
        <v>40</v>
      </c>
      <c r="CR821" t="s">
        <v>560</v>
      </c>
      <c r="CS821" t="s">
        <v>44</v>
      </c>
      <c r="CT821" t="s">
        <v>537</v>
      </c>
      <c r="CU821">
        <v>231</v>
      </c>
    </row>
    <row r="822" spans="95:99">
      <c r="CQ822" t="s">
        <v>40</v>
      </c>
      <c r="CR822" t="s">
        <v>560</v>
      </c>
      <c r="CS822" t="s">
        <v>44</v>
      </c>
      <c r="CT822" t="s">
        <v>538</v>
      </c>
      <c r="CU822">
        <v>58</v>
      </c>
    </row>
    <row r="823" spans="95:99">
      <c r="CQ823" t="s">
        <v>40</v>
      </c>
      <c r="CR823" t="s">
        <v>560</v>
      </c>
      <c r="CS823" t="s">
        <v>44</v>
      </c>
      <c r="CT823" t="s">
        <v>539</v>
      </c>
      <c r="CU823">
        <v>122</v>
      </c>
    </row>
    <row r="824" spans="95:99">
      <c r="CQ824" t="s">
        <v>40</v>
      </c>
      <c r="CR824" t="s">
        <v>560</v>
      </c>
      <c r="CS824" t="s">
        <v>44</v>
      </c>
      <c r="CT824" t="s">
        <v>540</v>
      </c>
      <c r="CU824">
        <v>52</v>
      </c>
    </row>
    <row r="825" spans="95:99">
      <c r="CQ825" t="s">
        <v>40</v>
      </c>
      <c r="CR825" t="s">
        <v>560</v>
      </c>
      <c r="CS825" t="s">
        <v>44</v>
      </c>
      <c r="CT825" t="s">
        <v>526</v>
      </c>
      <c r="CU825">
        <v>5091</v>
      </c>
    </row>
    <row r="826" spans="95:99">
      <c r="CQ826" t="s">
        <v>40</v>
      </c>
      <c r="CR826" t="s">
        <v>560</v>
      </c>
      <c r="CS826" t="s">
        <v>292</v>
      </c>
    </row>
    <row r="827" spans="95:99">
      <c r="CQ827" t="s">
        <v>40</v>
      </c>
      <c r="CR827" t="s">
        <v>560</v>
      </c>
      <c r="CS827" t="s">
        <v>292</v>
      </c>
      <c r="CT827" t="s">
        <v>515</v>
      </c>
      <c r="CU827">
        <v>26520</v>
      </c>
    </row>
    <row r="828" spans="95:99">
      <c r="CQ828" t="s">
        <v>40</v>
      </c>
      <c r="CR828" t="s">
        <v>560</v>
      </c>
      <c r="CS828" t="s">
        <v>292</v>
      </c>
      <c r="CT828" t="s">
        <v>534</v>
      </c>
      <c r="CU828">
        <v>624</v>
      </c>
    </row>
    <row r="829" spans="95:99">
      <c r="CQ829" t="s">
        <v>40</v>
      </c>
      <c r="CR829" t="s">
        <v>560</v>
      </c>
      <c r="CS829" t="s">
        <v>292</v>
      </c>
      <c r="CT829" t="s">
        <v>535</v>
      </c>
      <c r="CU829">
        <v>489</v>
      </c>
    </row>
    <row r="830" spans="95:99">
      <c r="CQ830" t="s">
        <v>40</v>
      </c>
      <c r="CR830" t="s">
        <v>560</v>
      </c>
      <c r="CS830" t="s">
        <v>292</v>
      </c>
      <c r="CT830" t="s">
        <v>536</v>
      </c>
      <c r="CU830">
        <v>5778</v>
      </c>
    </row>
    <row r="831" spans="95:99">
      <c r="CQ831" t="s">
        <v>40</v>
      </c>
      <c r="CR831" t="s">
        <v>560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560</v>
      </c>
      <c r="CS832" t="s">
        <v>292</v>
      </c>
      <c r="CT832" t="s">
        <v>548</v>
      </c>
      <c r="CU832">
        <v>121</v>
      </c>
    </row>
    <row r="833" spans="95:99">
      <c r="CQ833" t="s">
        <v>40</v>
      </c>
      <c r="CR833" t="s">
        <v>560</v>
      </c>
      <c r="CS833" t="s">
        <v>292</v>
      </c>
      <c r="CT833" t="s">
        <v>537</v>
      </c>
      <c r="CU833">
        <v>33</v>
      </c>
    </row>
    <row r="834" spans="95:99">
      <c r="CQ834" t="s">
        <v>40</v>
      </c>
      <c r="CR834" t="s">
        <v>560</v>
      </c>
      <c r="CS834" t="s">
        <v>292</v>
      </c>
      <c r="CT834" t="s">
        <v>538</v>
      </c>
      <c r="CU834">
        <v>59</v>
      </c>
    </row>
    <row r="835" spans="95:99">
      <c r="CQ835" t="s">
        <v>40</v>
      </c>
      <c r="CR835" t="s">
        <v>560</v>
      </c>
      <c r="CS835" t="s">
        <v>292</v>
      </c>
      <c r="CT835" t="s">
        <v>539</v>
      </c>
      <c r="CU835">
        <v>22</v>
      </c>
    </row>
    <row r="836" spans="95:99">
      <c r="CQ836" t="s">
        <v>40</v>
      </c>
      <c r="CR836" t="s">
        <v>560</v>
      </c>
      <c r="CS836" t="s">
        <v>292</v>
      </c>
      <c r="CT836" t="s">
        <v>540</v>
      </c>
      <c r="CU836">
        <v>114</v>
      </c>
    </row>
    <row r="837" spans="95:99">
      <c r="CQ837" t="s">
        <v>40</v>
      </c>
      <c r="CR837" t="s">
        <v>560</v>
      </c>
      <c r="CS837" t="s">
        <v>292</v>
      </c>
      <c r="CT837" t="s">
        <v>526</v>
      </c>
      <c r="CU837">
        <v>7920</v>
      </c>
    </row>
    <row r="838" spans="95:99">
      <c r="CQ838" t="s">
        <v>40</v>
      </c>
      <c r="CR838" t="s">
        <v>560</v>
      </c>
      <c r="CS838" t="s">
        <v>292</v>
      </c>
    </row>
    <row r="839" spans="95:99">
      <c r="CQ839" t="s">
        <v>40</v>
      </c>
      <c r="CR839" t="s">
        <v>560</v>
      </c>
      <c r="CS839" t="s">
        <v>292</v>
      </c>
      <c r="CT839" t="s">
        <v>515</v>
      </c>
      <c r="CU839">
        <v>8207</v>
      </c>
    </row>
    <row r="840" spans="95:99">
      <c r="CQ840" t="s">
        <v>40</v>
      </c>
      <c r="CR840" t="s">
        <v>560</v>
      </c>
      <c r="CS840" t="s">
        <v>292</v>
      </c>
      <c r="CT840" t="s">
        <v>534</v>
      </c>
      <c r="CU840">
        <v>357</v>
      </c>
    </row>
    <row r="841" spans="95:99">
      <c r="CQ841" t="s">
        <v>40</v>
      </c>
      <c r="CR841" t="s">
        <v>560</v>
      </c>
      <c r="CS841" t="s">
        <v>292</v>
      </c>
      <c r="CT841" t="s">
        <v>535</v>
      </c>
      <c r="CU841">
        <v>675</v>
      </c>
    </row>
    <row r="842" spans="95:99">
      <c r="CQ842" t="s">
        <v>40</v>
      </c>
      <c r="CR842" t="s">
        <v>560</v>
      </c>
      <c r="CS842" t="s">
        <v>292</v>
      </c>
      <c r="CT842" t="s">
        <v>536</v>
      </c>
      <c r="CU842">
        <v>1108</v>
      </c>
    </row>
    <row r="843" spans="95:99">
      <c r="CQ843" t="s">
        <v>40</v>
      </c>
      <c r="CR843" t="s">
        <v>560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560</v>
      </c>
      <c r="CS844" t="s">
        <v>292</v>
      </c>
      <c r="CT844" t="s">
        <v>548</v>
      </c>
      <c r="CU844">
        <v>71</v>
      </c>
    </row>
    <row r="845" spans="95:99">
      <c r="CQ845" t="s">
        <v>40</v>
      </c>
      <c r="CR845" t="s">
        <v>560</v>
      </c>
      <c r="CS845" t="s">
        <v>292</v>
      </c>
      <c r="CT845" t="s">
        <v>537</v>
      </c>
      <c r="CU845">
        <v>28</v>
      </c>
    </row>
    <row r="846" spans="95:99">
      <c r="CQ846" t="s">
        <v>40</v>
      </c>
      <c r="CR846" t="s">
        <v>560</v>
      </c>
      <c r="CS846" t="s">
        <v>292</v>
      </c>
      <c r="CT846" t="s">
        <v>538</v>
      </c>
      <c r="CU846">
        <v>19</v>
      </c>
    </row>
    <row r="847" spans="95:99">
      <c r="CQ847" t="s">
        <v>40</v>
      </c>
      <c r="CR847" t="s">
        <v>560</v>
      </c>
      <c r="CS847" t="s">
        <v>292</v>
      </c>
      <c r="CT847" t="s">
        <v>539</v>
      </c>
      <c r="CU847">
        <v>19</v>
      </c>
    </row>
    <row r="848" spans="95:99">
      <c r="CQ848" t="s">
        <v>40</v>
      </c>
      <c r="CR848" t="s">
        <v>560</v>
      </c>
      <c r="CS848" t="s">
        <v>292</v>
      </c>
      <c r="CT848" t="s">
        <v>540</v>
      </c>
      <c r="CU848">
        <v>56</v>
      </c>
    </row>
    <row r="849" spans="95:99">
      <c r="CQ849" t="s">
        <v>40</v>
      </c>
      <c r="CR849" t="s">
        <v>560</v>
      </c>
      <c r="CS849" t="s">
        <v>292</v>
      </c>
      <c r="CT849" t="s">
        <v>526</v>
      </c>
      <c r="CU849">
        <v>2928</v>
      </c>
    </row>
    <row r="850" spans="95:99">
      <c r="CQ850" t="s">
        <v>40</v>
      </c>
      <c r="CR850" t="s">
        <v>560</v>
      </c>
      <c r="CS850" t="s">
        <v>526</v>
      </c>
    </row>
    <row r="851" spans="95:99">
      <c r="CQ851" t="s">
        <v>40</v>
      </c>
      <c r="CR851" t="s">
        <v>560</v>
      </c>
      <c r="CS851" t="s">
        <v>526</v>
      </c>
      <c r="CT851" t="s">
        <v>515</v>
      </c>
      <c r="CU851">
        <v>13432</v>
      </c>
    </row>
    <row r="852" spans="95:99">
      <c r="CQ852" t="s">
        <v>40</v>
      </c>
      <c r="CR852" t="s">
        <v>560</v>
      </c>
      <c r="CS852" t="s">
        <v>526</v>
      </c>
      <c r="CT852" t="s">
        <v>534</v>
      </c>
      <c r="CU852">
        <v>93</v>
      </c>
    </row>
    <row r="853" spans="95:99">
      <c r="CQ853" t="s">
        <v>40</v>
      </c>
      <c r="CR853" t="s">
        <v>560</v>
      </c>
      <c r="CS853" t="s">
        <v>526</v>
      </c>
      <c r="CT853" t="s">
        <v>535</v>
      </c>
      <c r="CU853">
        <v>1440</v>
      </c>
    </row>
    <row r="854" spans="95:99">
      <c r="CQ854" t="s">
        <v>40</v>
      </c>
      <c r="CR854" t="s">
        <v>560</v>
      </c>
      <c r="CS854" t="s">
        <v>526</v>
      </c>
      <c r="CT854" t="s">
        <v>536</v>
      </c>
      <c r="CU854">
        <v>1926</v>
      </c>
    </row>
    <row r="855" spans="95:99">
      <c r="CQ855" t="s">
        <v>40</v>
      </c>
      <c r="CR855" t="s">
        <v>560</v>
      </c>
      <c r="CS855" t="s">
        <v>526</v>
      </c>
      <c r="CT855" t="s">
        <v>136</v>
      </c>
      <c r="CU855">
        <v>836</v>
      </c>
    </row>
    <row r="856" spans="95:99">
      <c r="CQ856" t="s">
        <v>40</v>
      </c>
      <c r="CR856" t="s">
        <v>560</v>
      </c>
      <c r="CS856" t="s">
        <v>526</v>
      </c>
      <c r="CT856" t="s">
        <v>548</v>
      </c>
      <c r="CU856">
        <v>332</v>
      </c>
    </row>
    <row r="857" spans="95:99">
      <c r="CQ857" t="s">
        <v>40</v>
      </c>
      <c r="CR857" t="s">
        <v>560</v>
      </c>
      <c r="CS857" t="s">
        <v>526</v>
      </c>
      <c r="CT857" t="s">
        <v>537</v>
      </c>
      <c r="CU857">
        <v>164</v>
      </c>
    </row>
    <row r="858" spans="95:99">
      <c r="CQ858" t="s">
        <v>40</v>
      </c>
      <c r="CR858" t="s">
        <v>560</v>
      </c>
      <c r="CS858" t="s">
        <v>526</v>
      </c>
      <c r="CT858" t="s">
        <v>538</v>
      </c>
      <c r="CU858">
        <v>15</v>
      </c>
    </row>
    <row r="859" spans="95:99">
      <c r="CQ859" t="s">
        <v>40</v>
      </c>
      <c r="CR859" t="s">
        <v>560</v>
      </c>
      <c r="CS859" t="s">
        <v>526</v>
      </c>
      <c r="CT859" t="s">
        <v>539</v>
      </c>
      <c r="CU859">
        <v>59</v>
      </c>
    </row>
    <row r="860" spans="95:99">
      <c r="CQ860" t="s">
        <v>40</v>
      </c>
      <c r="CR860" t="s">
        <v>560</v>
      </c>
      <c r="CS860" t="s">
        <v>526</v>
      </c>
      <c r="CT860" t="s">
        <v>540</v>
      </c>
      <c r="CU860">
        <v>27</v>
      </c>
    </row>
    <row r="861" spans="95:99">
      <c r="CQ861" t="s">
        <v>40</v>
      </c>
      <c r="CR861" t="s">
        <v>560</v>
      </c>
      <c r="CS861" t="s">
        <v>526</v>
      </c>
      <c r="CT861" t="s">
        <v>526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4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499" t="s">
        <v>228</v>
      </c>
      <c r="D2" s="499"/>
      <c r="M2" s="499" t="s">
        <v>228</v>
      </c>
      <c r="N2" s="500"/>
    </row>
    <row r="3" spans="1:21" ht="15">
      <c r="C3" s="19" t="s">
        <v>753</v>
      </c>
      <c r="D3" s="19"/>
      <c r="E3" s="502"/>
      <c r="F3" s="502"/>
      <c r="G3" s="502"/>
      <c r="H3" s="502"/>
      <c r="I3" s="502"/>
      <c r="J3" s="502"/>
      <c r="K3" s="501"/>
      <c r="M3" s="19" t="s">
        <v>753</v>
      </c>
      <c r="N3" s="19"/>
      <c r="O3" s="19"/>
      <c r="P3" s="19"/>
      <c r="Q3" s="19"/>
      <c r="R3" s="19"/>
      <c r="S3" s="19"/>
      <c r="T3" s="19"/>
      <c r="U3" s="501"/>
    </row>
    <row r="4" spans="1:21" ht="15.75" thickBot="1">
      <c r="C4" s="20" t="s">
        <v>229</v>
      </c>
      <c r="D4" s="20" t="s">
        <v>754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754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755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755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604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84" t="str">
        <f t="shared" si="0"/>
        <v>NRG</v>
      </c>
      <c r="D25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84" t="str">
        <f>SETUP!B27</f>
        <v>RSDHET_Apt</v>
      </c>
      <c r="F25" s="884" t="str">
        <f>SETUP!C27</f>
        <v>Apartment Heat to Residential</v>
      </c>
      <c r="G25" s="885" t="s">
        <v>13</v>
      </c>
      <c r="H25" s="884"/>
      <c r="I25" s="884" t="s">
        <v>247</v>
      </c>
      <c r="J25" s="884"/>
      <c r="K25" s="884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84" t="str">
        <f t="shared" si="0"/>
        <v>NRG</v>
      </c>
      <c r="D26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84" t="str">
        <f>SETUP!B28</f>
        <v>RSDHET_Att</v>
      </c>
      <c r="F26" s="884" t="str">
        <f>SETUP!C28</f>
        <v>Attached Heat to Residential</v>
      </c>
      <c r="G26" s="885" t="s">
        <v>13</v>
      </c>
      <c r="H26" s="884"/>
      <c r="I26" s="884" t="s">
        <v>247</v>
      </c>
      <c r="J26" s="884"/>
      <c r="K26" s="884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84" t="str">
        <f t="shared" si="0"/>
        <v>NRG</v>
      </c>
      <c r="D27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84" t="str">
        <f>SETUP!B29</f>
        <v>RSDHET_Det</v>
      </c>
      <c r="F27" s="884" t="str">
        <f>SETUP!C29</f>
        <v>Detached Heat to Residential</v>
      </c>
      <c r="G27" s="885" t="s">
        <v>13</v>
      </c>
      <c r="H27" s="884"/>
      <c r="I27" s="884" t="s">
        <v>247</v>
      </c>
      <c r="J27" s="884"/>
      <c r="K27" s="884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756</v>
      </c>
      <c r="D4" s="57"/>
    </row>
    <row r="5" spans="2:19" ht="15.75" thickBot="1">
      <c r="B5" s="282" t="s">
        <v>754</v>
      </c>
      <c r="C5" s="282" t="s">
        <v>230</v>
      </c>
      <c r="D5" s="440" t="str">
        <f>COMM!E6</f>
        <v>RSDCOA</v>
      </c>
      <c r="E5" s="352" t="str">
        <f>COMM!E7</f>
        <v>RSDPEA</v>
      </c>
      <c r="F5" s="352" t="str">
        <f>COMM!E8</f>
        <v>RSDLPG</v>
      </c>
      <c r="G5" s="352" t="str">
        <f>COMM!E10</f>
        <v>RSDKER</v>
      </c>
      <c r="H5" s="352" t="str">
        <f>COMM!E14</f>
        <v>RSDGAS</v>
      </c>
      <c r="I5" s="352" t="str">
        <f>COMM!E16</f>
        <v>RSDWOO</v>
      </c>
      <c r="J5" s="352" t="str">
        <f>COMM!E20</f>
        <v>RSDETH</v>
      </c>
      <c r="K5" s="352" t="str">
        <f>COMM!E21</f>
        <v>RSDBDL</v>
      </c>
      <c r="M5"/>
      <c r="N5"/>
      <c r="O5"/>
    </row>
    <row r="6" spans="2:19" ht="13.5" thickBot="1">
      <c r="B6" s="351"/>
      <c r="C6" s="351" t="s">
        <v>252</v>
      </c>
      <c r="D6" s="651" t="s">
        <v>250</v>
      </c>
      <c r="E6" s="651" t="s">
        <v>250</v>
      </c>
      <c r="F6" s="651" t="s">
        <v>250</v>
      </c>
      <c r="G6" s="651" t="s">
        <v>250</v>
      </c>
      <c r="H6" s="651" t="s">
        <v>250</v>
      </c>
      <c r="I6" s="651" t="s">
        <v>250</v>
      </c>
      <c r="J6" s="651" t="s">
        <v>250</v>
      </c>
      <c r="K6" s="651" t="s">
        <v>250</v>
      </c>
      <c r="M6"/>
      <c r="N6"/>
      <c r="O6"/>
    </row>
    <row r="7" spans="2:19">
      <c r="B7" s="64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46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2">
        <v>0</v>
      </c>
      <c r="M7"/>
      <c r="N7"/>
      <c r="O7"/>
    </row>
    <row r="8" spans="2:19">
      <c r="B8" s="647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47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53">
        <v>0.01</v>
      </c>
      <c r="M8"/>
      <c r="N8"/>
      <c r="O8"/>
    </row>
    <row r="9" spans="2:19" ht="13.5" thickBot="1">
      <c r="B9" s="64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48" t="str">
        <f>COMM!E30</f>
        <v>RSDN2O</v>
      </c>
      <c r="D9" s="654">
        <v>0</v>
      </c>
      <c r="E9" s="655"/>
      <c r="F9" s="656"/>
      <c r="G9" s="656"/>
      <c r="H9" s="655"/>
      <c r="I9" s="655"/>
      <c r="J9" s="655"/>
      <c r="K9" s="657"/>
      <c r="M9"/>
      <c r="N9"/>
      <c r="O9"/>
    </row>
    <row r="10" spans="2:19">
      <c r="B10" s="649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49" t="str">
        <f>COMM!E31</f>
        <v>RSDSO2N</v>
      </c>
      <c r="D10" s="658">
        <v>1.4999999999999998E-3</v>
      </c>
      <c r="E10" s="353">
        <v>1.4E-3</v>
      </c>
      <c r="F10" s="354">
        <v>1E-4</v>
      </c>
      <c r="G10" s="354">
        <v>5.9999999999999995E-4</v>
      </c>
      <c r="H10" s="354">
        <v>1E-4</v>
      </c>
      <c r="I10" s="353">
        <v>3.8999999999999998E-3</v>
      </c>
      <c r="J10" s="353">
        <v>5.9999999999999995E-4</v>
      </c>
      <c r="K10" s="659">
        <v>5.9999999999999995E-4</v>
      </c>
      <c r="M10"/>
      <c r="N10"/>
      <c r="O10"/>
    </row>
    <row r="11" spans="2:19">
      <c r="B11" s="64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48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0"/>
      <c r="M11"/>
      <c r="N11"/>
      <c r="O11"/>
    </row>
    <row r="12" spans="2:19" ht="13.5" thickBot="1">
      <c r="B12" s="650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0" t="str">
        <f>COMM!E33</f>
        <v>RSDPM25</v>
      </c>
      <c r="D12" s="661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2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E25" sqref="E25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27.28515625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4" t="s">
        <v>758</v>
      </c>
      <c r="F2" s="414"/>
      <c r="J2" s="415" t="s">
        <v>757</v>
      </c>
      <c r="K2" s="415"/>
      <c r="L2" s="416"/>
      <c r="M2" s="416"/>
      <c r="N2" s="416"/>
      <c r="O2" s="416"/>
      <c r="P2" s="416"/>
      <c r="Q2" s="416"/>
      <c r="R2" s="416"/>
    </row>
    <row r="3" spans="1:18">
      <c r="B3" s="417" t="s">
        <v>754</v>
      </c>
      <c r="C3" s="417" t="s">
        <v>253</v>
      </c>
      <c r="D3" s="418" t="s">
        <v>255</v>
      </c>
      <c r="E3" s="417" t="s">
        <v>256</v>
      </c>
      <c r="F3" s="417" t="s">
        <v>257</v>
      </c>
      <c r="G3" s="419" t="s">
        <v>683</v>
      </c>
      <c r="H3" s="419" t="s">
        <v>1087</v>
      </c>
      <c r="J3" s="420" t="s">
        <v>259</v>
      </c>
      <c r="K3" s="420" t="s">
        <v>754</v>
      </c>
      <c r="L3" s="420" t="s">
        <v>253</v>
      </c>
      <c r="M3" s="420" t="s">
        <v>254</v>
      </c>
      <c r="N3" s="420" t="s">
        <v>260</v>
      </c>
      <c r="O3" s="420" t="s">
        <v>261</v>
      </c>
      <c r="P3" s="420" t="s">
        <v>262</v>
      </c>
      <c r="Q3" s="420" t="s">
        <v>263</v>
      </c>
      <c r="R3" s="420" t="s">
        <v>684</v>
      </c>
    </row>
    <row r="4" spans="1:18" ht="34.5" thickBot="1">
      <c r="B4" s="421" t="s">
        <v>755</v>
      </c>
      <c r="C4" s="421" t="s">
        <v>268</v>
      </c>
      <c r="D4" s="421" t="s">
        <v>270</v>
      </c>
      <c r="E4" s="421" t="s">
        <v>271</v>
      </c>
      <c r="F4" s="421" t="s">
        <v>685</v>
      </c>
      <c r="G4" s="421" t="s">
        <v>686</v>
      </c>
      <c r="H4" s="421"/>
      <c r="J4" s="422" t="s">
        <v>687</v>
      </c>
      <c r="K4" s="422" t="s">
        <v>755</v>
      </c>
      <c r="L4" s="422" t="s">
        <v>688</v>
      </c>
      <c r="M4" s="422" t="s">
        <v>269</v>
      </c>
      <c r="N4" s="422" t="s">
        <v>689</v>
      </c>
      <c r="O4" s="422" t="s">
        <v>690</v>
      </c>
      <c r="P4" s="422" t="s">
        <v>691</v>
      </c>
      <c r="Q4" s="422" t="s">
        <v>692</v>
      </c>
      <c r="R4" s="422" t="s">
        <v>693</v>
      </c>
    </row>
    <row r="5" spans="1:18" ht="13.5" thickBot="1">
      <c r="B5" s="421"/>
      <c r="C5" s="421" t="s">
        <v>487</v>
      </c>
      <c r="D5" s="423"/>
      <c r="E5" s="423"/>
      <c r="F5" s="423"/>
      <c r="G5" s="423" t="s">
        <v>13</v>
      </c>
      <c r="H5" s="423"/>
      <c r="J5" s="422" t="s">
        <v>252</v>
      </c>
      <c r="K5" s="422"/>
      <c r="L5" s="424"/>
      <c r="M5" s="424"/>
      <c r="N5" s="424"/>
      <c r="O5" s="424"/>
      <c r="P5" s="424"/>
      <c r="Q5" s="424"/>
      <c r="R5" s="424"/>
    </row>
    <row r="6" spans="1:18" s="426" customFormat="1">
      <c r="A6" s="426" t="str">
        <f>COMM!A6</f>
        <v/>
      </c>
      <c r="B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5" t="str">
        <f>_xlfn.TEXTJOIN("-",TRUE,SETUP!$B$4,COMM!E6)</f>
        <v>FT-RSDCOA</v>
      </c>
      <c r="D6" s="58" t="s">
        <v>695</v>
      </c>
      <c r="E6" s="425" t="str">
        <f>COMM!E6</f>
        <v>RSDCOA</v>
      </c>
      <c r="F6" s="426">
        <v>1</v>
      </c>
      <c r="G6" s="503"/>
      <c r="H6" s="503"/>
      <c r="J6" s="425" t="s">
        <v>264</v>
      </c>
      <c r="K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7" t="str">
        <f t="shared" ref="L6:L16" si="0">C6</f>
        <v>FT-RSDCOA</v>
      </c>
      <c r="M6" s="428" t="str">
        <f>_xlfn.TEXTJOIN(" ",TRUE,SETUP!$B$3,COMM!F6)</f>
        <v>RSD Coal to Residential</v>
      </c>
      <c r="N6" s="427" t="s">
        <v>13</v>
      </c>
      <c r="O6" s="427" t="s">
        <v>682</v>
      </c>
      <c r="P6" s="427"/>
      <c r="Q6" s="427"/>
      <c r="R6" s="427"/>
    </row>
    <row r="7" spans="1:18" s="426" customFormat="1">
      <c r="A7" s="426" t="str">
        <f>COMM!A7</f>
        <v/>
      </c>
      <c r="B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5" t="str">
        <f>_xlfn.TEXTJOIN("-",TRUE,SETUP!$B$4,COMM!E7)</f>
        <v>FT-RSDPEA</v>
      </c>
      <c r="D7" s="58" t="s">
        <v>198</v>
      </c>
      <c r="E7" s="425" t="str">
        <f>COMM!E7</f>
        <v>RSDPEA</v>
      </c>
      <c r="F7" s="426">
        <v>1</v>
      </c>
      <c r="J7" s="425"/>
      <c r="K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7" t="str">
        <f t="shared" si="0"/>
        <v>FT-RSDPEA</v>
      </c>
      <c r="M7" s="428" t="str">
        <f>_xlfn.TEXTJOIN(" ",TRUE,SETUP!$B$3,COMM!F7)</f>
        <v>RSD Peat to Residential</v>
      </c>
      <c r="N7" s="427" t="s">
        <v>13</v>
      </c>
      <c r="O7" s="427" t="s">
        <v>682</v>
      </c>
    </row>
    <row r="8" spans="1:18" s="426" customFormat="1">
      <c r="A8" s="426" t="str">
        <f>COMM!A8</f>
        <v/>
      </c>
      <c r="B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5" t="str">
        <f>_xlfn.TEXTJOIN("-",TRUE,SETUP!$B$4,COMM!E8)</f>
        <v>FT-RSDLPG</v>
      </c>
      <c r="D8" s="58" t="s">
        <v>199</v>
      </c>
      <c r="E8" s="425" t="str">
        <f>COMM!E8</f>
        <v>RSDLPG</v>
      </c>
      <c r="F8" s="426">
        <v>1</v>
      </c>
      <c r="J8" s="425"/>
      <c r="K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7" t="str">
        <f t="shared" si="0"/>
        <v>FT-RSDLPG</v>
      </c>
      <c r="M8" s="428" t="str">
        <f>_xlfn.TEXTJOIN(" ",TRUE,SETUP!$B$3,COMM!F8)</f>
        <v>RSD LPG to Residential</v>
      </c>
      <c r="N8" s="427" t="s">
        <v>13</v>
      </c>
      <c r="O8" s="427" t="s">
        <v>682</v>
      </c>
    </row>
    <row r="9" spans="1:18" s="426" customFormat="1">
      <c r="A9" s="426" t="str">
        <f>COMM!A10</f>
        <v/>
      </c>
      <c r="B9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5" t="str">
        <f>_xlfn.TEXTJOIN("-",TRUE,SETUP!$B$4,COMM!E10)</f>
        <v>FT-RSDKER</v>
      </c>
      <c r="D9" s="58" t="s">
        <v>201</v>
      </c>
      <c r="E9" s="425" t="str">
        <f>COMM!E10</f>
        <v>RSDKER</v>
      </c>
      <c r="F9" s="426">
        <v>1</v>
      </c>
      <c r="J9" s="425"/>
      <c r="K9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7" t="str">
        <f t="shared" si="0"/>
        <v>FT-RSDKER</v>
      </c>
      <c r="M9" s="428" t="str">
        <f>_xlfn.TEXTJOIN(" ",TRUE,SETUP!$B$3,COMM!F10)</f>
        <v>RSD Kerosene to Residential</v>
      </c>
      <c r="N9" s="427" t="s">
        <v>13</v>
      </c>
      <c r="O9" s="427" t="s">
        <v>682</v>
      </c>
    </row>
    <row r="10" spans="1:18" s="426" customFormat="1">
      <c r="A10" s="426" t="str">
        <f>COMM!A14</f>
        <v/>
      </c>
      <c r="B10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5" t="str">
        <f>_xlfn.TEXTJOIN("-",TRUE,SETUP!$B$4,COMM!E14)</f>
        <v>FT-RSDGAS</v>
      </c>
      <c r="D10" s="58" t="s">
        <v>205</v>
      </c>
      <c r="E10" s="425" t="str">
        <f>COMM!E14</f>
        <v>RSDGAS</v>
      </c>
      <c r="F10" s="426">
        <v>1</v>
      </c>
      <c r="J10" s="425"/>
      <c r="K10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7" t="str">
        <f t="shared" si="0"/>
        <v>FT-RSDGAS</v>
      </c>
      <c r="M10" s="428" t="str">
        <f>_xlfn.TEXTJOIN(" ",TRUE,SETUP!$B$3,COMM!F14)</f>
        <v>RSD Natural Gas to Residential</v>
      </c>
      <c r="N10" s="427" t="s">
        <v>13</v>
      </c>
      <c r="O10" s="427" t="s">
        <v>682</v>
      </c>
    </row>
    <row r="11" spans="1:18" s="426" customFormat="1">
      <c r="B11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5" t="str">
        <f>_xlfn.TEXTJOIN("-",TRUE,SETUP!$B$4,COMM!E15)</f>
        <v>FT-RSDSOL</v>
      </c>
      <c r="D11" s="58" t="s">
        <v>206</v>
      </c>
      <c r="E11" s="425" t="str">
        <f>COMM!E15</f>
        <v>RSDSOL</v>
      </c>
      <c r="F11" s="426">
        <v>1</v>
      </c>
      <c r="J11" s="425"/>
      <c r="K11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7" t="str">
        <f>C11</f>
        <v>FT-RSDSOL</v>
      </c>
      <c r="M11" s="428" t="str">
        <f>_xlfn.TEXTJOIN(" ",TRUE,SETUP!$B$3,COMM!F15)</f>
        <v>RSD Solar Thermal to Residential</v>
      </c>
      <c r="N11" s="427" t="s">
        <v>13</v>
      </c>
      <c r="O11" s="427" t="s">
        <v>682</v>
      </c>
    </row>
    <row r="12" spans="1:18" s="426" customFormat="1">
      <c r="A12" s="426" t="str">
        <f>COMM!A16</f>
        <v/>
      </c>
      <c r="B12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5" t="str">
        <f>_xlfn.TEXTJOIN("-",TRUE,SETUP!$B$4,COMM!E16)</f>
        <v>FT-RSDWOO</v>
      </c>
      <c r="D12" s="58" t="s">
        <v>807</v>
      </c>
      <c r="E12" s="425" t="str">
        <f>COMM!E16</f>
        <v>RSDWOO</v>
      </c>
      <c r="F12" s="426">
        <v>1</v>
      </c>
      <c r="K12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7" t="str">
        <f t="shared" si="0"/>
        <v>FT-RSDWOO</v>
      </c>
      <c r="M12" s="428" t="str">
        <f>_xlfn.TEXTJOIN(" ",TRUE,SETUP!$B$3,COMM!F16)</f>
        <v>RSD Biomass to Residential</v>
      </c>
      <c r="N12" s="427" t="s">
        <v>13</v>
      </c>
      <c r="O12" s="427" t="s">
        <v>682</v>
      </c>
    </row>
    <row r="13" spans="1:18" s="426" customFormat="1">
      <c r="B13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5" t="str">
        <f>_xlfn.TEXTJOIN("-",TRUE,SETUP!$B$4,COMM!E19)</f>
        <v>FT-RSDAHT</v>
      </c>
      <c r="D13" s="58" t="s">
        <v>817</v>
      </c>
      <c r="E13" s="425" t="str">
        <f>COMM!E19</f>
        <v>RSDAHT</v>
      </c>
      <c r="F13" s="426">
        <v>1</v>
      </c>
      <c r="K13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7" t="str">
        <f>C13</f>
        <v>FT-RSDAHT</v>
      </c>
      <c r="M13" s="428" t="str">
        <f>_xlfn.TEXTJOIN(" ",TRUE,SETUP!$B$3,COMM!F19)</f>
        <v>RSD Ambient Heat to Residential</v>
      </c>
      <c r="N13" s="427" t="s">
        <v>13</v>
      </c>
      <c r="O13" s="427" t="s">
        <v>682</v>
      </c>
    </row>
    <row r="14" spans="1:18">
      <c r="A14" s="426" t="str">
        <f>COMM!A20</f>
        <v/>
      </c>
      <c r="B14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5" t="str">
        <f>_xlfn.TEXTJOIN("-",TRUE,SETUP!$B$4,COMM!E20)</f>
        <v>FT-RSDETH</v>
      </c>
      <c r="D14" s="58" t="s">
        <v>696</v>
      </c>
      <c r="E14" s="425" t="str">
        <f>COMM!E20</f>
        <v>RSDETH</v>
      </c>
      <c r="F14" s="426">
        <v>1</v>
      </c>
      <c r="G14" s="426"/>
      <c r="H14" s="426"/>
      <c r="K14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7" t="str">
        <f t="shared" si="0"/>
        <v>FT-RSDETH</v>
      </c>
      <c r="M14" s="428" t="str">
        <f>_xlfn.TEXTJOIN(" ",TRUE,SETUP!$B$3,COMM!F20)</f>
        <v>RSD Ethanol to Residential</v>
      </c>
      <c r="N14" s="427" t="s">
        <v>13</v>
      </c>
      <c r="O14" s="427" t="s">
        <v>682</v>
      </c>
    </row>
    <row r="15" spans="1:18">
      <c r="A15" s="426" t="str">
        <f>COMM!A21</f>
        <v/>
      </c>
      <c r="B15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5" t="str">
        <f>_xlfn.TEXTJOIN("-",TRUE,SETUP!$B$4,COMM!E21)</f>
        <v>FT-RSDBDL</v>
      </c>
      <c r="D15" s="58" t="s">
        <v>697</v>
      </c>
      <c r="E15" s="425" t="str">
        <f>COMM!E21</f>
        <v>RSDBDL</v>
      </c>
      <c r="F15" s="426">
        <v>1</v>
      </c>
      <c r="G15" s="426"/>
      <c r="H15" s="426"/>
      <c r="K15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7" t="str">
        <f t="shared" si="0"/>
        <v>FT-RSDBDL</v>
      </c>
      <c r="M15" s="428" t="str">
        <f>_xlfn.TEXTJOIN(" ",TRUE,SETUP!$B$3,COMM!F21)</f>
        <v>RSD Biodiesel to Residential</v>
      </c>
      <c r="N15" s="427" t="s">
        <v>13</v>
      </c>
      <c r="O15" s="427" t="s">
        <v>682</v>
      </c>
    </row>
    <row r="16" spans="1:18">
      <c r="A16" s="426"/>
      <c r="B1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5" t="str">
        <f>_xlfn.TEXTJOIN("-",TRUE,SETUP!$B$4,COMM!E24)</f>
        <v>FT-RSDELC</v>
      </c>
      <c r="D16" s="58" t="s">
        <v>806</v>
      </c>
      <c r="E16" s="425" t="str">
        <f>COMM!E24</f>
        <v>RSDELC</v>
      </c>
      <c r="F16" s="426">
        <v>1</v>
      </c>
      <c r="G16" s="426"/>
      <c r="H16" s="426"/>
      <c r="K1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7" t="str">
        <f t="shared" si="0"/>
        <v>FT-RSDELC</v>
      </c>
      <c r="M16" s="428" t="str">
        <f>_xlfn.TEXTJOIN(" ",TRUE,SETUP!$B$3,COMM!F24)</f>
        <v>RSD Electricity to Residential</v>
      </c>
      <c r="N16" s="427" t="s">
        <v>13</v>
      </c>
      <c r="O16" s="427" t="s">
        <v>682</v>
      </c>
      <c r="P16" t="s">
        <v>838</v>
      </c>
    </row>
    <row r="17" spans="1:16">
      <c r="A17" s="426"/>
      <c r="B1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5" t="s">
        <v>1270</v>
      </c>
      <c r="D17" s="58" t="s">
        <v>1079</v>
      </c>
      <c r="E17" s="425" t="str">
        <f>COMM!E25&amp;","&amp;COMM!E26&amp;","&amp;COMM!E27</f>
        <v>RSDHET_Apt,RSDHET_Att,RSDHET_Det</v>
      </c>
      <c r="F17" s="426">
        <v>1</v>
      </c>
      <c r="G17" s="1193">
        <v>0.3</v>
      </c>
      <c r="H17" s="426">
        <v>5</v>
      </c>
      <c r="K1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7" t="str">
        <f>C17</f>
        <v>FT-RSDHET</v>
      </c>
      <c r="M17" s="428" t="s">
        <v>1269</v>
      </c>
      <c r="N17" s="427" t="s">
        <v>13</v>
      </c>
      <c r="O17" s="427" t="s">
        <v>682</v>
      </c>
      <c r="P17" t="s">
        <v>838</v>
      </c>
    </row>
    <row r="18" spans="1:16">
      <c r="A18" s="426"/>
      <c r="B1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5" t="str">
        <f>_xlfn.TEXTJOIN("-",TRUE,SETUP!$B$4,COMM!E17)</f>
        <v>FT-RSDBGS</v>
      </c>
      <c r="D18" s="426" t="s">
        <v>1080</v>
      </c>
      <c r="E18" s="426" t="str">
        <f>COMM!E14</f>
        <v>RSDGAS</v>
      </c>
      <c r="F18" s="426">
        <v>1</v>
      </c>
      <c r="G18" s="426"/>
      <c r="H18" s="426"/>
      <c r="K1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7" t="str">
        <f>C18</f>
        <v>FT-RSDBGS</v>
      </c>
      <c r="M18" s="428" t="str">
        <f>_xlfn.TEXTJOIN(" ",TRUE,SETUP!$B$3,COMM!F17)</f>
        <v>RSD Biogas to Residential</v>
      </c>
      <c r="N18" s="427" t="s">
        <v>13</v>
      </c>
      <c r="O18" s="427" t="s">
        <v>682</v>
      </c>
    </row>
    <row r="19" spans="1:16">
      <c r="A19" s="426"/>
      <c r="B19" s="426"/>
      <c r="C19" s="425"/>
    </row>
    <row r="20" spans="1:16">
      <c r="A20" s="426"/>
      <c r="B20" s="426"/>
      <c r="C20" s="425"/>
    </row>
    <row r="21" spans="1:16">
      <c r="A21" s="426"/>
      <c r="B21" s="426"/>
      <c r="C21" s="425"/>
    </row>
    <row r="22" spans="1:16">
      <c r="A22" s="426"/>
      <c r="B22" s="426"/>
      <c r="C22" s="425"/>
    </row>
    <row r="23" spans="1:16">
      <c r="A23" s="426"/>
      <c r="B23" s="426"/>
      <c r="C23" s="425"/>
    </row>
    <row r="24" spans="1:16">
      <c r="A24" s="426"/>
      <c r="B24" s="426"/>
      <c r="C24" s="425"/>
    </row>
    <row r="25" spans="1:16">
      <c r="A25" s="426"/>
      <c r="B25" s="426"/>
      <c r="C25" s="425"/>
    </row>
    <row r="26" spans="1:16">
      <c r="B26" s="426"/>
      <c r="C26" s="425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K204"/>
  <sheetViews>
    <sheetView tabSelected="1" topLeftCell="T1" zoomScale="60" zoomScaleNormal="60" workbookViewId="0">
      <selection activeCell="AJ151" sqref="AJ151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759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649</v>
      </c>
      <c r="D3" s="49"/>
      <c r="E3" s="49"/>
      <c r="F3" s="49"/>
      <c r="G3" s="705" t="s">
        <v>1084</v>
      </c>
      <c r="H3" s="705"/>
      <c r="I3" s="705"/>
      <c r="J3" s="705"/>
      <c r="K3" s="705"/>
      <c r="L3" s="705"/>
      <c r="M3" s="705"/>
      <c r="N3" s="705"/>
      <c r="O3" s="705"/>
      <c r="P3" s="705"/>
      <c r="Q3" s="705"/>
      <c r="R3" s="705"/>
      <c r="S3" s="705"/>
      <c r="T3" s="705"/>
      <c r="U3" s="705"/>
      <c r="V3" s="705"/>
      <c r="W3" s="705"/>
      <c r="X3" s="705"/>
      <c r="Y3" s="705"/>
      <c r="Z3" s="705"/>
      <c r="AA3" s="705"/>
      <c r="AB3" s="705"/>
      <c r="AC3" s="705"/>
      <c r="AD3" s="705"/>
      <c r="AE3" s="705"/>
      <c r="AF3" s="705"/>
      <c r="AG3" s="705"/>
      <c r="AH3" s="705"/>
      <c r="AI3" s="705"/>
      <c r="AJ3" s="705"/>
      <c r="AK3" s="705"/>
      <c r="AL3" s="705"/>
      <c r="AN3" s="1288" t="s">
        <v>923</v>
      </c>
      <c r="AO3" s="1289"/>
      <c r="AP3" s="1288" t="s">
        <v>924</v>
      </c>
      <c r="AQ3" s="1289"/>
      <c r="AR3" s="1288" t="s">
        <v>925</v>
      </c>
      <c r="AS3" s="1289"/>
      <c r="AT3" s="1288" t="s">
        <v>926</v>
      </c>
      <c r="AU3" s="1307"/>
      <c r="AW3" s="19" t="s">
        <v>757</v>
      </c>
      <c r="AX3" s="19"/>
      <c r="AY3" s="19"/>
      <c r="AZ3" s="19"/>
      <c r="BA3" s="19"/>
      <c r="BB3" s="19"/>
      <c r="BC3" s="19"/>
      <c r="BD3" s="19"/>
      <c r="BE3" s="706"/>
      <c r="BF3" s="706"/>
      <c r="BG3" s="706"/>
      <c r="BH3" s="706"/>
      <c r="BI3" s="706"/>
      <c r="BJ3" s="706"/>
      <c r="BK3" s="706"/>
      <c r="BL3" s="706"/>
      <c r="BM3" s="706"/>
      <c r="BN3" s="706"/>
      <c r="BO3" s="706"/>
      <c r="BP3" s="706"/>
      <c r="BQ3" s="706"/>
      <c r="BR3" s="706"/>
      <c r="BS3" s="706"/>
      <c r="BT3" s="706"/>
      <c r="BU3" s="706"/>
      <c r="BV3" s="706"/>
      <c r="BW3" s="706"/>
      <c r="BX3" s="706"/>
      <c r="BY3" s="706"/>
      <c r="BZ3" s="706"/>
      <c r="CA3" s="706"/>
      <c r="CB3" s="706"/>
      <c r="CC3" s="706"/>
      <c r="CD3" s="706"/>
      <c r="CE3" s="706"/>
      <c r="CF3" s="706"/>
      <c r="CG3" s="706"/>
      <c r="CH3" s="706"/>
      <c r="CI3" s="706"/>
      <c r="CJ3" s="706"/>
      <c r="CK3" s="706"/>
      <c r="CL3" s="706"/>
      <c r="CM3" s="706"/>
      <c r="CN3" s="706"/>
      <c r="CO3" s="706"/>
      <c r="CP3" s="706"/>
      <c r="CQ3" s="706"/>
      <c r="CR3" s="706"/>
      <c r="CS3" s="706"/>
      <c r="CT3" s="706"/>
      <c r="CU3" s="706"/>
      <c r="CV3" s="706"/>
      <c r="CW3" s="706"/>
      <c r="CX3" s="706"/>
      <c r="CY3" s="706"/>
      <c r="CZ3" s="706"/>
      <c r="DA3" s="706"/>
      <c r="DB3" s="706"/>
      <c r="DC3" s="706"/>
      <c r="DD3" s="706"/>
      <c r="DE3" s="706"/>
      <c r="DF3" s="706"/>
      <c r="DG3" s="706"/>
      <c r="DH3" s="706"/>
      <c r="DI3" s="706"/>
      <c r="DJ3" s="706"/>
    </row>
    <row r="4" spans="2:114" ht="16.5" customHeight="1" thickBot="1">
      <c r="C4" s="21" t="s">
        <v>253</v>
      </c>
      <c r="D4" s="21" t="s">
        <v>265</v>
      </c>
      <c r="E4" s="21" t="s">
        <v>1085</v>
      </c>
      <c r="F4" s="21" t="s">
        <v>255</v>
      </c>
      <c r="G4" s="21" t="s">
        <v>256</v>
      </c>
      <c r="H4" s="27" t="str">
        <f>Regions!C3</f>
        <v>IE</v>
      </c>
      <c r="I4" s="802" t="str">
        <f>Regions!E3</f>
        <v>IE-CW</v>
      </c>
      <c r="J4" s="802" t="str">
        <f>Regions!F3</f>
        <v>IE-D</v>
      </c>
      <c r="K4" s="802" t="str">
        <f>Regions!G3</f>
        <v>IE-KE</v>
      </c>
      <c r="L4" s="802" t="str">
        <f>Regions!H3</f>
        <v>IE-KK</v>
      </c>
      <c r="M4" s="802" t="str">
        <f>Regions!I3</f>
        <v>IE-LS</v>
      </c>
      <c r="N4" s="802" t="str">
        <f>Regions!J3</f>
        <v>IE-LD</v>
      </c>
      <c r="O4" s="802" t="str">
        <f>Regions!K3</f>
        <v>IE-LH</v>
      </c>
      <c r="P4" s="802" t="str">
        <f>Regions!L3</f>
        <v>IE-MH</v>
      </c>
      <c r="Q4" s="802" t="str">
        <f>Regions!M3</f>
        <v>IE-OY</v>
      </c>
      <c r="R4" s="802" t="str">
        <f>Regions!N3</f>
        <v>IE-WH</v>
      </c>
      <c r="S4" s="802" t="str">
        <f>Regions!O3</f>
        <v>IE-WX</v>
      </c>
      <c r="T4" s="802" t="str">
        <f>Regions!P3</f>
        <v>IE-WW</v>
      </c>
      <c r="U4" s="802" t="str">
        <f>Regions!Q3</f>
        <v>IE-CE</v>
      </c>
      <c r="V4" s="802" t="str">
        <f>Regions!R3</f>
        <v>IE-CO</v>
      </c>
      <c r="W4" s="802" t="str">
        <f>Regions!S3</f>
        <v>IE-KY</v>
      </c>
      <c r="X4" s="802" t="str">
        <f>Regions!T3</f>
        <v>IE-LK</v>
      </c>
      <c r="Y4" s="802" t="str">
        <f>Regions!U3</f>
        <v>IE-TA</v>
      </c>
      <c r="Z4" s="802" t="str">
        <f>Regions!V3</f>
        <v>IE-WD</v>
      </c>
      <c r="AA4" s="802" t="str">
        <f>Regions!W3</f>
        <v>IE-G</v>
      </c>
      <c r="AB4" s="802" t="str">
        <f>Regions!X3</f>
        <v>IE-LM</v>
      </c>
      <c r="AC4" s="802" t="str">
        <f>Regions!Y3</f>
        <v>IE-MO</v>
      </c>
      <c r="AD4" s="802" t="str">
        <f>Regions!Z3</f>
        <v>IE-RN</v>
      </c>
      <c r="AE4" s="802" t="str">
        <f>Regions!AA3</f>
        <v>IE-SO</v>
      </c>
      <c r="AF4" s="802" t="str">
        <f>Regions!AB3</f>
        <v>IE-CN</v>
      </c>
      <c r="AG4" s="802" t="str">
        <f>Regions!AC3</f>
        <v>IE-DL</v>
      </c>
      <c r="AH4" s="802" t="str">
        <f>Regions!AD3</f>
        <v>IE-MN</v>
      </c>
      <c r="AI4" s="27" t="s">
        <v>808</v>
      </c>
      <c r="AJ4" s="27" t="s">
        <v>266</v>
      </c>
      <c r="AK4" s="27" t="s">
        <v>267</v>
      </c>
      <c r="AL4" s="27" t="s">
        <v>702</v>
      </c>
      <c r="AN4" s="778"/>
      <c r="AO4" s="779"/>
      <c r="AP4" s="780"/>
      <c r="AQ4" s="780"/>
      <c r="AR4" s="780"/>
      <c r="AS4" s="780"/>
      <c r="AT4" s="780"/>
      <c r="AU4" s="781"/>
      <c r="AW4" s="21" t="s">
        <v>259</v>
      </c>
      <c r="AX4" s="21" t="s">
        <v>754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599" t="s">
        <v>268</v>
      </c>
      <c r="D5" s="599" t="s">
        <v>269</v>
      </c>
      <c r="E5" s="599"/>
      <c r="F5" s="599" t="s">
        <v>270</v>
      </c>
      <c r="G5" s="599" t="s">
        <v>271</v>
      </c>
      <c r="H5" s="600" t="s">
        <v>272</v>
      </c>
      <c r="I5" s="600" t="s">
        <v>272</v>
      </c>
      <c r="J5" s="600" t="s">
        <v>272</v>
      </c>
      <c r="K5" s="600" t="s">
        <v>272</v>
      </c>
      <c r="L5" s="600" t="s">
        <v>272</v>
      </c>
      <c r="M5" s="600" t="s">
        <v>272</v>
      </c>
      <c r="N5" s="600" t="s">
        <v>272</v>
      </c>
      <c r="O5" s="600" t="s">
        <v>272</v>
      </c>
      <c r="P5" s="600" t="s">
        <v>272</v>
      </c>
      <c r="Q5" s="600" t="s">
        <v>272</v>
      </c>
      <c r="R5" s="600" t="s">
        <v>272</v>
      </c>
      <c r="S5" s="600" t="s">
        <v>272</v>
      </c>
      <c r="T5" s="600" t="s">
        <v>272</v>
      </c>
      <c r="U5" s="600" t="s">
        <v>272</v>
      </c>
      <c r="V5" s="600" t="s">
        <v>272</v>
      </c>
      <c r="W5" s="600" t="s">
        <v>272</v>
      </c>
      <c r="X5" s="600" t="s">
        <v>272</v>
      </c>
      <c r="Y5" s="600" t="s">
        <v>272</v>
      </c>
      <c r="Z5" s="600" t="s">
        <v>272</v>
      </c>
      <c r="AA5" s="600" t="s">
        <v>272</v>
      </c>
      <c r="AB5" s="600" t="s">
        <v>272</v>
      </c>
      <c r="AC5" s="600" t="s">
        <v>272</v>
      </c>
      <c r="AD5" s="600" t="s">
        <v>272</v>
      </c>
      <c r="AE5" s="600" t="s">
        <v>272</v>
      </c>
      <c r="AF5" s="600" t="s">
        <v>272</v>
      </c>
      <c r="AG5" s="600" t="s">
        <v>272</v>
      </c>
      <c r="AH5" s="600" t="s">
        <v>272</v>
      </c>
      <c r="AI5" s="600"/>
      <c r="AJ5" s="601"/>
      <c r="AK5" s="601"/>
      <c r="AL5" s="601" t="s">
        <v>703</v>
      </c>
      <c r="AN5" s="782" t="s">
        <v>917</v>
      </c>
      <c r="AO5" s="783" t="s">
        <v>216</v>
      </c>
      <c r="AP5" s="782" t="s">
        <v>917</v>
      </c>
      <c r="AQ5" s="784" t="s">
        <v>216</v>
      </c>
      <c r="AR5" s="783" t="s">
        <v>917</v>
      </c>
      <c r="AS5" s="784" t="s">
        <v>216</v>
      </c>
      <c r="AT5" s="783" t="s">
        <v>917</v>
      </c>
      <c r="AU5" s="784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2" t="str">
        <f>AY6</f>
        <v>R-BLD_Att_A</v>
      </c>
      <c r="D6" s="603" t="str">
        <f>AZ6</f>
        <v>Residential Building Attached _ A</v>
      </c>
      <c r="E6" s="603">
        <v>2018</v>
      </c>
      <c r="F6" s="603" t="str">
        <f>COMM!O10</f>
        <v>RSDSH_Att-AB</v>
      </c>
      <c r="G6" s="603" t="s">
        <v>929</v>
      </c>
      <c r="H6" s="887">
        <f>BH8/1000</f>
        <v>72.528642938868245</v>
      </c>
      <c r="I6" s="605">
        <f>DwellingStocks!J34/1000</f>
        <v>0.64012538597490587</v>
      </c>
      <c r="J6" s="605">
        <f>DwellingStocks!M34/1000</f>
        <v>32.295149545010126</v>
      </c>
      <c r="K6" s="605">
        <f>DwellingStocks!P34/1000</f>
        <v>8.491625054733154</v>
      </c>
      <c r="L6" s="605">
        <f>DwellingStocks!S34/1000</f>
        <v>0.40917285393349762</v>
      </c>
      <c r="M6" s="605">
        <f>DwellingStocks!V34/1000</f>
        <v>0.28219639747548908</v>
      </c>
      <c r="N6" s="605">
        <f>DwellingStocks!Y34/1000</f>
        <v>6.355919396405417E-2</v>
      </c>
      <c r="O6" s="605">
        <f>DwellingStocks!AB34/1000</f>
        <v>2.4763318075408587</v>
      </c>
      <c r="P6" s="605">
        <f>DwellingStocks!AE34/1000</f>
        <v>7.2436468767042816</v>
      </c>
      <c r="Q6" s="605">
        <f>DwellingStocks!AH34/1000</f>
        <v>0.21930557896366809</v>
      </c>
      <c r="R6" s="605">
        <f>DwellingStocks!AK34/1000</f>
        <v>0.19096389842424327</v>
      </c>
      <c r="S6" s="605">
        <f>DwellingStocks!AN34/1000</f>
        <v>1.3094827930403272</v>
      </c>
      <c r="T6" s="605">
        <f>DwellingStocks!AQ34/1000</f>
        <v>3.8599472270267614</v>
      </c>
      <c r="U6" s="605">
        <f>DwellingStocks!AT34/1000</f>
        <v>0.59369114083414021</v>
      </c>
      <c r="V6" s="605">
        <f>DwellingStocks!AW34/1000</f>
        <v>6.6182713025334419</v>
      </c>
      <c r="W6" s="605">
        <f>DwellingStocks!AZ34/1000</f>
        <v>0.62857871848192959</v>
      </c>
      <c r="X6" s="605">
        <f>DwellingStocks!BC34/1000</f>
        <v>1.8634350472929546</v>
      </c>
      <c r="Y6" s="605">
        <f>DwellingStocks!BF34/1000</f>
        <v>0.25351081690194532</v>
      </c>
      <c r="Z6" s="605">
        <f>DwellingStocks!BI34/1000</f>
        <v>1.6892604692613722</v>
      </c>
      <c r="AA6" s="605">
        <f>DwellingStocks!BL34/1000</f>
        <v>1.4826764323355131</v>
      </c>
      <c r="AB6" s="605">
        <f>DwellingStocks!BO34/1000</f>
        <v>1.8251862083734874E-2</v>
      </c>
      <c r="AC6" s="605">
        <f>DwellingStocks!BR34/1000</f>
        <v>0.47782606916581521</v>
      </c>
      <c r="AD6" s="605">
        <f>DwellingStocks!BU34/1000</f>
        <v>0.14411965010180888</v>
      </c>
      <c r="AE6" s="605">
        <f>DwellingStocks!BX34/1000</f>
        <v>0.23427944702287357</v>
      </c>
      <c r="AF6" s="605">
        <f>DwellingStocks!CA34/1000</f>
        <v>0.20157549947154663</v>
      </c>
      <c r="AG6" s="605">
        <f>DwellingStocks!CD34/1000</f>
        <v>0.47721507281766717</v>
      </c>
      <c r="AH6" s="605">
        <f>DwellingStocks!CG34/1000</f>
        <v>0.36444479777211397</v>
      </c>
      <c r="AI6" s="605">
        <v>1</v>
      </c>
      <c r="AJ6" s="603">
        <f>BP26</f>
        <v>10000000</v>
      </c>
      <c r="AK6" s="603">
        <v>1</v>
      </c>
      <c r="AL6" s="707">
        <f>AN6</f>
        <v>1.6289061723700675E-3</v>
      </c>
      <c r="AN6" s="785">
        <f>BR55*DwellingStocks!X18*(1+AO53)</f>
        <v>1.6289061723700675E-3</v>
      </c>
      <c r="AO6" s="786">
        <f>AN6*H6</f>
        <v>0.11814235415674719</v>
      </c>
      <c r="AP6" s="787"/>
      <c r="AQ6" s="788"/>
      <c r="AR6" s="787"/>
      <c r="AS6" s="788"/>
      <c r="AT6" s="786"/>
      <c r="AU6" s="788"/>
      <c r="AW6" s="372" t="s">
        <v>273</v>
      </c>
      <c r="AX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2" t="s">
        <v>941</v>
      </c>
      <c r="AZ6" s="372" t="s">
        <v>942</v>
      </c>
      <c r="BA6" s="372" t="s">
        <v>272</v>
      </c>
      <c r="BB6" s="708" t="s">
        <v>272</v>
      </c>
      <c r="BC6" s="372"/>
      <c r="BD6" s="372"/>
      <c r="BE6" s="25"/>
      <c r="BF6" s="1290" t="s">
        <v>1059</v>
      </c>
      <c r="BG6" s="1291"/>
      <c r="BH6" s="1291"/>
      <c r="BI6" s="1291"/>
      <c r="BJ6" s="1306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2"/>
      <c r="D7" s="438"/>
      <c r="E7" s="438"/>
      <c r="F7" s="711" t="s">
        <v>1281</v>
      </c>
      <c r="G7" s="438"/>
      <c r="H7" s="709"/>
      <c r="I7" s="709"/>
      <c r="J7" s="709"/>
      <c r="K7" s="709"/>
      <c r="L7" s="709"/>
      <c r="M7" s="709"/>
      <c r="N7" s="709"/>
      <c r="O7" s="709"/>
      <c r="P7" s="709"/>
      <c r="Q7" s="709"/>
      <c r="R7" s="709"/>
      <c r="S7" s="709"/>
      <c r="T7" s="709"/>
      <c r="U7" s="709"/>
      <c r="V7" s="709"/>
      <c r="W7" s="709"/>
      <c r="X7" s="709"/>
      <c r="Y7" s="709"/>
      <c r="Z7" s="709"/>
      <c r="AA7" s="709"/>
      <c r="AB7" s="709"/>
      <c r="AC7" s="709"/>
      <c r="AD7" s="709"/>
      <c r="AE7" s="709"/>
      <c r="AF7" s="709"/>
      <c r="AG7" s="709"/>
      <c r="AH7" s="709"/>
      <c r="AI7" s="709"/>
      <c r="AJ7" s="438"/>
      <c r="AK7" s="438"/>
      <c r="AL7" s="710"/>
      <c r="AN7" s="767"/>
      <c r="AO7" s="764"/>
      <c r="AP7" s="771"/>
      <c r="AQ7" s="768"/>
      <c r="AR7" s="771"/>
      <c r="AS7" s="768"/>
      <c r="AT7" s="764"/>
      <c r="AU7" s="768"/>
      <c r="AW7" s="711" t="s">
        <v>273</v>
      </c>
      <c r="AX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11" t="s">
        <v>943</v>
      </c>
      <c r="AZ7" s="711" t="s">
        <v>944</v>
      </c>
      <c r="BA7" s="712" t="s">
        <v>272</v>
      </c>
      <c r="BB7" s="711" t="s">
        <v>272</v>
      </c>
      <c r="BC7" s="712"/>
      <c r="BD7" s="711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930</v>
      </c>
      <c r="G8" s="290"/>
      <c r="H8" s="713"/>
      <c r="I8" s="713"/>
      <c r="J8" s="713"/>
      <c r="K8" s="713"/>
      <c r="L8" s="713"/>
      <c r="M8" s="713"/>
      <c r="N8" s="713"/>
      <c r="O8" s="713"/>
      <c r="P8" s="713"/>
      <c r="Q8" s="713"/>
      <c r="R8" s="713"/>
      <c r="S8" s="713"/>
      <c r="T8" s="713"/>
      <c r="U8" s="713"/>
      <c r="V8" s="713"/>
      <c r="W8" s="713"/>
      <c r="X8" s="713"/>
      <c r="Y8" s="713"/>
      <c r="Z8" s="713"/>
      <c r="AA8" s="713"/>
      <c r="AB8" s="713"/>
      <c r="AC8" s="713"/>
      <c r="AD8" s="713"/>
      <c r="AE8" s="713"/>
      <c r="AF8" s="713"/>
      <c r="AG8" s="713"/>
      <c r="AH8" s="713"/>
      <c r="AI8" s="713"/>
      <c r="AJ8" s="290"/>
      <c r="AK8" s="290"/>
      <c r="AL8" s="714">
        <f>AP8</f>
        <v>7.2055538086187995E-3</v>
      </c>
      <c r="AM8" s="1183"/>
      <c r="AN8" s="767"/>
      <c r="AO8" s="764"/>
      <c r="AP8" s="771">
        <f>BS55*(1+AQ53)</f>
        <v>7.2055538086187995E-3</v>
      </c>
      <c r="AQ8" s="768">
        <f>AP8*H6</f>
        <v>0.52260903936211511</v>
      </c>
      <c r="AR8" s="771"/>
      <c r="AS8" s="768"/>
      <c r="AT8" s="764"/>
      <c r="AU8" s="768"/>
      <c r="AW8" s="372" t="s">
        <v>273</v>
      </c>
      <c r="AX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2" t="s">
        <v>945</v>
      </c>
      <c r="AZ8" s="372" t="s">
        <v>946</v>
      </c>
      <c r="BA8" s="372" t="s">
        <v>272</v>
      </c>
      <c r="BB8" s="708" t="s">
        <v>272</v>
      </c>
      <c r="BC8" s="372"/>
      <c r="BD8" s="372"/>
      <c r="BE8" s="25"/>
      <c r="BF8" s="213" t="s">
        <v>48</v>
      </c>
      <c r="BG8" s="307">
        <v>11735.038424732089</v>
      </c>
      <c r="BH8" s="307">
        <v>72528.642938868245</v>
      </c>
      <c r="BI8" s="756">
        <v>37364.451209178158</v>
      </c>
      <c r="BJ8" s="815">
        <v>121628.1325727785</v>
      </c>
      <c r="BK8" s="25"/>
      <c r="BL8" s="25"/>
      <c r="BM8" s="25">
        <v>11.735038424732089</v>
      </c>
      <c r="BN8" s="786">
        <v>72.528642938868245</v>
      </c>
      <c r="BO8" s="786">
        <v>37.364451209178156</v>
      </c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39"/>
      <c r="D9" s="438"/>
      <c r="E9" s="438"/>
      <c r="F9" s="438" t="s">
        <v>931</v>
      </c>
      <c r="G9" s="438"/>
      <c r="H9" s="709"/>
      <c r="I9" s="709"/>
      <c r="J9" s="709"/>
      <c r="K9" s="709"/>
      <c r="L9" s="709"/>
      <c r="M9" s="709"/>
      <c r="N9" s="709"/>
      <c r="O9" s="709"/>
      <c r="P9" s="709"/>
      <c r="Q9" s="709"/>
      <c r="R9" s="709"/>
      <c r="S9" s="709"/>
      <c r="T9" s="709"/>
      <c r="U9" s="709"/>
      <c r="V9" s="709"/>
      <c r="W9" s="709"/>
      <c r="X9" s="709"/>
      <c r="Y9" s="709"/>
      <c r="Z9" s="709"/>
      <c r="AA9" s="709"/>
      <c r="AB9" s="709"/>
      <c r="AC9" s="709"/>
      <c r="AD9" s="709"/>
      <c r="AE9" s="709"/>
      <c r="AF9" s="709"/>
      <c r="AG9" s="709"/>
      <c r="AH9" s="709"/>
      <c r="AI9" s="709"/>
      <c r="AJ9" s="438"/>
      <c r="AK9" s="438"/>
      <c r="AL9" s="710">
        <f>AR9</f>
        <v>7.4581689061364799E-4</v>
      </c>
      <c r="AM9" s="1183"/>
      <c r="AN9" s="767"/>
      <c r="AO9" s="764"/>
      <c r="AP9" s="771"/>
      <c r="AQ9" s="768"/>
      <c r="AR9" s="771">
        <f>BT55*(1+AS53)</f>
        <v>7.4581689061364799E-4</v>
      </c>
      <c r="AS9" s="768">
        <f>AR9*H6</f>
        <v>5.4093086957094229E-2</v>
      </c>
      <c r="AT9" s="792"/>
      <c r="AU9" s="768"/>
      <c r="AW9" s="711" t="s">
        <v>273</v>
      </c>
      <c r="AX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11" t="s">
        <v>947</v>
      </c>
      <c r="AZ9" s="711" t="s">
        <v>948</v>
      </c>
      <c r="BA9" s="712" t="s">
        <v>272</v>
      </c>
      <c r="BB9" s="711" t="s">
        <v>272</v>
      </c>
      <c r="BC9" s="712"/>
      <c r="BD9" s="711"/>
      <c r="BE9" s="25"/>
      <c r="BF9" s="210" t="s">
        <v>50</v>
      </c>
      <c r="BG9" s="309">
        <v>5197.6132443555907</v>
      </c>
      <c r="BH9" s="309">
        <v>6727.4572369101443</v>
      </c>
      <c r="BI9" s="757">
        <v>8186.7925913057998</v>
      </c>
      <c r="BJ9" s="816">
        <v>20111.863072571534</v>
      </c>
      <c r="BK9" s="25"/>
      <c r="BL9" s="25"/>
      <c r="BM9" s="25">
        <v>5.1976132443555905</v>
      </c>
      <c r="BN9" s="764">
        <v>6.7274572369101442</v>
      </c>
      <c r="BO9" s="764">
        <v>8.1867925913057995</v>
      </c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06"/>
      <c r="D10" s="606"/>
      <c r="E10" s="606"/>
      <c r="F10" s="606" t="s">
        <v>932</v>
      </c>
      <c r="G10" s="606"/>
      <c r="H10" s="608"/>
      <c r="I10" s="608"/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8"/>
      <c r="U10" s="608"/>
      <c r="V10" s="608"/>
      <c r="W10" s="608"/>
      <c r="X10" s="608"/>
      <c r="Y10" s="608"/>
      <c r="Z10" s="608"/>
      <c r="AA10" s="608"/>
      <c r="AB10" s="608"/>
      <c r="AC10" s="608"/>
      <c r="AD10" s="608"/>
      <c r="AE10" s="608"/>
      <c r="AF10" s="608"/>
      <c r="AG10" s="608"/>
      <c r="AH10" s="608"/>
      <c r="AI10" s="608"/>
      <c r="AJ10" s="606"/>
      <c r="AK10" s="606"/>
      <c r="AL10" s="715">
        <f>AT10</f>
        <v>6.6342920932503874E-4</v>
      </c>
      <c r="AM10" s="1183"/>
      <c r="AN10" s="789"/>
      <c r="AO10" s="769"/>
      <c r="AP10" s="790"/>
      <c r="AQ10" s="770"/>
      <c r="AR10" s="790"/>
      <c r="AS10" s="770"/>
      <c r="AT10" s="791">
        <f>BU55*(1+$AU$53)</f>
        <v>6.6342920932503874E-4</v>
      </c>
      <c r="AU10" s="770">
        <f>AT10*H6</f>
        <v>4.8117620238351415E-2</v>
      </c>
      <c r="AW10" s="372" t="s">
        <v>273</v>
      </c>
      <c r="AX1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2" t="s">
        <v>949</v>
      </c>
      <c r="AZ10" s="372" t="s">
        <v>950</v>
      </c>
      <c r="BA10" s="372" t="s">
        <v>272</v>
      </c>
      <c r="BB10" s="708" t="s">
        <v>272</v>
      </c>
      <c r="BC10" s="372"/>
      <c r="BD10" s="372"/>
      <c r="BE10" s="25"/>
      <c r="BF10" s="214" t="s">
        <v>52</v>
      </c>
      <c r="BG10" s="311">
        <v>13979.419134898935</v>
      </c>
      <c r="BH10" s="311">
        <v>14584.48055403824</v>
      </c>
      <c r="BI10" s="758">
        <v>18974.694526816245</v>
      </c>
      <c r="BJ10" s="817">
        <v>47538.594215753423</v>
      </c>
      <c r="BK10" s="25"/>
      <c r="BL10" s="25"/>
      <c r="BM10" s="25">
        <v>13.979419134898935</v>
      </c>
      <c r="BN10" s="764">
        <v>14.58448055403824</v>
      </c>
      <c r="BO10" s="764">
        <v>18.974694526816247</v>
      </c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2" t="str">
        <f>AY7</f>
        <v>R-BLD_Att_B1</v>
      </c>
      <c r="D11" s="603" t="str">
        <f>AZ7</f>
        <v>Residential Building Attached _ B1</v>
      </c>
      <c r="E11" s="603">
        <v>2018</v>
      </c>
      <c r="F11" s="603" t="str">
        <f>COMM!O10</f>
        <v>RSDSH_Att-AB</v>
      </c>
      <c r="G11" s="603" t="s">
        <v>929</v>
      </c>
      <c r="H11" s="605">
        <f>BH9/1000</f>
        <v>6.7274572369101442</v>
      </c>
      <c r="I11" s="605">
        <f>DwellingStocks!J35/1000</f>
        <v>5.7764138869705051E-2</v>
      </c>
      <c r="J11" s="605">
        <f>DwellingStocks!M35/1000</f>
        <v>2.0423059453862442</v>
      </c>
      <c r="K11" s="605">
        <f>DwellingStocks!P35/1000</f>
        <v>0.38922779303523941</v>
      </c>
      <c r="L11" s="605">
        <f>DwellingStocks!S35/1000</f>
        <v>0.12647997242746836</v>
      </c>
      <c r="M11" s="605">
        <f>DwellingStocks!V35/1000</f>
        <v>0.14856626238081996</v>
      </c>
      <c r="N11" s="605">
        <f>DwellingStocks!Y35/1000</f>
        <v>0.15769521416157165</v>
      </c>
      <c r="O11" s="605">
        <f>DwellingStocks!AB35/1000</f>
        <v>0.47515203337345047</v>
      </c>
      <c r="P11" s="605">
        <f>DwellingStocks!AE35/1000</f>
        <v>0.27925560206332622</v>
      </c>
      <c r="Q11" s="605">
        <f>DwellingStocks!AH35/1000</f>
        <v>3.5940929581826681E-2</v>
      </c>
      <c r="R11" s="605">
        <f>DwellingStocks!AK35/1000</f>
        <v>2.9544404203263624E-2</v>
      </c>
      <c r="S11" s="605">
        <f>DwellingStocks!AN35/1000</f>
        <v>0.14310442140608448</v>
      </c>
      <c r="T11" s="605">
        <f>DwellingStocks!AQ35/1000</f>
        <v>0.1881879388180264</v>
      </c>
      <c r="U11" s="605">
        <f>DwellingStocks!AT35/1000</f>
        <v>8.4771663699014427E-2</v>
      </c>
      <c r="V11" s="605">
        <f>DwellingStocks!AW35/1000</f>
        <v>1.0196405613550452</v>
      </c>
      <c r="W11" s="605">
        <f>DwellingStocks!AZ35/1000</f>
        <v>0.17674208196569424</v>
      </c>
      <c r="X11" s="605">
        <f>DwellingStocks!BC35/1000</f>
        <v>0.23505700105517635</v>
      </c>
      <c r="Y11" s="605">
        <f>DwellingStocks!BF35/1000</f>
        <v>0.20588599718364439</v>
      </c>
      <c r="Z11" s="605">
        <f>DwellingStocks!BI35/1000</f>
        <v>0.26346556892252571</v>
      </c>
      <c r="AA11" s="605">
        <f>DwellingStocks!BL35/1000</f>
        <v>0.16081239443278592</v>
      </c>
      <c r="AB11" s="605">
        <f>DwellingStocks!BO35/1000</f>
        <v>0</v>
      </c>
      <c r="AC11" s="605">
        <f>DwellingStocks!BR35/1000</f>
        <v>0.13983273659454598</v>
      </c>
      <c r="AD11" s="605">
        <f>DwellingStocks!BU35/1000</f>
        <v>1.7317051217140424E-2</v>
      </c>
      <c r="AE11" s="605">
        <f>DwellingStocks!BX35/1000</f>
        <v>0.11574451614501438</v>
      </c>
      <c r="AF11" s="605">
        <f>DwellingStocks!CA35/1000</f>
        <v>6.367007114718716E-2</v>
      </c>
      <c r="AG11" s="605">
        <f>DwellingStocks!CD35/1000</f>
        <v>7.1811338227973545E-2</v>
      </c>
      <c r="AH11" s="605">
        <f>DwellingStocks!CG35/1000</f>
        <v>9.9481599257371323E-2</v>
      </c>
      <c r="AI11" s="605">
        <v>1</v>
      </c>
      <c r="AJ11" s="603">
        <f>BP27</f>
        <v>10000000</v>
      </c>
      <c r="AK11" s="603">
        <v>1</v>
      </c>
      <c r="AL11" s="707">
        <f>AN11</f>
        <v>1.2758234262401275E-2</v>
      </c>
      <c r="AM11" s="1183"/>
      <c r="AN11" s="767">
        <f>BR56*DwellingStocks!X19*(1+AO53)</f>
        <v>1.2758234262401275E-2</v>
      </c>
      <c r="AO11" s="764">
        <f>AN11*H11</f>
        <v>8.5830475418786412E-2</v>
      </c>
      <c r="AP11" s="771"/>
      <c r="AQ11" s="768"/>
      <c r="AR11" s="764"/>
      <c r="AS11" s="768"/>
      <c r="AT11" s="792"/>
      <c r="AU11" s="768"/>
      <c r="AW11" s="711" t="s">
        <v>273</v>
      </c>
      <c r="AX1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11" t="s">
        <v>951</v>
      </c>
      <c r="AZ11" s="711" t="s">
        <v>952</v>
      </c>
      <c r="BA11" s="712" t="s">
        <v>272</v>
      </c>
      <c r="BB11" s="711" t="s">
        <v>272</v>
      </c>
      <c r="BC11" s="712"/>
      <c r="BD11" s="711"/>
      <c r="BE11" s="25"/>
      <c r="BF11" s="210" t="s">
        <v>54</v>
      </c>
      <c r="BG11" s="309">
        <v>21709.86153487581</v>
      </c>
      <c r="BH11" s="309">
        <v>49420.927051735707</v>
      </c>
      <c r="BI11" s="757">
        <v>54549.088898874157</v>
      </c>
      <c r="BJ11" s="816">
        <v>125679.87748548566</v>
      </c>
      <c r="BK11" s="25"/>
      <c r="BL11" s="25"/>
      <c r="BM11" s="25">
        <v>21.176485750422383</v>
      </c>
      <c r="BN11" s="764">
        <v>48.206735717890069</v>
      </c>
      <c r="BO11" s="764">
        <v>53.208907017201781</v>
      </c>
      <c r="BP11" s="582"/>
      <c r="BQ11" s="582"/>
      <c r="BR11" s="582"/>
      <c r="BS11" s="582"/>
      <c r="BT11" s="582"/>
      <c r="BU11" s="582"/>
      <c r="BV11" s="582"/>
      <c r="BW11" s="582"/>
      <c r="BX11" s="582"/>
      <c r="BY11" s="582"/>
      <c r="BZ11" s="582"/>
      <c r="CA11" s="582"/>
      <c r="CB11" s="582"/>
      <c r="CC11" s="582"/>
      <c r="CH11" s="582"/>
      <c r="CI11" s="582"/>
      <c r="CJ11" s="582"/>
      <c r="CK11" s="582"/>
      <c r="CL11" s="582"/>
      <c r="CM11" s="582"/>
      <c r="CN11" s="582"/>
      <c r="CO11" s="582"/>
      <c r="CP11" s="582"/>
      <c r="CQ11" s="582"/>
      <c r="CR11" s="582"/>
      <c r="CS11" s="582"/>
      <c r="CT11" s="582"/>
      <c r="CU11" s="582"/>
      <c r="CV11" s="582"/>
      <c r="CW11" s="582"/>
      <c r="CX11" s="582"/>
      <c r="CY11" s="582"/>
      <c r="CZ11" s="582"/>
      <c r="DA11" s="582"/>
      <c r="DB11" s="582"/>
      <c r="DC11" s="582"/>
      <c r="DD11" s="582"/>
      <c r="DE11" s="582"/>
      <c r="DF11" s="582"/>
      <c r="DG11" s="582"/>
      <c r="DH11" s="582"/>
      <c r="DI11" s="582"/>
      <c r="DJ11" s="582"/>
    </row>
    <row r="12" spans="2:114" ht="12" customHeight="1">
      <c r="C12" s="439"/>
      <c r="D12" s="438"/>
      <c r="E12" s="438"/>
      <c r="F12" s="711" t="s">
        <v>1281</v>
      </c>
      <c r="G12" s="438"/>
      <c r="H12" s="709"/>
      <c r="I12" s="709"/>
      <c r="J12" s="709"/>
      <c r="K12" s="709"/>
      <c r="L12" s="709"/>
      <c r="M12" s="709"/>
      <c r="N12" s="709"/>
      <c r="O12" s="709"/>
      <c r="P12" s="709"/>
      <c r="Q12" s="709"/>
      <c r="R12" s="709"/>
      <c r="S12" s="709"/>
      <c r="T12" s="709"/>
      <c r="U12" s="709"/>
      <c r="V12" s="709"/>
      <c r="W12" s="709"/>
      <c r="X12" s="709"/>
      <c r="Y12" s="709"/>
      <c r="Z12" s="709"/>
      <c r="AA12" s="709"/>
      <c r="AB12" s="709"/>
      <c r="AC12" s="709"/>
      <c r="AD12" s="709"/>
      <c r="AE12" s="709"/>
      <c r="AF12" s="709"/>
      <c r="AG12" s="709"/>
      <c r="AH12" s="709"/>
      <c r="AI12" s="709"/>
      <c r="AJ12" s="438"/>
      <c r="AK12" s="438"/>
      <c r="AL12" s="710"/>
      <c r="AM12" s="1183"/>
      <c r="AN12" s="767"/>
      <c r="AO12" s="764"/>
      <c r="AP12" s="771"/>
      <c r="AQ12" s="768"/>
      <c r="AR12" s="764"/>
      <c r="AS12" s="768"/>
      <c r="AT12" s="792"/>
      <c r="AU12" s="768"/>
      <c r="AW12" s="372" t="s">
        <v>273</v>
      </c>
      <c r="AX1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2" t="s">
        <v>953</v>
      </c>
      <c r="AZ12" s="372" t="s">
        <v>954</v>
      </c>
      <c r="BA12" s="372" t="s">
        <v>272</v>
      </c>
      <c r="BB12" s="708" t="s">
        <v>272</v>
      </c>
      <c r="BC12" s="372"/>
      <c r="BD12" s="372"/>
      <c r="BE12" s="25"/>
      <c r="BF12" s="214" t="s">
        <v>56</v>
      </c>
      <c r="BG12" s="311">
        <v>71167.091754613168</v>
      </c>
      <c r="BH12" s="311">
        <v>293672.95873330871</v>
      </c>
      <c r="BI12" s="758">
        <v>264765.40185365622</v>
      </c>
      <c r="BJ12" s="817">
        <v>629605.45234157809</v>
      </c>
      <c r="BK12" s="25"/>
      <c r="BL12" s="25"/>
      <c r="BM12" s="25">
        <v>69.767580080770472</v>
      </c>
      <c r="BN12" s="764">
        <v>287.89783537353549</v>
      </c>
      <c r="BO12" s="764">
        <v>259.55874999268815</v>
      </c>
      <c r="BP12" s="582"/>
      <c r="BQ12" s="582"/>
      <c r="BR12" s="582"/>
      <c r="BS12" s="582"/>
      <c r="BT12" s="582"/>
      <c r="BU12" s="582"/>
      <c r="BV12" s="582"/>
      <c r="BW12" s="582"/>
      <c r="BX12" s="582"/>
      <c r="BY12" s="582"/>
      <c r="BZ12" s="582"/>
      <c r="CA12" s="582"/>
      <c r="CB12" s="582"/>
      <c r="CC12" s="582"/>
      <c r="CH12" s="582"/>
      <c r="CI12" s="582"/>
      <c r="CJ12" s="582"/>
      <c r="CK12" s="582"/>
      <c r="CL12" s="582"/>
      <c r="CM12" s="582"/>
      <c r="CN12" s="582"/>
      <c r="CO12" s="582"/>
      <c r="CP12" s="582"/>
      <c r="CQ12" s="582"/>
      <c r="CR12" s="582"/>
      <c r="CS12" s="582"/>
      <c r="CT12" s="582"/>
      <c r="CU12" s="582"/>
      <c r="CV12" s="582"/>
      <c r="CW12" s="582"/>
      <c r="CX12" s="582"/>
      <c r="CY12" s="582"/>
      <c r="CZ12" s="582"/>
      <c r="DA12" s="582"/>
      <c r="DB12" s="582"/>
      <c r="DC12" s="582"/>
      <c r="DD12" s="582"/>
      <c r="DE12" s="582"/>
      <c r="DF12" s="582"/>
      <c r="DG12" s="582"/>
      <c r="DH12" s="582"/>
      <c r="DI12" s="582"/>
      <c r="DJ12" s="582"/>
    </row>
    <row r="13" spans="2:114" ht="12" customHeight="1">
      <c r="C13" s="290"/>
      <c r="D13" s="290"/>
      <c r="E13" s="290"/>
      <c r="F13" s="290" t="s">
        <v>930</v>
      </c>
      <c r="G13" s="290"/>
      <c r="H13" s="713"/>
      <c r="I13" s="713"/>
      <c r="J13" s="713"/>
      <c r="K13" s="713"/>
      <c r="L13" s="713"/>
      <c r="M13" s="713"/>
      <c r="N13" s="713"/>
      <c r="O13" s="713"/>
      <c r="P13" s="713"/>
      <c r="Q13" s="713"/>
      <c r="R13" s="713"/>
      <c r="S13" s="713"/>
      <c r="T13" s="713"/>
      <c r="U13" s="713"/>
      <c r="V13" s="713"/>
      <c r="W13" s="713"/>
      <c r="X13" s="713"/>
      <c r="Y13" s="713"/>
      <c r="Z13" s="713"/>
      <c r="AA13" s="713"/>
      <c r="AB13" s="713"/>
      <c r="AC13" s="713"/>
      <c r="AD13" s="713"/>
      <c r="AE13" s="713"/>
      <c r="AF13" s="713"/>
      <c r="AG13" s="713"/>
      <c r="AH13" s="713"/>
      <c r="AI13" s="713"/>
      <c r="AJ13" s="290"/>
      <c r="AK13" s="290"/>
      <c r="AL13" s="714">
        <f>AP13</f>
        <v>6.7270178994306403E-3</v>
      </c>
      <c r="AM13" s="1183"/>
      <c r="AN13" s="767"/>
      <c r="AO13" s="764"/>
      <c r="AP13" s="771">
        <f>BS56*(1+AQ53)</f>
        <v>6.7270178994306403E-3</v>
      </c>
      <c r="AQ13" s="768">
        <f>AP13*H11</f>
        <v>4.5255725250348738E-2</v>
      </c>
      <c r="AR13" s="764"/>
      <c r="AS13" s="768"/>
      <c r="AT13" s="792"/>
      <c r="AU13" s="768"/>
      <c r="AW13" s="711" t="s">
        <v>273</v>
      </c>
      <c r="AX13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11" t="s">
        <v>955</v>
      </c>
      <c r="AZ13" s="711" t="s">
        <v>956</v>
      </c>
      <c r="BA13" s="712" t="s">
        <v>272</v>
      </c>
      <c r="BB13" s="711" t="s">
        <v>272</v>
      </c>
      <c r="BC13" s="712"/>
      <c r="BD13" s="711"/>
      <c r="BF13" s="210" t="s">
        <v>58</v>
      </c>
      <c r="BG13" s="309">
        <v>47490.854787158918</v>
      </c>
      <c r="BH13" s="309">
        <v>175920.34461876052</v>
      </c>
      <c r="BI13" s="757">
        <v>166984.19754801539</v>
      </c>
      <c r="BJ13" s="816">
        <v>390395.3969539348</v>
      </c>
      <c r="BK13" s="25"/>
      <c r="BL13" s="25"/>
      <c r="BM13" s="25">
        <v>45.993619928119749</v>
      </c>
      <c r="BN13" s="764">
        <v>170.37413843742618</v>
      </c>
      <c r="BO13" s="764">
        <v>161.71971952170765</v>
      </c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39"/>
      <c r="D14" s="438"/>
      <c r="E14" s="438"/>
      <c r="F14" s="438" t="s">
        <v>931</v>
      </c>
      <c r="G14" s="438"/>
      <c r="H14" s="709"/>
      <c r="I14" s="709"/>
      <c r="J14" s="709"/>
      <c r="K14" s="709"/>
      <c r="L14" s="709"/>
      <c r="M14" s="709"/>
      <c r="N14" s="709"/>
      <c r="O14" s="709"/>
      <c r="P14" s="709"/>
      <c r="Q14" s="709"/>
      <c r="R14" s="709"/>
      <c r="S14" s="709"/>
      <c r="T14" s="709"/>
      <c r="U14" s="709"/>
      <c r="V14" s="709"/>
      <c r="W14" s="709"/>
      <c r="X14" s="709"/>
      <c r="Y14" s="709"/>
      <c r="Z14" s="709"/>
      <c r="AA14" s="709"/>
      <c r="AB14" s="709"/>
      <c r="AC14" s="709"/>
      <c r="AD14" s="709"/>
      <c r="AE14" s="709"/>
      <c r="AF14" s="709"/>
      <c r="AG14" s="709"/>
      <c r="AH14" s="709"/>
      <c r="AI14" s="709"/>
      <c r="AJ14" s="438"/>
      <c r="AK14" s="438"/>
      <c r="AL14" s="710">
        <f>AR14</f>
        <v>7.8297489387643942E-4</v>
      </c>
      <c r="AM14" s="1183"/>
      <c r="AN14" s="767"/>
      <c r="AO14" s="764"/>
      <c r="AP14" s="771"/>
      <c r="AQ14" s="768"/>
      <c r="AR14" s="764">
        <f>BT56*(1+AS53)</f>
        <v>7.8297489387643942E-4</v>
      </c>
      <c r="AS14" s="768">
        <f>AR14*H11</f>
        <v>5.2674301161280048E-3</v>
      </c>
      <c r="AT14" s="792"/>
      <c r="AU14" s="768"/>
      <c r="AW14" s="716" t="s">
        <v>273</v>
      </c>
      <c r="AX14" s="716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16" t="s">
        <v>957</v>
      </c>
      <c r="AZ14" s="716" t="s">
        <v>958</v>
      </c>
      <c r="BA14" s="716" t="s">
        <v>272</v>
      </c>
      <c r="BB14" s="717" t="s">
        <v>272</v>
      </c>
      <c r="BC14" s="716"/>
      <c r="BD14" s="716"/>
      <c r="BE14" s="25"/>
      <c r="BF14" s="214" t="s">
        <v>60</v>
      </c>
      <c r="BG14" s="311">
        <v>23790.684938210514</v>
      </c>
      <c r="BH14" s="311">
        <v>85755.437936808186</v>
      </c>
      <c r="BI14" s="758">
        <v>74836.881491341002</v>
      </c>
      <c r="BJ14" s="817">
        <v>184383.0043663597</v>
      </c>
      <c r="BK14" s="25"/>
      <c r="BL14" s="25"/>
      <c r="BM14" s="25">
        <v>19.403965347730132</v>
      </c>
      <c r="BN14" s="764">
        <v>69.943154239863205</v>
      </c>
      <c r="BO14" s="764">
        <v>61.037849854330162</v>
      </c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06"/>
      <c r="D15" s="606"/>
      <c r="E15" s="606"/>
      <c r="F15" s="606" t="s">
        <v>932</v>
      </c>
      <c r="G15" s="606"/>
      <c r="H15" s="608"/>
      <c r="I15" s="608"/>
      <c r="J15" s="608"/>
      <c r="K15" s="608"/>
      <c r="L15" s="608"/>
      <c r="M15" s="608"/>
      <c r="N15" s="608"/>
      <c r="O15" s="608"/>
      <c r="P15" s="608"/>
      <c r="Q15" s="608"/>
      <c r="R15" s="608"/>
      <c r="S15" s="608"/>
      <c r="T15" s="608"/>
      <c r="U15" s="608"/>
      <c r="V15" s="608"/>
      <c r="W15" s="608"/>
      <c r="X15" s="608"/>
      <c r="Y15" s="608"/>
      <c r="Z15" s="608"/>
      <c r="AA15" s="608"/>
      <c r="AB15" s="608"/>
      <c r="AC15" s="608"/>
      <c r="AD15" s="608"/>
      <c r="AE15" s="608"/>
      <c r="AF15" s="608"/>
      <c r="AG15" s="608"/>
      <c r="AH15" s="608"/>
      <c r="AI15" s="608"/>
      <c r="AJ15" s="606"/>
      <c r="AK15" s="606"/>
      <c r="AL15" s="715">
        <f>AT15</f>
        <v>4.054499794063279E-4</v>
      </c>
      <c r="AM15" s="1183"/>
      <c r="AN15" s="767"/>
      <c r="AO15" s="764"/>
      <c r="AP15" s="771"/>
      <c r="AQ15" s="768"/>
      <c r="AR15" s="764"/>
      <c r="AS15" s="768"/>
      <c r="AT15" s="792">
        <f>BU56*(1+$AU$53)</f>
        <v>4.054499794063279E-4</v>
      </c>
      <c r="AU15" s="768">
        <f>AT15*H11</f>
        <v>2.7276473981621696E-3</v>
      </c>
      <c r="AW15" s="711" t="s">
        <v>273</v>
      </c>
      <c r="AX15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11" t="s">
        <v>959</v>
      </c>
      <c r="AZ15" s="711" t="s">
        <v>960</v>
      </c>
      <c r="BA15" s="712" t="s">
        <v>272</v>
      </c>
      <c r="BB15" s="711" t="s">
        <v>272</v>
      </c>
      <c r="BC15" s="712"/>
      <c r="BD15" s="711"/>
      <c r="BE15" s="25"/>
      <c r="BF15" s="210" t="s">
        <v>62</v>
      </c>
      <c r="BG15" s="309">
        <v>8010.7993972868508</v>
      </c>
      <c r="BH15" s="309">
        <v>38588.997221862926</v>
      </c>
      <c r="BI15" s="757">
        <v>37368.747662299225</v>
      </c>
      <c r="BJ15" s="816">
        <v>83968.544281448994</v>
      </c>
      <c r="BL15" s="25"/>
      <c r="BM15" s="25">
        <v>3.2533155153258604</v>
      </c>
      <c r="BN15" s="764">
        <v>15.671617420013364</v>
      </c>
      <c r="BO15" s="764">
        <v>15.176054289816562</v>
      </c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2" t="str">
        <f>AY8</f>
        <v>R-BLD_Att_B2</v>
      </c>
      <c r="D16" s="603" t="str">
        <f>AZ8</f>
        <v>Residential Building Attached _ B2</v>
      </c>
      <c r="E16" s="603">
        <v>2018</v>
      </c>
      <c r="F16" s="603" t="str">
        <f>COMM!O10</f>
        <v>RSDSH_Att-AB</v>
      </c>
      <c r="G16" s="603" t="s">
        <v>929</v>
      </c>
      <c r="H16" s="605">
        <f>BH10/1000</f>
        <v>14.58448055403824</v>
      </c>
      <c r="I16" s="605">
        <f>DwellingStocks!J36/1000</f>
        <v>0.21083910687442345</v>
      </c>
      <c r="J16" s="605">
        <f>DwellingStocks!M36/1000</f>
        <v>5.8919997429588635</v>
      </c>
      <c r="K16" s="605">
        <f>DwellingStocks!P36/1000</f>
        <v>0.55186288026592623</v>
      </c>
      <c r="L16" s="605">
        <f>DwellingStocks!S36/1000</f>
        <v>0.26658086496251027</v>
      </c>
      <c r="M16" s="605">
        <f>DwellingStocks!V36/1000</f>
        <v>0.21479459621323369</v>
      </c>
      <c r="N16" s="605">
        <f>DwellingStocks!Y36/1000</f>
        <v>0.10125692698795652</v>
      </c>
      <c r="O16" s="605">
        <f>DwellingStocks!AB36/1000</f>
        <v>0.54001920516504787</v>
      </c>
      <c r="P16" s="605">
        <f>DwellingStocks!AE36/1000</f>
        <v>0.54454842402348613</v>
      </c>
      <c r="Q16" s="605">
        <f>DwellingStocks!AH36/1000</f>
        <v>0.13998046258185126</v>
      </c>
      <c r="R16" s="605">
        <f>DwellingStocks!AK36/1000</f>
        <v>0.21723826620046782</v>
      </c>
      <c r="S16" s="605">
        <f>DwellingStocks!AN36/1000</f>
        <v>0.15475245570657969</v>
      </c>
      <c r="T16" s="605">
        <f>DwellingStocks!AQ36/1000</f>
        <v>0.30731608357439172</v>
      </c>
      <c r="U16" s="605">
        <f>DwellingStocks!AT36/1000</f>
        <v>0.18258512181326186</v>
      </c>
      <c r="V16" s="605">
        <f>DwellingStocks!AW36/1000</f>
        <v>2.5236103893537374</v>
      </c>
      <c r="W16" s="605">
        <f>DwellingStocks!AZ36/1000</f>
        <v>0.25901856839800019</v>
      </c>
      <c r="X16" s="605">
        <f>DwellingStocks!BC36/1000</f>
        <v>0.48326404412742552</v>
      </c>
      <c r="Y16" s="605">
        <f>DwellingStocks!BF36/1000</f>
        <v>0.29026550422612168</v>
      </c>
      <c r="Z16" s="605">
        <f>DwellingStocks!BI36/1000</f>
        <v>0.38724133955726936</v>
      </c>
      <c r="AA16" s="605">
        <f>DwellingStocks!BL36/1000</f>
        <v>0.44302238074130235</v>
      </c>
      <c r="AB16" s="605">
        <f>DwellingStocks!BO36/1000</f>
        <v>3.6503724167469748E-2</v>
      </c>
      <c r="AC16" s="605">
        <f>DwellingStocks!BR36/1000</f>
        <v>0.23413853569319326</v>
      </c>
      <c r="AD16" s="605">
        <f>DwellingStocks!BU36/1000</f>
        <v>1.8891328600516826E-2</v>
      </c>
      <c r="AE16" s="605">
        <f>DwellingStocks!BX36/1000</f>
        <v>0.12175721828241773</v>
      </c>
      <c r="AF16" s="605">
        <f>DwellingStocks!CA36/1000</f>
        <v>0.17703385636047164</v>
      </c>
      <c r="AG16" s="605">
        <f>DwellingStocks!CD36/1000</f>
        <v>0.15030280094227022</v>
      </c>
      <c r="AH16" s="605">
        <f>DwellingStocks!CG36/1000</f>
        <v>0.13565672626005182</v>
      </c>
      <c r="AI16" s="605">
        <v>1</v>
      </c>
      <c r="AJ16" s="603">
        <f>BP28</f>
        <v>10000000</v>
      </c>
      <c r="AK16" s="603">
        <v>1</v>
      </c>
      <c r="AL16" s="707">
        <f>AN16</f>
        <v>2.0207735434348915E-2</v>
      </c>
      <c r="AM16" s="1183"/>
      <c r="AN16" s="785">
        <f>BR57*DwellingStocks!X20*(1+AO53)</f>
        <v>2.0207735434348915E-2</v>
      </c>
      <c r="AO16" s="786">
        <f>AN16*H16</f>
        <v>0.29471932448341126</v>
      </c>
      <c r="AP16" s="787"/>
      <c r="AQ16" s="788"/>
      <c r="AR16" s="786"/>
      <c r="AS16" s="788"/>
      <c r="AT16" s="793"/>
      <c r="AU16" s="788"/>
      <c r="AW16" s="372" t="s">
        <v>273</v>
      </c>
      <c r="AX1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2" t="s">
        <v>961</v>
      </c>
      <c r="AZ16" s="372" t="s">
        <v>962</v>
      </c>
      <c r="BA16" s="372" t="s">
        <v>272</v>
      </c>
      <c r="BB16" s="708" t="s">
        <v>272</v>
      </c>
      <c r="BC16" s="372"/>
      <c r="BD16" s="372"/>
      <c r="BE16" s="25"/>
      <c r="BF16" s="226" t="s">
        <v>64</v>
      </c>
      <c r="BG16" s="311">
        <v>8658.126308421115</v>
      </c>
      <c r="BH16" s="311">
        <v>38905.107366988203</v>
      </c>
      <c r="BI16" s="758">
        <v>66469.176419880765</v>
      </c>
      <c r="BJ16" s="817">
        <v>114032.41009529008</v>
      </c>
      <c r="BL16" s="25"/>
      <c r="BM16" s="25">
        <v>1.8751622901609137</v>
      </c>
      <c r="BN16" s="769">
        <v>8.4260020737144359</v>
      </c>
      <c r="BO16" s="769">
        <v>14.395781331970738</v>
      </c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5" ht="12" customHeight="1" thickBot="1">
      <c r="C17" s="439"/>
      <c r="D17" s="438"/>
      <c r="E17" s="438"/>
      <c r="F17" s="711" t="s">
        <v>1281</v>
      </c>
      <c r="G17" s="438"/>
      <c r="H17" s="709"/>
      <c r="I17" s="709"/>
      <c r="J17" s="709"/>
      <c r="K17" s="709"/>
      <c r="L17" s="709"/>
      <c r="M17" s="709"/>
      <c r="N17" s="709"/>
      <c r="O17" s="709"/>
      <c r="P17" s="709"/>
      <c r="Q17" s="709"/>
      <c r="R17" s="709"/>
      <c r="S17" s="709"/>
      <c r="T17" s="709"/>
      <c r="U17" s="709"/>
      <c r="V17" s="709"/>
      <c r="W17" s="709"/>
      <c r="X17" s="709"/>
      <c r="Y17" s="709"/>
      <c r="Z17" s="709"/>
      <c r="AA17" s="709"/>
      <c r="AB17" s="709"/>
      <c r="AC17" s="709"/>
      <c r="AD17" s="709"/>
      <c r="AE17" s="709"/>
      <c r="AF17" s="709"/>
      <c r="AG17" s="709"/>
      <c r="AH17" s="709"/>
      <c r="AI17" s="709"/>
      <c r="AJ17" s="438"/>
      <c r="AK17" s="438"/>
      <c r="AL17" s="710"/>
      <c r="AM17" s="1183"/>
      <c r="AN17" s="767"/>
      <c r="AO17" s="764"/>
      <c r="AP17" s="771"/>
      <c r="AQ17" s="768"/>
      <c r="AR17" s="764"/>
      <c r="AS17" s="768"/>
      <c r="AT17" s="792"/>
      <c r="AU17" s="768"/>
      <c r="AW17" s="711" t="s">
        <v>273</v>
      </c>
      <c r="AX1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11" t="s">
        <v>963</v>
      </c>
      <c r="AZ17" s="711" t="s">
        <v>964</v>
      </c>
      <c r="BA17" s="712" t="s">
        <v>272</v>
      </c>
      <c r="BB17" s="711" t="s">
        <v>272</v>
      </c>
      <c r="BC17" s="712"/>
      <c r="BD17" s="711"/>
      <c r="BE17" s="25"/>
      <c r="BF17" s="227" t="s">
        <v>216</v>
      </c>
      <c r="BG17" s="864">
        <v>211739.48952455298</v>
      </c>
      <c r="BH17" s="864">
        <v>776104.35365928081</v>
      </c>
      <c r="BI17" s="865">
        <v>729499.43220136687</v>
      </c>
      <c r="BJ17" s="818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5" ht="12" customHeight="1" thickBot="1">
      <c r="C18" s="290"/>
      <c r="D18" s="290"/>
      <c r="E18" s="290"/>
      <c r="F18" s="290" t="s">
        <v>930</v>
      </c>
      <c r="G18" s="290"/>
      <c r="H18" s="713"/>
      <c r="I18" s="713"/>
      <c r="J18" s="713"/>
      <c r="K18" s="713"/>
      <c r="L18" s="713"/>
      <c r="M18" s="713"/>
      <c r="N18" s="713"/>
      <c r="O18" s="713"/>
      <c r="P18" s="713"/>
      <c r="Q18" s="713"/>
      <c r="R18" s="713"/>
      <c r="S18" s="713"/>
      <c r="T18" s="713"/>
      <c r="U18" s="713"/>
      <c r="V18" s="713"/>
      <c r="W18" s="713"/>
      <c r="X18" s="713"/>
      <c r="Y18" s="713"/>
      <c r="Z18" s="713"/>
      <c r="AA18" s="713"/>
      <c r="AB18" s="713"/>
      <c r="AC18" s="713"/>
      <c r="AD18" s="713"/>
      <c r="AE18" s="713"/>
      <c r="AF18" s="713"/>
      <c r="AG18" s="713"/>
      <c r="AH18" s="713"/>
      <c r="AI18" s="713"/>
      <c r="AJ18" s="290"/>
      <c r="AK18" s="290"/>
      <c r="AL18" s="714">
        <f>AP18</f>
        <v>9.9655797893959553E-3</v>
      </c>
      <c r="AM18" s="1183"/>
      <c r="AN18" s="767"/>
      <c r="AO18" s="764"/>
      <c r="AP18" s="771">
        <f>BS57*(1+AQ53)</f>
        <v>9.9655797893959553E-3</v>
      </c>
      <c r="AQ18" s="768">
        <f>AP18*H16</f>
        <v>0.14534280464816182</v>
      </c>
      <c r="AR18" s="764"/>
      <c r="AS18" s="768"/>
      <c r="AT18" s="792"/>
      <c r="AU18" s="768"/>
      <c r="AW18" s="372" t="s">
        <v>273</v>
      </c>
      <c r="AX1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2" t="s">
        <v>965</v>
      </c>
      <c r="AZ18" s="372" t="s">
        <v>966</v>
      </c>
      <c r="BA18" s="372" t="s">
        <v>272</v>
      </c>
      <c r="BB18" s="708" t="s">
        <v>272</v>
      </c>
      <c r="BC18" s="372"/>
      <c r="BD18" s="372"/>
      <c r="BE18" s="25"/>
      <c r="BF18" s="718" t="s">
        <v>869</v>
      </c>
      <c r="BG18" s="371">
        <v>0.74286208971025169</v>
      </c>
      <c r="BH18" s="371">
        <v>0.69963472197389465</v>
      </c>
      <c r="BI18" s="371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5" ht="12" customHeight="1">
      <c r="C19" s="439"/>
      <c r="D19" s="438"/>
      <c r="E19" s="438"/>
      <c r="F19" s="438" t="s">
        <v>931</v>
      </c>
      <c r="G19" s="438"/>
      <c r="H19" s="709"/>
      <c r="I19" s="709"/>
      <c r="J19" s="709"/>
      <c r="K19" s="709"/>
      <c r="L19" s="709"/>
      <c r="M19" s="709"/>
      <c r="N19" s="709"/>
      <c r="O19" s="709"/>
      <c r="P19" s="709"/>
      <c r="Q19" s="709"/>
      <c r="R19" s="709"/>
      <c r="S19" s="709"/>
      <c r="T19" s="709"/>
      <c r="U19" s="709"/>
      <c r="V19" s="709"/>
      <c r="W19" s="709"/>
      <c r="X19" s="709"/>
      <c r="Y19" s="709"/>
      <c r="Z19" s="709"/>
      <c r="AA19" s="709"/>
      <c r="AB19" s="709"/>
      <c r="AC19" s="709"/>
      <c r="AD19" s="709"/>
      <c r="AE19" s="709"/>
      <c r="AF19" s="709"/>
      <c r="AG19" s="709"/>
      <c r="AH19" s="709"/>
      <c r="AI19" s="709"/>
      <c r="AJ19" s="438"/>
      <c r="AK19" s="438"/>
      <c r="AL19" s="710">
        <f>AR19</f>
        <v>9.3916277816909124E-4</v>
      </c>
      <c r="AM19" s="1183"/>
      <c r="AN19" s="767"/>
      <c r="AO19" s="764"/>
      <c r="AP19" s="771"/>
      <c r="AQ19" s="768"/>
      <c r="AR19" s="764">
        <f>BT57*(1+AS53)</f>
        <v>9.3916277816909124E-4</v>
      </c>
      <c r="AS19" s="768">
        <f>AR19*H16</f>
        <v>1.369720127528364E-2</v>
      </c>
      <c r="AT19" s="792"/>
      <c r="AU19" s="768"/>
      <c r="AW19" s="711" t="s">
        <v>273</v>
      </c>
      <c r="AX1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11" t="s">
        <v>967</v>
      </c>
      <c r="AZ19" s="711" t="s">
        <v>968</v>
      </c>
      <c r="BA19" s="712" t="s">
        <v>272</v>
      </c>
      <c r="BB19" s="711" t="s">
        <v>272</v>
      </c>
      <c r="BC19" s="712"/>
      <c r="BD19" s="711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5" ht="12" customHeight="1" thickBot="1">
      <c r="C20" s="606"/>
      <c r="D20" s="606"/>
      <c r="E20" s="606"/>
      <c r="F20" s="606" t="s">
        <v>932</v>
      </c>
      <c r="G20" s="606"/>
      <c r="H20" s="608"/>
      <c r="I20" s="608"/>
      <c r="J20" s="608"/>
      <c r="K20" s="608"/>
      <c r="L20" s="608"/>
      <c r="M20" s="608"/>
      <c r="N20" s="608"/>
      <c r="O20" s="608"/>
      <c r="P20" s="608"/>
      <c r="Q20" s="608"/>
      <c r="R20" s="608"/>
      <c r="S20" s="608"/>
      <c r="T20" s="608"/>
      <c r="U20" s="608"/>
      <c r="V20" s="608"/>
      <c r="W20" s="608"/>
      <c r="X20" s="608"/>
      <c r="Y20" s="608"/>
      <c r="Z20" s="608"/>
      <c r="AA20" s="608"/>
      <c r="AB20" s="608"/>
      <c r="AC20" s="608"/>
      <c r="AD20" s="608"/>
      <c r="AE20" s="608"/>
      <c r="AF20" s="608"/>
      <c r="AG20" s="608"/>
      <c r="AH20" s="608"/>
      <c r="AI20" s="608"/>
      <c r="AJ20" s="606"/>
      <c r="AK20" s="606"/>
      <c r="AL20" s="715">
        <f>AT20</f>
        <v>3.8693506869350643E-4</v>
      </c>
      <c r="AM20" s="1183"/>
      <c r="AN20" s="789"/>
      <c r="AO20" s="769"/>
      <c r="AP20" s="790"/>
      <c r="AQ20" s="770"/>
      <c r="AR20" s="769"/>
      <c r="AS20" s="770"/>
      <c r="AT20" s="791">
        <f>BU57*(1+$AU$53)</f>
        <v>3.8693506869350643E-4</v>
      </c>
      <c r="AU20" s="770">
        <f>AT20*H16</f>
        <v>5.6432469850358951E-3</v>
      </c>
      <c r="AW20" s="372" t="s">
        <v>273</v>
      </c>
      <c r="AX2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2" t="s">
        <v>969</v>
      </c>
      <c r="AZ20" s="372" t="s">
        <v>970</v>
      </c>
      <c r="BA20" s="372" t="s">
        <v>272</v>
      </c>
      <c r="BB20" s="708" t="s">
        <v>272</v>
      </c>
      <c r="BC20" s="372"/>
      <c r="BD20" s="372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5" ht="12" customHeight="1">
      <c r="C21" s="602" t="str">
        <f>AY9</f>
        <v>R-BLD_Att_B3</v>
      </c>
      <c r="D21" s="603" t="str">
        <f>AZ9</f>
        <v>Residential Building Attached _ B3</v>
      </c>
      <c r="E21" s="603">
        <v>2018</v>
      </c>
      <c r="F21" s="603" t="str">
        <f>COMM!O10</f>
        <v>RSDSH_Att-AB</v>
      </c>
      <c r="G21" s="603" t="s">
        <v>929</v>
      </c>
      <c r="H21" s="605">
        <f>BH11/1000</f>
        <v>49.42092705173571</v>
      </c>
      <c r="I21" s="605">
        <f>DwellingStocks!J37/1000</f>
        <v>0.58775011299924884</v>
      </c>
      <c r="J21" s="605">
        <f>DwellingStocks!M37/1000</f>
        <v>16.753257889821253</v>
      </c>
      <c r="K21" s="605">
        <f>DwellingStocks!P37/1000</f>
        <v>2.0576079575477917</v>
      </c>
      <c r="L21" s="605">
        <f>DwellingStocks!S37/1000</f>
        <v>0.98265209347494653</v>
      </c>
      <c r="M21" s="605">
        <f>DwellingStocks!V37/1000</f>
        <v>1.0632332512555067</v>
      </c>
      <c r="N21" s="605">
        <f>DwellingStocks!Y37/1000</f>
        <v>0.35356926964647112</v>
      </c>
      <c r="O21" s="605">
        <f>DwellingStocks!AB37/1000</f>
        <v>2.1000746867529636</v>
      </c>
      <c r="P21" s="605">
        <f>DwellingStocks!AE37/1000</f>
        <v>2.0556315151883742</v>
      </c>
      <c r="Q21" s="605">
        <f>DwellingStocks!AH37/1000</f>
        <v>0.39345859752736573</v>
      </c>
      <c r="R21" s="605">
        <f>DwellingStocks!AK37/1000</f>
        <v>0.96279999580047337</v>
      </c>
      <c r="S21" s="605">
        <f>DwellingStocks!AN37/1000</f>
        <v>0.58572972482490393</v>
      </c>
      <c r="T21" s="605">
        <f>DwellingStocks!AQ37/1000</f>
        <v>1.2499822725160652</v>
      </c>
      <c r="U21" s="605">
        <f>DwellingStocks!AT37/1000</f>
        <v>0.75968452468732162</v>
      </c>
      <c r="V21" s="605">
        <f>DwellingStocks!AW37/1000</f>
        <v>9.4990443010522707</v>
      </c>
      <c r="W21" s="605">
        <f>DwellingStocks!AZ37/1000</f>
        <v>1.078736155445789</v>
      </c>
      <c r="X21" s="605">
        <f>DwellingStocks!BC37/1000</f>
        <v>1.6388239863776981</v>
      </c>
      <c r="Y21" s="605">
        <f>DwellingStocks!BF37/1000</f>
        <v>1.0766825098620092</v>
      </c>
      <c r="Z21" s="605">
        <f>DwellingStocks!BI37/1000</f>
        <v>1.2112343269257055</v>
      </c>
      <c r="AA21" s="605">
        <f>DwellingStocks!BL37/1000</f>
        <v>1.3542926158604225</v>
      </c>
      <c r="AB21" s="605">
        <f>DwellingStocks!BO37/1000</f>
        <v>0.21641493613571353</v>
      </c>
      <c r="AC21" s="605">
        <f>DwellingStocks!BR37/1000</f>
        <v>0.5268117053096848</v>
      </c>
      <c r="AD21" s="605">
        <f>DwellingStocks!BU37/1000</f>
        <v>0.16844768002127503</v>
      </c>
      <c r="AE21" s="605">
        <f>DwellingStocks!BX37/1000</f>
        <v>0.61630196908384283</v>
      </c>
      <c r="AF21" s="605">
        <f>DwellingStocks!CA37/1000</f>
        <v>0.78112306797646691</v>
      </c>
      <c r="AG21" s="605">
        <f>DwellingStocks!CD37/1000</f>
        <v>0.80495500060193603</v>
      </c>
      <c r="AH21" s="605">
        <f>DwellingStocks!CG37/1000</f>
        <v>0.54262690504020727</v>
      </c>
      <c r="AI21" s="605">
        <v>1</v>
      </c>
      <c r="AJ21" s="603">
        <f>BP29</f>
        <v>2114</v>
      </c>
      <c r="AK21" s="603">
        <v>1</v>
      </c>
      <c r="AL21" s="707">
        <f>AN21</f>
        <v>2.4173067251062635E-2</v>
      </c>
      <c r="AM21" s="1183"/>
      <c r="AN21" s="767">
        <f>BR58*DwellingStocks!X21*(1+AO53)</f>
        <v>2.4173067251062635E-2</v>
      </c>
      <c r="AO21" s="764">
        <f>AN21*H21</f>
        <v>1.1946553932314681</v>
      </c>
      <c r="AP21" s="771"/>
      <c r="AQ21" s="768"/>
      <c r="AR21" s="764"/>
      <c r="AS21" s="768"/>
      <c r="AT21" s="792"/>
      <c r="AU21" s="768"/>
      <c r="AW21" s="711" t="s">
        <v>273</v>
      </c>
      <c r="AX2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11" t="s">
        <v>971</v>
      </c>
      <c r="AZ21" s="711" t="s">
        <v>972</v>
      </c>
      <c r="BA21" s="712" t="s">
        <v>272</v>
      </c>
      <c r="BB21" s="711" t="s">
        <v>272</v>
      </c>
      <c r="BC21" s="712"/>
      <c r="BD21" s="711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5" ht="12" customHeight="1">
      <c r="C22" s="439"/>
      <c r="D22" s="438"/>
      <c r="E22" s="438"/>
      <c r="F22" s="711" t="s">
        <v>1281</v>
      </c>
      <c r="G22" s="438"/>
      <c r="H22" s="709"/>
      <c r="I22" s="709"/>
      <c r="J22" s="709"/>
      <c r="K22" s="709"/>
      <c r="L22" s="709"/>
      <c r="M22" s="709"/>
      <c r="N22" s="709"/>
      <c r="O22" s="709"/>
      <c r="P22" s="709"/>
      <c r="Q22" s="709"/>
      <c r="R22" s="709"/>
      <c r="S22" s="709"/>
      <c r="T22" s="709"/>
      <c r="U22" s="709"/>
      <c r="V22" s="709"/>
      <c r="W22" s="709"/>
      <c r="X22" s="709"/>
      <c r="Y22" s="709"/>
      <c r="Z22" s="709"/>
      <c r="AA22" s="709"/>
      <c r="AB22" s="709"/>
      <c r="AC22" s="709"/>
      <c r="AD22" s="709"/>
      <c r="AE22" s="709"/>
      <c r="AF22" s="709"/>
      <c r="AG22" s="709"/>
      <c r="AH22" s="709"/>
      <c r="AI22" s="709"/>
      <c r="AJ22" s="438"/>
      <c r="AK22" s="438"/>
      <c r="AL22" s="710"/>
      <c r="AM22" s="1183"/>
      <c r="AN22" s="767"/>
      <c r="AO22" s="764"/>
      <c r="AP22" s="771"/>
      <c r="AQ22" s="768"/>
      <c r="AR22" s="764"/>
      <c r="AS22" s="768"/>
      <c r="AT22" s="792"/>
      <c r="AU22" s="768"/>
      <c r="AW22" s="372" t="s">
        <v>273</v>
      </c>
      <c r="AX2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2" t="s">
        <v>973</v>
      </c>
      <c r="AZ22" s="372" t="s">
        <v>974</v>
      </c>
      <c r="BA22" s="372" t="s">
        <v>272</v>
      </c>
      <c r="BB22" s="708" t="s">
        <v>272</v>
      </c>
      <c r="BC22" s="372"/>
      <c r="BD22" s="372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5" ht="12" customHeight="1" thickBot="1">
      <c r="C23" s="290"/>
      <c r="D23" s="290"/>
      <c r="E23" s="290"/>
      <c r="F23" s="290" t="s">
        <v>930</v>
      </c>
      <c r="G23" s="290"/>
      <c r="H23" s="713"/>
      <c r="I23" s="713"/>
      <c r="J23" s="713"/>
      <c r="K23" s="713"/>
      <c r="L23" s="713"/>
      <c r="M23" s="713"/>
      <c r="N23" s="713"/>
      <c r="O23" s="713"/>
      <c r="P23" s="713"/>
      <c r="Q23" s="713"/>
      <c r="R23" s="713"/>
      <c r="S23" s="713"/>
      <c r="T23" s="713"/>
      <c r="U23" s="713"/>
      <c r="V23" s="713"/>
      <c r="W23" s="713"/>
      <c r="X23" s="713"/>
      <c r="Y23" s="713"/>
      <c r="Z23" s="713"/>
      <c r="AA23" s="713"/>
      <c r="AB23" s="713"/>
      <c r="AC23" s="713"/>
      <c r="AD23" s="713"/>
      <c r="AE23" s="713"/>
      <c r="AF23" s="713"/>
      <c r="AG23" s="713"/>
      <c r="AH23" s="713"/>
      <c r="AI23" s="713"/>
      <c r="AJ23" s="290"/>
      <c r="AK23" s="290"/>
      <c r="AL23" s="714">
        <f>AP23</f>
        <v>1.1099316410180351E-2</v>
      </c>
      <c r="AM23" s="1183"/>
      <c r="AN23" s="767"/>
      <c r="AO23" s="764"/>
      <c r="AP23" s="771">
        <f>BS58*(1+AQ53)</f>
        <v>1.1099316410180351E-2</v>
      </c>
      <c r="AQ23" s="768">
        <f>AP23*H21</f>
        <v>0.54853850663165615</v>
      </c>
      <c r="AR23" s="764"/>
      <c r="AS23" s="768"/>
      <c r="AT23" s="792"/>
      <c r="AU23" s="768"/>
      <c r="AW23" s="719" t="s">
        <v>273</v>
      </c>
      <c r="AX23" s="719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19" t="s">
        <v>975</v>
      </c>
      <c r="AZ23" s="719" t="s">
        <v>976</v>
      </c>
      <c r="BA23" s="720" t="s">
        <v>272</v>
      </c>
      <c r="BB23" s="719" t="s">
        <v>272</v>
      </c>
      <c r="BC23" s="720"/>
      <c r="BD23" s="719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5" ht="17.25" customHeight="1" thickBot="1">
      <c r="C24" s="439"/>
      <c r="D24" s="438"/>
      <c r="E24" s="438"/>
      <c r="F24" s="438" t="s">
        <v>931</v>
      </c>
      <c r="G24" s="438"/>
      <c r="H24" s="709"/>
      <c r="I24" s="709"/>
      <c r="J24" s="709"/>
      <c r="K24" s="709"/>
      <c r="L24" s="709"/>
      <c r="M24" s="709"/>
      <c r="N24" s="709"/>
      <c r="O24" s="709"/>
      <c r="P24" s="709"/>
      <c r="Q24" s="709"/>
      <c r="R24" s="709"/>
      <c r="S24" s="709"/>
      <c r="T24" s="709"/>
      <c r="U24" s="709"/>
      <c r="V24" s="709"/>
      <c r="W24" s="709"/>
      <c r="X24" s="709"/>
      <c r="Y24" s="709"/>
      <c r="Z24" s="709"/>
      <c r="AA24" s="709"/>
      <c r="AB24" s="709"/>
      <c r="AC24" s="709"/>
      <c r="AD24" s="709"/>
      <c r="AE24" s="709"/>
      <c r="AF24" s="709"/>
      <c r="AG24" s="709"/>
      <c r="AH24" s="709"/>
      <c r="AI24" s="709"/>
      <c r="AJ24" s="438"/>
      <c r="AK24" s="438"/>
      <c r="AL24" s="710">
        <f>AR24</f>
        <v>9.6377188057861012E-4</v>
      </c>
      <c r="AM24" s="1183"/>
      <c r="AN24" s="767"/>
      <c r="AO24" s="764"/>
      <c r="AP24" s="771"/>
      <c r="AQ24" s="768"/>
      <c r="AR24" s="764">
        <f>BT58*(1+AS53)</f>
        <v>9.6377188057861012E-4</v>
      </c>
      <c r="AS24" s="768">
        <f>AR24*H21</f>
        <v>4.7630499804589631E-2</v>
      </c>
      <c r="AT24" s="792"/>
      <c r="AU24" s="768"/>
      <c r="AW24" s="372" t="s">
        <v>273</v>
      </c>
      <c r="AX24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2" t="s">
        <v>977</v>
      </c>
      <c r="AZ24" s="372" t="s">
        <v>978</v>
      </c>
      <c r="BA24" s="372" t="s">
        <v>272</v>
      </c>
      <c r="BB24" s="708" t="s">
        <v>272</v>
      </c>
      <c r="BC24" s="372"/>
      <c r="BD24" s="372"/>
      <c r="BE24" s="25"/>
      <c r="BF24" s="1290" t="s">
        <v>1067</v>
      </c>
      <c r="BG24" s="1291"/>
      <c r="BH24" s="1291"/>
      <c r="BI24" s="1291"/>
      <c r="BJ24" s="1291"/>
      <c r="BK24" s="1300" t="s">
        <v>1068</v>
      </c>
      <c r="BL24" s="1302" t="s">
        <v>1072</v>
      </c>
      <c r="BM24" s="1303"/>
      <c r="BN24" s="25"/>
      <c r="BO24" s="25" t="s">
        <v>1282</v>
      </c>
      <c r="BP24" s="25" t="s">
        <v>258</v>
      </c>
      <c r="BQ24" s="25" t="s">
        <v>1283</v>
      </c>
      <c r="BR24" s="25" t="s">
        <v>1283</v>
      </c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</row>
    <row r="25" spans="3:115" ht="15.75" thickBot="1">
      <c r="C25" s="606"/>
      <c r="D25" s="606"/>
      <c r="E25" s="606"/>
      <c r="F25" s="606" t="s">
        <v>932</v>
      </c>
      <c r="G25" s="606"/>
      <c r="H25" s="608"/>
      <c r="I25" s="608"/>
      <c r="J25" s="608"/>
      <c r="K25" s="608"/>
      <c r="L25" s="608"/>
      <c r="M25" s="608"/>
      <c r="N25" s="608"/>
      <c r="O25" s="608"/>
      <c r="P25" s="608"/>
      <c r="Q25" s="608"/>
      <c r="R25" s="608"/>
      <c r="S25" s="608"/>
      <c r="T25" s="608"/>
      <c r="U25" s="608"/>
      <c r="V25" s="608"/>
      <c r="W25" s="608"/>
      <c r="X25" s="608"/>
      <c r="Y25" s="608"/>
      <c r="Z25" s="608"/>
      <c r="AA25" s="608"/>
      <c r="AB25" s="608"/>
      <c r="AC25" s="608"/>
      <c r="AD25" s="608"/>
      <c r="AE25" s="608"/>
      <c r="AF25" s="608"/>
      <c r="AG25" s="608"/>
      <c r="AH25" s="608"/>
      <c r="AI25" s="608"/>
      <c r="AJ25" s="606"/>
      <c r="AK25" s="606"/>
      <c r="AL25" s="715">
        <f>AT25</f>
        <v>3.7813869504342844E-4</v>
      </c>
      <c r="AM25" s="1183"/>
      <c r="AN25" s="767"/>
      <c r="AO25" s="764"/>
      <c r="AP25" s="771"/>
      <c r="AQ25" s="768"/>
      <c r="AR25" s="764"/>
      <c r="AS25" s="768"/>
      <c r="AT25" s="792">
        <f>BU58*(1+$AU$53)</f>
        <v>3.7813869504342844E-4</v>
      </c>
      <c r="AU25" s="768">
        <f>AT25*H21</f>
        <v>1.8687964863179814E-2</v>
      </c>
      <c r="AW25" s="711" t="s">
        <v>273</v>
      </c>
      <c r="AX25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11" t="s">
        <v>979</v>
      </c>
      <c r="AZ25" s="711" t="s">
        <v>980</v>
      </c>
      <c r="BA25" s="712" t="s">
        <v>272</v>
      </c>
      <c r="BB25" s="711" t="s">
        <v>272</v>
      </c>
      <c r="BC25" s="712"/>
      <c r="BD25" s="711"/>
      <c r="BE25" s="25"/>
      <c r="BF25" s="223" t="s">
        <v>870</v>
      </c>
      <c r="BG25" s="223" t="s">
        <v>870</v>
      </c>
      <c r="BH25" s="1292" t="s">
        <v>871</v>
      </c>
      <c r="BI25" s="1293"/>
      <c r="BJ25" s="1293"/>
      <c r="BK25" s="1301"/>
      <c r="BL25" s="1304"/>
      <c r="BM25" s="1305"/>
      <c r="BN25" s="25"/>
      <c r="BO25" s="1238"/>
      <c r="BP25" s="1238"/>
      <c r="BQ25" s="1238"/>
      <c r="BR25" s="1238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</row>
    <row r="26" spans="3:115" ht="15">
      <c r="C26" s="602" t="str">
        <f>AY10</f>
        <v>R-BLD_Att_C</v>
      </c>
      <c r="D26" s="603" t="str">
        <f>AZ10</f>
        <v>Residential Building Attached _ C</v>
      </c>
      <c r="E26" s="603">
        <v>2018</v>
      </c>
      <c r="F26" s="603" t="str">
        <f>COMM!O13</f>
        <v>RSDSH_Att-C</v>
      </c>
      <c r="G26" s="603" t="s">
        <v>929</v>
      </c>
      <c r="H26" s="605">
        <f>BH12/1000</f>
        <v>293.67295873330869</v>
      </c>
      <c r="I26" s="605">
        <f>DwellingStocks!J38/1000</f>
        <v>3.9741727542357075</v>
      </c>
      <c r="J26" s="605">
        <f>DwellingStocks!M38/1000</f>
        <v>99.526965485677621</v>
      </c>
      <c r="K26" s="605">
        <f>DwellingStocks!P38/1000</f>
        <v>14.284477268340218</v>
      </c>
      <c r="L26" s="605">
        <f>DwellingStocks!S38/1000</f>
        <v>5.0825490458545755</v>
      </c>
      <c r="M26" s="605">
        <f>DwellingStocks!V38/1000</f>
        <v>5.0566227858532091</v>
      </c>
      <c r="N26" s="605">
        <f>DwellingStocks!Y38/1000</f>
        <v>1.9371612097532012</v>
      </c>
      <c r="O26" s="605">
        <f>DwellingStocks!AB38/1000</f>
        <v>10.782545631058266</v>
      </c>
      <c r="P26" s="605">
        <f>DwellingStocks!AE38/1000</f>
        <v>11.294337683450085</v>
      </c>
      <c r="Q26" s="605">
        <f>DwellingStocks!AH38/1000</f>
        <v>3.6981324911826925</v>
      </c>
      <c r="R26" s="605">
        <f>DwellingStocks!AK38/1000</f>
        <v>5.0920649597389653</v>
      </c>
      <c r="S26" s="605">
        <f>DwellingStocks!AN38/1000</f>
        <v>6.9738445361965118</v>
      </c>
      <c r="T26" s="605">
        <f>DwellingStocks!AQ38/1000</f>
        <v>7.9349703376848568</v>
      </c>
      <c r="U26" s="605">
        <f>DwellingStocks!AT38/1000</f>
        <v>5.7171966267777616</v>
      </c>
      <c r="V26" s="605">
        <f>DwellingStocks!AW38/1000</f>
        <v>37.779503584921137</v>
      </c>
      <c r="W26" s="605">
        <f>DwellingStocks!AZ38/1000</f>
        <v>5.8065868480281102</v>
      </c>
      <c r="X26" s="605">
        <f>DwellingStocks!BC38/1000</f>
        <v>13.074429275474635</v>
      </c>
      <c r="Y26" s="605">
        <f>DwellingStocks!BF38/1000</f>
        <v>8.2776296408670156</v>
      </c>
      <c r="Z26" s="605">
        <f>DwellingStocks!BI38/1000</f>
        <v>8.5882702567564273</v>
      </c>
      <c r="AA26" s="605">
        <f>DwellingStocks!BL38/1000</f>
        <v>12.037280700924709</v>
      </c>
      <c r="AB26" s="605">
        <f>DwellingStocks!BO38/1000</f>
        <v>1.2763266414268888</v>
      </c>
      <c r="AC26" s="605">
        <f>DwellingStocks!BR38/1000</f>
        <v>5.2339718499749246</v>
      </c>
      <c r="AD26" s="605">
        <f>DwellingStocks!BU38/1000</f>
        <v>2.7612825304422093</v>
      </c>
      <c r="AE26" s="605">
        <f>DwellingStocks!BX38/1000</f>
        <v>3.4828577130908873</v>
      </c>
      <c r="AF26" s="605">
        <f>DwellingStocks!CA38/1000</f>
        <v>3.7782751975879605</v>
      </c>
      <c r="AG26" s="605">
        <f>DwellingStocks!CD38/1000</f>
        <v>7.7055235949737195</v>
      </c>
      <c r="AH26" s="605">
        <f>DwellingStocks!CG38/1000</f>
        <v>2.5159800830364278</v>
      </c>
      <c r="AI26" s="605">
        <v>1</v>
      </c>
      <c r="AJ26" s="603">
        <f>BP30</f>
        <v>2640</v>
      </c>
      <c r="AK26" s="603">
        <v>1</v>
      </c>
      <c r="AL26" s="707">
        <f>AN26</f>
        <v>2.0573638264591763E-2</v>
      </c>
      <c r="AM26" s="1183"/>
      <c r="AN26" s="785">
        <f>BR59*DwellingStocks!X22*(1+AO53)</f>
        <v>2.0573638264591763E-2</v>
      </c>
      <c r="AO26" s="786">
        <f>AN26*H26</f>
        <v>6.0419212210714779</v>
      </c>
      <c r="AP26" s="787"/>
      <c r="AQ26" s="788"/>
      <c r="AR26" s="786"/>
      <c r="AS26" s="788"/>
      <c r="AT26" s="793"/>
      <c r="AU26" s="788"/>
      <c r="AW26" s="372" t="s">
        <v>273</v>
      </c>
      <c r="AX2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2" t="s">
        <v>981</v>
      </c>
      <c r="AZ26" s="372" t="s">
        <v>982</v>
      </c>
      <c r="BA26" s="372" t="s">
        <v>272</v>
      </c>
      <c r="BB26" s="708" t="s">
        <v>272</v>
      </c>
      <c r="BC26" s="372"/>
      <c r="BD26" s="372"/>
      <c r="BF26" s="737" t="s">
        <v>48</v>
      </c>
      <c r="BG26" s="854">
        <f t="shared" ref="BG26:BG34" si="0">IFERROR(($BG$35*BK26)/(BJ8/$BJ$17),0)</f>
        <v>0</v>
      </c>
      <c r="BH26" s="1294">
        <f>$BL$26*(1-BG26)^($BL$28-$BL$27)/100</f>
        <v>1</v>
      </c>
      <c r="BI26" s="1295"/>
      <c r="BJ26" s="1296"/>
      <c r="BK26" s="847">
        <v>0</v>
      </c>
      <c r="BL26" s="851">
        <v>100</v>
      </c>
      <c r="BM26" s="338" t="s">
        <v>1069</v>
      </c>
      <c r="BN26" s="25"/>
      <c r="BO26" s="884">
        <v>52</v>
      </c>
      <c r="BP26" s="884">
        <v>10000000</v>
      </c>
      <c r="BQ26" s="1342">
        <f>BO26/BP26</f>
        <v>5.2000000000000002E-6</v>
      </c>
      <c r="BR26" s="306">
        <f>1-BH26</f>
        <v>0</v>
      </c>
      <c r="BS26" s="25"/>
    </row>
    <row r="27" spans="3:115" ht="15">
      <c r="C27" s="439"/>
      <c r="D27" s="438"/>
      <c r="E27" s="438"/>
      <c r="F27" s="711" t="s">
        <v>1281</v>
      </c>
      <c r="G27" s="438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709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438"/>
      <c r="AK27" s="438"/>
      <c r="AL27" s="710"/>
      <c r="AM27" s="1183"/>
      <c r="AN27" s="767"/>
      <c r="AO27" s="764"/>
      <c r="AP27" s="771"/>
      <c r="AQ27" s="768"/>
      <c r="AR27" s="764"/>
      <c r="AS27" s="768"/>
      <c r="AT27" s="792"/>
      <c r="AU27" s="768"/>
      <c r="AW27" s="711" t="s">
        <v>273</v>
      </c>
      <c r="AX2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11" t="s">
        <v>983</v>
      </c>
      <c r="AZ27" s="711" t="s">
        <v>984</v>
      </c>
      <c r="BA27" s="712" t="s">
        <v>272</v>
      </c>
      <c r="BB27" s="711" t="s">
        <v>272</v>
      </c>
      <c r="BC27" s="712"/>
      <c r="BD27" s="711"/>
      <c r="BF27" s="738" t="s">
        <v>50</v>
      </c>
      <c r="BG27" s="854">
        <f t="shared" si="0"/>
        <v>0</v>
      </c>
      <c r="BH27" s="1294">
        <f t="shared" ref="BH27:BH32" si="1">$BL$26*(1-BG27)^($BL$28-$BL$27)/100</f>
        <v>1</v>
      </c>
      <c r="BI27" s="1295"/>
      <c r="BJ27" s="1296"/>
      <c r="BK27" s="847">
        <v>0</v>
      </c>
      <c r="BL27" s="851">
        <v>2018</v>
      </c>
      <c r="BM27" s="338" t="s">
        <v>1070</v>
      </c>
      <c r="BN27" s="25"/>
      <c r="BO27" s="884">
        <v>52</v>
      </c>
      <c r="BP27" s="884">
        <v>10000000</v>
      </c>
      <c r="BQ27" s="1342">
        <f t="shared" ref="BQ27:BQ34" si="2">BO27/BP27</f>
        <v>5.2000000000000002E-6</v>
      </c>
      <c r="BR27" s="306">
        <f t="shared" ref="BR27:BR34" si="3">1-BH27</f>
        <v>0</v>
      </c>
      <c r="BS27" s="25"/>
    </row>
    <row r="28" spans="3:115" ht="15.75" thickBot="1">
      <c r="C28" s="290"/>
      <c r="D28" s="290"/>
      <c r="E28" s="290"/>
      <c r="F28" s="290" t="s">
        <v>930</v>
      </c>
      <c r="G28" s="290"/>
      <c r="H28" s="713"/>
      <c r="I28" s="713"/>
      <c r="J28" s="713"/>
      <c r="K28" s="713"/>
      <c r="L28" s="713"/>
      <c r="M28" s="713"/>
      <c r="N28" s="713"/>
      <c r="O28" s="713"/>
      <c r="P28" s="713"/>
      <c r="Q28" s="713"/>
      <c r="R28" s="713"/>
      <c r="S28" s="713"/>
      <c r="T28" s="713"/>
      <c r="U28" s="713"/>
      <c r="V28" s="713"/>
      <c r="W28" s="713"/>
      <c r="X28" s="713"/>
      <c r="Y28" s="713"/>
      <c r="Z28" s="713"/>
      <c r="AA28" s="713"/>
      <c r="AB28" s="713"/>
      <c r="AC28" s="713"/>
      <c r="AD28" s="713"/>
      <c r="AE28" s="713"/>
      <c r="AF28" s="713"/>
      <c r="AG28" s="713"/>
      <c r="AH28" s="713"/>
      <c r="AI28" s="713"/>
      <c r="AJ28" s="290"/>
      <c r="AK28" s="290"/>
      <c r="AL28" s="714">
        <f>AP28</f>
        <v>1.2465800159280317E-2</v>
      </c>
      <c r="AM28" s="1183"/>
      <c r="AN28" s="767"/>
      <c r="AO28" s="764"/>
      <c r="AP28" s="771">
        <f>BS59*(1+AQ53)</f>
        <v>1.2465800159280317E-2</v>
      </c>
      <c r="AQ28" s="768">
        <f>AP28*H26</f>
        <v>3.6608684157540017</v>
      </c>
      <c r="AR28" s="764"/>
      <c r="AS28" s="768"/>
      <c r="AT28" s="792"/>
      <c r="AU28" s="768"/>
      <c r="AW28" s="372" t="s">
        <v>273</v>
      </c>
      <c r="AX2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2" t="s">
        <v>985</v>
      </c>
      <c r="AZ28" s="372" t="s">
        <v>986</v>
      </c>
      <c r="BA28" s="372" t="s">
        <v>272</v>
      </c>
      <c r="BB28" s="708" t="s">
        <v>272</v>
      </c>
      <c r="BC28" s="372"/>
      <c r="BD28" s="372"/>
      <c r="BF28" s="739" t="s">
        <v>52</v>
      </c>
      <c r="BG28" s="854">
        <f t="shared" si="0"/>
        <v>0</v>
      </c>
      <c r="BH28" s="1294">
        <f>$BL$26*(1-BG28)^($BL$28-$BL$27)/100</f>
        <v>1</v>
      </c>
      <c r="BI28" s="1295"/>
      <c r="BJ28" s="1296"/>
      <c r="BK28" s="847">
        <v>0</v>
      </c>
      <c r="BL28" s="852">
        <v>2070</v>
      </c>
      <c r="BM28" s="850" t="s">
        <v>1071</v>
      </c>
      <c r="BN28" s="25"/>
      <c r="BO28" s="884">
        <v>52</v>
      </c>
      <c r="BP28" s="884">
        <v>10000000</v>
      </c>
      <c r="BQ28" s="1342">
        <f t="shared" si="2"/>
        <v>5.2000000000000002E-6</v>
      </c>
      <c r="BR28" s="306">
        <f t="shared" si="3"/>
        <v>0</v>
      </c>
      <c r="BS28" s="25"/>
    </row>
    <row r="29" spans="3:115" ht="15">
      <c r="C29" s="439"/>
      <c r="D29" s="438"/>
      <c r="E29" s="438"/>
      <c r="F29" s="438" t="s">
        <v>931</v>
      </c>
      <c r="G29" s="438"/>
      <c r="H29" s="709"/>
      <c r="I29" s="709"/>
      <c r="J29" s="709"/>
      <c r="K29" s="709"/>
      <c r="L29" s="709"/>
      <c r="M29" s="709"/>
      <c r="N29" s="709"/>
      <c r="O29" s="709"/>
      <c r="P29" s="709"/>
      <c r="Q29" s="709"/>
      <c r="R29" s="709"/>
      <c r="S29" s="709"/>
      <c r="T29" s="709"/>
      <c r="U29" s="709"/>
      <c r="V29" s="709"/>
      <c r="W29" s="709"/>
      <c r="X29" s="709"/>
      <c r="Y29" s="709"/>
      <c r="Z29" s="709"/>
      <c r="AA29" s="709"/>
      <c r="AB29" s="709"/>
      <c r="AC29" s="709"/>
      <c r="AD29" s="709"/>
      <c r="AE29" s="709"/>
      <c r="AF29" s="709"/>
      <c r="AG29" s="709"/>
      <c r="AH29" s="709"/>
      <c r="AI29" s="709"/>
      <c r="AJ29" s="438"/>
      <c r="AK29" s="438"/>
      <c r="AL29" s="710">
        <f>AR29</f>
        <v>9.5418080525995757E-4</v>
      </c>
      <c r="AM29" s="1183"/>
      <c r="AN29" s="767"/>
      <c r="AO29" s="764"/>
      <c r="AP29" s="771"/>
      <c r="AQ29" s="768"/>
      <c r="AR29" s="764">
        <f>BT59*(1+AS53)</f>
        <v>9.5418080525995757E-4</v>
      </c>
      <c r="AS29" s="768">
        <f>AR29*H26</f>
        <v>0.28021710024722279</v>
      </c>
      <c r="AT29" s="792"/>
      <c r="AU29" s="768"/>
      <c r="AW29" s="711" t="s">
        <v>273</v>
      </c>
      <c r="AX2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11" t="s">
        <v>987</v>
      </c>
      <c r="AZ29" s="711" t="s">
        <v>988</v>
      </c>
      <c r="BA29" s="712" t="s">
        <v>272</v>
      </c>
      <c r="BB29" s="711" t="s">
        <v>272</v>
      </c>
      <c r="BC29" s="712"/>
      <c r="BD29" s="711"/>
      <c r="BF29" s="738" t="s">
        <v>54</v>
      </c>
      <c r="BG29" s="854">
        <f t="shared" si="0"/>
        <v>4.7825487930972541E-4</v>
      </c>
      <c r="BH29" s="1294">
        <f t="shared" si="1"/>
        <v>0.97543163582150982</v>
      </c>
      <c r="BI29" s="1295"/>
      <c r="BJ29" s="1296"/>
      <c r="BK29" s="847">
        <v>0.01</v>
      </c>
      <c r="BN29" s="25"/>
      <c r="BO29" s="884">
        <v>52</v>
      </c>
      <c r="BP29" s="884">
        <v>2114</v>
      </c>
      <c r="BQ29" s="1342">
        <f>BO29/BP29</f>
        <v>2.4597918637653739E-2</v>
      </c>
      <c r="BR29" s="306">
        <f t="shared" si="3"/>
        <v>2.4568364178490176E-2</v>
      </c>
      <c r="BS29" s="25"/>
    </row>
    <row r="30" spans="3:115" ht="15.75" thickBot="1">
      <c r="C30" s="606"/>
      <c r="D30" s="606"/>
      <c r="E30" s="606"/>
      <c r="F30" s="606" t="s">
        <v>932</v>
      </c>
      <c r="G30" s="606"/>
      <c r="H30" s="608"/>
      <c r="I30" s="608"/>
      <c r="J30" s="608"/>
      <c r="K30" s="608"/>
      <c r="L30" s="608"/>
      <c r="M30" s="608"/>
      <c r="N30" s="608"/>
      <c r="O30" s="608"/>
      <c r="P30" s="608"/>
      <c r="Q30" s="608"/>
      <c r="R30" s="608"/>
      <c r="S30" s="608"/>
      <c r="T30" s="608"/>
      <c r="U30" s="608"/>
      <c r="V30" s="608"/>
      <c r="W30" s="608"/>
      <c r="X30" s="608"/>
      <c r="Y30" s="608"/>
      <c r="Z30" s="608"/>
      <c r="AA30" s="608"/>
      <c r="AB30" s="608"/>
      <c r="AC30" s="608"/>
      <c r="AD30" s="608"/>
      <c r="AE30" s="608"/>
      <c r="AF30" s="608"/>
      <c r="AG30" s="608"/>
      <c r="AH30" s="608"/>
      <c r="AI30" s="608"/>
      <c r="AJ30" s="606"/>
      <c r="AK30" s="606"/>
      <c r="AL30" s="715">
        <f>AT30</f>
        <v>3.7567997794336699E-4</v>
      </c>
      <c r="AM30" s="1183"/>
      <c r="AN30" s="789"/>
      <c r="AO30" s="769"/>
      <c r="AP30" s="790"/>
      <c r="AQ30" s="770"/>
      <c r="AR30" s="769"/>
      <c r="AS30" s="770"/>
      <c r="AT30" s="791">
        <f>BU59*(1+$AU$53)</f>
        <v>3.7567997794336699E-4</v>
      </c>
      <c r="AU30" s="770">
        <f>AT30*H26</f>
        <v>0.11032705065949273</v>
      </c>
      <c r="AW30" s="372" t="s">
        <v>273</v>
      </c>
      <c r="AX3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2" t="s">
        <v>989</v>
      </c>
      <c r="AZ30" s="372" t="s">
        <v>990</v>
      </c>
      <c r="BA30" s="372" t="s">
        <v>272</v>
      </c>
      <c r="BB30" s="708" t="s">
        <v>272</v>
      </c>
      <c r="BC30" s="372"/>
      <c r="BD30" s="372"/>
      <c r="BF30" s="739" t="s">
        <v>56</v>
      </c>
      <c r="BG30" s="854">
        <f t="shared" si="0"/>
        <v>3.8187099184060013E-4</v>
      </c>
      <c r="BH30" s="1294">
        <f t="shared" si="1"/>
        <v>0.98033484804088578</v>
      </c>
      <c r="BI30" s="1295"/>
      <c r="BJ30" s="1296"/>
      <c r="BK30" s="847">
        <v>0.04</v>
      </c>
      <c r="BN30" s="25"/>
      <c r="BO30" s="884">
        <v>52</v>
      </c>
      <c r="BP30" s="884">
        <v>2640</v>
      </c>
      <c r="BQ30" s="1342">
        <f t="shared" si="2"/>
        <v>1.9696969696969695E-2</v>
      </c>
      <c r="BR30" s="306">
        <f t="shared" si="3"/>
        <v>1.9665151959114224E-2</v>
      </c>
      <c r="BS30" s="25"/>
    </row>
    <row r="31" spans="3:115" ht="15">
      <c r="C31" s="602" t="str">
        <f>AY11</f>
        <v>R-BLD_Att_D</v>
      </c>
      <c r="D31" s="603" t="str">
        <f>AZ11</f>
        <v>Residential Building Attached _ D</v>
      </c>
      <c r="E31" s="603">
        <v>2018</v>
      </c>
      <c r="F31" s="603" t="str">
        <f>COMM!O16</f>
        <v>RSDSH_Att-D</v>
      </c>
      <c r="G31" s="603" t="s">
        <v>929</v>
      </c>
      <c r="H31" s="605">
        <f>BH13/1000</f>
        <v>175.92034461876051</v>
      </c>
      <c r="I31" s="605">
        <f>DwellingStocks!J39/1000</f>
        <v>2.0852854131963521</v>
      </c>
      <c r="J31" s="605">
        <f>DwellingStocks!M39/1000</f>
        <v>72.928311473642054</v>
      </c>
      <c r="K31" s="605">
        <f>DwellingStocks!P39/1000</f>
        <v>8.0275948112854785</v>
      </c>
      <c r="L31" s="605">
        <f>DwellingStocks!S39/1000</f>
        <v>2.9615772005324135</v>
      </c>
      <c r="M31" s="605">
        <f>DwellingStocks!V39/1000</f>
        <v>1.8740828519604638</v>
      </c>
      <c r="N31" s="605">
        <f>DwellingStocks!Y39/1000</f>
        <v>1.1968236780051911</v>
      </c>
      <c r="O31" s="605">
        <f>DwellingStocks!AB39/1000</f>
        <v>4.2796116589506346</v>
      </c>
      <c r="P31" s="605">
        <f>DwellingStocks!AE39/1000</f>
        <v>3.3758899449433222</v>
      </c>
      <c r="Q31" s="605">
        <f>DwellingStocks!AH39/1000</f>
        <v>1.7440808986549579</v>
      </c>
      <c r="R31" s="605">
        <f>DwellingStocks!AK39/1000</f>
        <v>2.8449523341613268</v>
      </c>
      <c r="S31" s="605">
        <f>DwellingStocks!AN39/1000</f>
        <v>5.0435988521144415</v>
      </c>
      <c r="T31" s="605">
        <f>DwellingStocks!AQ39/1000</f>
        <v>4.8359120791678158</v>
      </c>
      <c r="U31" s="605">
        <f>DwellingStocks!AT39/1000</f>
        <v>4.4488821198963535</v>
      </c>
      <c r="V31" s="605">
        <f>DwellingStocks!AW39/1000</f>
        <v>17.241029420483791</v>
      </c>
      <c r="W31" s="605">
        <f>DwellingStocks!AZ39/1000</f>
        <v>4.0193587260819088</v>
      </c>
      <c r="X31" s="605">
        <f>DwellingStocks!BC39/1000</f>
        <v>8.1020696377689809</v>
      </c>
      <c r="Y31" s="605">
        <f>DwellingStocks!BF39/1000</f>
        <v>5.4542913352257276</v>
      </c>
      <c r="Z31" s="605">
        <f>DwellingStocks!BI39/1000</f>
        <v>5.5646050026791185</v>
      </c>
      <c r="AA31" s="605">
        <f>DwellingStocks!BL39/1000</f>
        <v>6.7320482767450569</v>
      </c>
      <c r="AB31" s="605">
        <f>DwellingStocks!BO39/1000</f>
        <v>0.46933359643889677</v>
      </c>
      <c r="AC31" s="605">
        <f>DwellingStocks!BR39/1000</f>
        <v>3.1511144595375593</v>
      </c>
      <c r="AD31" s="605">
        <f>DwellingStocks!BU39/1000</f>
        <v>0.93197221095882998</v>
      </c>
      <c r="AE31" s="605">
        <f>DwellingStocks!BX39/1000</f>
        <v>2.1164711523659769</v>
      </c>
      <c r="AF31" s="605">
        <f>DwellingStocks!CA39/1000</f>
        <v>1.2951424228476607</v>
      </c>
      <c r="AG31" s="605">
        <f>DwellingStocks!CD39/1000</f>
        <v>3.5087353864412187</v>
      </c>
      <c r="AH31" s="605">
        <f>DwellingStocks!CG39/1000</f>
        <v>1.6875696746750446</v>
      </c>
      <c r="AI31" s="605">
        <v>1</v>
      </c>
      <c r="AJ31" s="603">
        <f>BP31</f>
        <v>1651</v>
      </c>
      <c r="AK31" s="603">
        <v>1</v>
      </c>
      <c r="AL31" s="707">
        <f>AN31</f>
        <v>2.9346241415119621E-2</v>
      </c>
      <c r="AM31" s="1183"/>
      <c r="AN31" s="767">
        <f>BR60*DwellingStocks!X23*(1+AO53)</f>
        <v>2.9346241415119621E-2</v>
      </c>
      <c r="AO31" s="764">
        <f>AN31*H31</f>
        <v>5.1626009030131863</v>
      </c>
      <c r="AP31" s="771"/>
      <c r="AQ31" s="768"/>
      <c r="AR31" s="764"/>
      <c r="AS31" s="768"/>
      <c r="AT31" s="792"/>
      <c r="AU31" s="768"/>
      <c r="AW31" s="711" t="s">
        <v>273</v>
      </c>
      <c r="AX3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11" t="s">
        <v>991</v>
      </c>
      <c r="AZ31" s="711" t="s">
        <v>992</v>
      </c>
      <c r="BA31" s="712" t="s">
        <v>272</v>
      </c>
      <c r="BB31" s="711" t="s">
        <v>272</v>
      </c>
      <c r="BC31" s="712"/>
      <c r="BD31" s="711"/>
      <c r="BE31" s="25"/>
      <c r="BF31" s="738" t="s">
        <v>58</v>
      </c>
      <c r="BG31" s="854">
        <f t="shared" si="0"/>
        <v>6.1585782114715281E-4</v>
      </c>
      <c r="BH31" s="1294">
        <f t="shared" si="1"/>
        <v>0.96847319624484829</v>
      </c>
      <c r="BI31" s="1295"/>
      <c r="BJ31" s="1296"/>
      <c r="BK31" s="847">
        <v>0.04</v>
      </c>
      <c r="BN31" s="25"/>
      <c r="BO31" s="884">
        <v>52</v>
      </c>
      <c r="BP31" s="884">
        <v>1651</v>
      </c>
      <c r="BQ31" s="1342">
        <f t="shared" si="2"/>
        <v>3.1496062992125984E-2</v>
      </c>
      <c r="BR31" s="306">
        <f t="shared" si="3"/>
        <v>3.1526803755151711E-2</v>
      </c>
      <c r="BS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</row>
    <row r="32" spans="3:115" ht="15">
      <c r="C32" s="439"/>
      <c r="D32" s="438"/>
      <c r="E32" s="438"/>
      <c r="F32" s="711" t="s">
        <v>1281</v>
      </c>
      <c r="G32" s="438"/>
      <c r="H32" s="709"/>
      <c r="I32" s="709"/>
      <c r="J32" s="709"/>
      <c r="K32" s="709"/>
      <c r="L32" s="709"/>
      <c r="M32" s="709"/>
      <c r="N32" s="709"/>
      <c r="O32" s="709"/>
      <c r="P32" s="709"/>
      <c r="Q32" s="709"/>
      <c r="R32" s="709"/>
      <c r="S32" s="709"/>
      <c r="T32" s="709"/>
      <c r="U32" s="709"/>
      <c r="V32" s="709"/>
      <c r="W32" s="709"/>
      <c r="X32" s="709"/>
      <c r="Y32" s="709"/>
      <c r="Z32" s="709"/>
      <c r="AA32" s="709"/>
      <c r="AB32" s="709"/>
      <c r="AC32" s="709"/>
      <c r="AD32" s="709"/>
      <c r="AE32" s="709"/>
      <c r="AF32" s="709"/>
      <c r="AG32" s="709"/>
      <c r="AH32" s="709"/>
      <c r="AI32" s="709"/>
      <c r="AJ32" s="438"/>
      <c r="AK32" s="438"/>
      <c r="AL32" s="710"/>
      <c r="AM32" s="1183"/>
      <c r="AN32" s="767"/>
      <c r="AO32" s="764"/>
      <c r="AP32" s="771"/>
      <c r="AQ32" s="768"/>
      <c r="AR32" s="764"/>
      <c r="AS32" s="768"/>
      <c r="AT32" s="792"/>
      <c r="AU32" s="768"/>
      <c r="AW32" s="372" t="s">
        <v>273</v>
      </c>
      <c r="AX3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2" t="s">
        <v>993</v>
      </c>
      <c r="AZ32" s="372" t="s">
        <v>994</v>
      </c>
      <c r="BA32" s="372" t="s">
        <v>272</v>
      </c>
      <c r="BB32" s="708" t="s">
        <v>272</v>
      </c>
      <c r="BC32" s="372"/>
      <c r="BD32" s="372"/>
      <c r="BE32" s="25"/>
      <c r="BF32" s="739" t="s">
        <v>60</v>
      </c>
      <c r="BG32" s="854">
        <f t="shared" si="0"/>
        <v>3.9118799378527807E-3</v>
      </c>
      <c r="BH32" s="1294">
        <f t="shared" si="1"/>
        <v>0.81561188331174039</v>
      </c>
      <c r="BI32" s="1295"/>
      <c r="BJ32" s="1296"/>
      <c r="BK32" s="847">
        <v>0.12</v>
      </c>
      <c r="BN32" s="25"/>
      <c r="BO32" s="884">
        <v>52</v>
      </c>
      <c r="BP32" s="884">
        <v>282</v>
      </c>
      <c r="BQ32" s="1342">
        <f t="shared" si="2"/>
        <v>0.18439716312056736</v>
      </c>
      <c r="BR32" s="306">
        <f t="shared" si="3"/>
        <v>0.18438811668825961</v>
      </c>
      <c r="BS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</row>
    <row r="33" spans="3:115" ht="15">
      <c r="C33" s="290"/>
      <c r="D33" s="290"/>
      <c r="E33" s="290"/>
      <c r="F33" s="290" t="s">
        <v>930</v>
      </c>
      <c r="G33" s="290"/>
      <c r="H33" s="713"/>
      <c r="I33" s="713"/>
      <c r="J33" s="713"/>
      <c r="K33" s="713"/>
      <c r="L33" s="713"/>
      <c r="M33" s="713"/>
      <c r="N33" s="713"/>
      <c r="O33" s="713"/>
      <c r="P33" s="713"/>
      <c r="Q33" s="713"/>
      <c r="R33" s="713"/>
      <c r="S33" s="713"/>
      <c r="T33" s="713"/>
      <c r="U33" s="713"/>
      <c r="V33" s="713"/>
      <c r="W33" s="713"/>
      <c r="X33" s="713"/>
      <c r="Y33" s="713"/>
      <c r="Z33" s="713"/>
      <c r="AA33" s="713"/>
      <c r="AB33" s="713"/>
      <c r="AC33" s="713"/>
      <c r="AD33" s="713"/>
      <c r="AE33" s="713"/>
      <c r="AF33" s="713"/>
      <c r="AG33" s="713"/>
      <c r="AH33" s="713"/>
      <c r="AI33" s="713"/>
      <c r="AJ33" s="290"/>
      <c r="AK33" s="290"/>
      <c r="AL33" s="714">
        <f>AP33</f>
        <v>1.3229671051964745E-2</v>
      </c>
      <c r="AM33" s="1183"/>
      <c r="AN33" s="767"/>
      <c r="AO33" s="764"/>
      <c r="AP33" s="771">
        <f>BS60*(1+AQ53)</f>
        <v>1.3229671051964745E-2</v>
      </c>
      <c r="AQ33" s="768">
        <f>AP33*H31</f>
        <v>2.3273682906544777</v>
      </c>
      <c r="AR33" s="764"/>
      <c r="AS33" s="768"/>
      <c r="AT33" s="792"/>
      <c r="AU33" s="768"/>
      <c r="AW33" s="25"/>
      <c r="AX33" s="25"/>
      <c r="AY33" s="25"/>
      <c r="AZ33" s="25"/>
      <c r="BA33" s="25"/>
      <c r="BB33" s="25"/>
      <c r="BC33" s="25"/>
      <c r="BD33" s="25"/>
      <c r="BE33" s="25"/>
      <c r="BF33" s="738" t="s">
        <v>62</v>
      </c>
      <c r="BG33" s="854">
        <f t="shared" si="0"/>
        <v>1.7179866147117095E-2</v>
      </c>
      <c r="BH33" s="1294">
        <f>$BL$26*(1-BG33)^($BL$28-$BL$27)/100</f>
        <v>0.40611621312446222</v>
      </c>
      <c r="BI33" s="1295"/>
      <c r="BJ33" s="1296"/>
      <c r="BK33" s="848">
        <v>0.24</v>
      </c>
      <c r="BN33" s="25"/>
      <c r="BO33" s="884">
        <v>52</v>
      </c>
      <c r="BP33" s="884">
        <v>87.56</v>
      </c>
      <c r="BQ33" s="1342">
        <f t="shared" si="2"/>
        <v>0.59387848332571946</v>
      </c>
      <c r="BR33" s="306">
        <f t="shared" si="3"/>
        <v>0.59388378687553778</v>
      </c>
      <c r="BS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</row>
    <row r="34" spans="3:115" ht="15.75" thickBot="1">
      <c r="C34" s="439"/>
      <c r="D34" s="438"/>
      <c r="E34" s="438"/>
      <c r="F34" s="438" t="s">
        <v>931</v>
      </c>
      <c r="G34" s="438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709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438"/>
      <c r="AK34" s="438"/>
      <c r="AL34" s="710">
        <f>AR34</f>
        <v>9.3135314734617953E-4</v>
      </c>
      <c r="AM34" s="1183"/>
      <c r="AN34" s="767"/>
      <c r="AO34" s="764"/>
      <c r="AP34" s="771"/>
      <c r="AQ34" s="768"/>
      <c r="AR34" s="764">
        <f>BT60*(1+AS53)</f>
        <v>9.3135314734617953E-4</v>
      </c>
      <c r="AS34" s="768">
        <f>AR34*H31</f>
        <v>0.16384396664290712</v>
      </c>
      <c r="AT34" s="792"/>
      <c r="AU34" s="768"/>
      <c r="BD34" s="25"/>
      <c r="BE34" s="25"/>
      <c r="BF34" s="853" t="s">
        <v>64</v>
      </c>
      <c r="BG34" s="854">
        <f t="shared" si="0"/>
        <v>2.899075624512347E-2</v>
      </c>
      <c r="BH34" s="1294">
        <f>$BL$26*(1-BG34)^($BL$28-$BL$27)/100</f>
        <v>0.21657830151277452</v>
      </c>
      <c r="BI34" s="1295"/>
      <c r="BJ34" s="1296"/>
      <c r="BK34" s="849">
        <v>0.55000000000000004</v>
      </c>
      <c r="BN34" s="25"/>
      <c r="BO34" s="884">
        <v>52</v>
      </c>
      <c r="BP34" s="884">
        <v>66.400000000000006</v>
      </c>
      <c r="BQ34" s="1342">
        <f t="shared" si="2"/>
        <v>0.7831325301204819</v>
      </c>
      <c r="BR34" s="306">
        <f t="shared" si="3"/>
        <v>0.78342169848722554</v>
      </c>
      <c r="BS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</row>
    <row r="35" spans="3:115" ht="15.75" thickBot="1">
      <c r="C35" s="606"/>
      <c r="D35" s="606"/>
      <c r="E35" s="606"/>
      <c r="F35" s="606" t="s">
        <v>932</v>
      </c>
      <c r="G35" s="606"/>
      <c r="H35" s="608"/>
      <c r="I35" s="608"/>
      <c r="J35" s="608"/>
      <c r="K35" s="608"/>
      <c r="L35" s="608"/>
      <c r="M35" s="608"/>
      <c r="N35" s="608"/>
      <c r="O35" s="608"/>
      <c r="P35" s="608"/>
      <c r="Q35" s="608"/>
      <c r="R35" s="608"/>
      <c r="S35" s="608"/>
      <c r="T35" s="608"/>
      <c r="U35" s="608"/>
      <c r="V35" s="608"/>
      <c r="W35" s="608"/>
      <c r="X35" s="608"/>
      <c r="Y35" s="608"/>
      <c r="Z35" s="608"/>
      <c r="AA35" s="608"/>
      <c r="AB35" s="608"/>
      <c r="AC35" s="608"/>
      <c r="AD35" s="608"/>
      <c r="AE35" s="608"/>
      <c r="AF35" s="608"/>
      <c r="AG35" s="608"/>
      <c r="AH35" s="608"/>
      <c r="AI35" s="608"/>
      <c r="AJ35" s="606"/>
      <c r="AK35" s="606"/>
      <c r="AL35" s="715">
        <f>AT35</f>
        <v>3.5039280048821054E-4</v>
      </c>
      <c r="AM35" s="1183"/>
      <c r="AN35" s="767"/>
      <c r="AO35" s="764"/>
      <c r="AP35" s="771"/>
      <c r="AQ35" s="768"/>
      <c r="AR35" s="764"/>
      <c r="AS35" s="768"/>
      <c r="AT35" s="792">
        <f>BU60*(1+$AU$53)</f>
        <v>3.5039280048821054E-4</v>
      </c>
      <c r="AU35" s="768">
        <f>AT35*H31</f>
        <v>6.164122221381859E-2</v>
      </c>
      <c r="BD35" s="25"/>
      <c r="BE35" s="25"/>
      <c r="BF35" s="845" t="s">
        <v>651</v>
      </c>
      <c r="BG35" s="846">
        <v>3.5000000000000001E-3</v>
      </c>
      <c r="BH35" s="1297">
        <f>BL26*(1-BG35)^(BL28-BL27)/100</f>
        <v>0.833335259728061</v>
      </c>
      <c r="BI35" s="1298"/>
      <c r="BJ35" s="1299"/>
      <c r="BK35" s="721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5">
      <c r="C36" s="602" t="str">
        <f>AY12</f>
        <v>R-BLD_Att_E</v>
      </c>
      <c r="D36" s="603" t="str">
        <f>AZ12</f>
        <v>Residential Building Attached _ E</v>
      </c>
      <c r="E36" s="603">
        <v>2018</v>
      </c>
      <c r="F36" s="603" t="str">
        <f>COMM!O19</f>
        <v>RSDSH_Att-E</v>
      </c>
      <c r="G36" s="603" t="s">
        <v>929</v>
      </c>
      <c r="H36" s="605">
        <f>BH14/1000</f>
        <v>85.755437936808192</v>
      </c>
      <c r="I36" s="605">
        <f>DwellingStocks!J40/1000</f>
        <v>0.73938097753222465</v>
      </c>
      <c r="J36" s="605">
        <f>DwellingStocks!M40/1000</f>
        <v>37.887420760937346</v>
      </c>
      <c r="K36" s="605">
        <f>DwellingStocks!P40/1000</f>
        <v>2.5034839270341691</v>
      </c>
      <c r="L36" s="605">
        <f>DwellingStocks!S40/1000</f>
        <v>1.3834963137835385</v>
      </c>
      <c r="M36" s="605">
        <f>DwellingStocks!V40/1000</f>
        <v>1.469553029092207</v>
      </c>
      <c r="N36" s="605">
        <f>DwellingStocks!Y40/1000</f>
        <v>0.49134508833500218</v>
      </c>
      <c r="O36" s="605">
        <f>DwellingStocks!AB40/1000</f>
        <v>1.7206017317721194</v>
      </c>
      <c r="P36" s="605">
        <f>DwellingStocks!AE40/1000</f>
        <v>1.1821820487347479</v>
      </c>
      <c r="Q36" s="605">
        <f>DwellingStocks!AH40/1000</f>
        <v>2.0561994976550313</v>
      </c>
      <c r="R36" s="605">
        <f>DwellingStocks!AK40/1000</f>
        <v>1.4042281527198239</v>
      </c>
      <c r="S36" s="605">
        <f>DwellingStocks!AN40/1000</f>
        <v>2.2064704974938141</v>
      </c>
      <c r="T36" s="605">
        <f>DwellingStocks!AQ40/1000</f>
        <v>2.6001012464215392</v>
      </c>
      <c r="U36" s="605">
        <f>DwellingStocks!AT40/1000</f>
        <v>1.9155135547373452</v>
      </c>
      <c r="V36" s="605">
        <f>DwellingStocks!AW40/1000</f>
        <v>8.5212818341814511</v>
      </c>
      <c r="W36" s="605">
        <f>DwellingStocks!AZ40/1000</f>
        <v>2.0508176062571075</v>
      </c>
      <c r="X36" s="605">
        <f>DwellingStocks!BC40/1000</f>
        <v>3.3992858614133197</v>
      </c>
      <c r="Y36" s="605">
        <f>DwellingStocks!BF40/1000</f>
        <v>3.0697264662053212</v>
      </c>
      <c r="Z36" s="605">
        <f>DwellingStocks!BI40/1000</f>
        <v>2.0935787490219497</v>
      </c>
      <c r="AA36" s="605">
        <f>DwellingStocks!BL40/1000</f>
        <v>2.8489019288239619</v>
      </c>
      <c r="AB36" s="605">
        <f>DwellingStocks!BO40/1000</f>
        <v>0.29463720220886297</v>
      </c>
      <c r="AC36" s="605">
        <f>DwellingStocks!BR40/1000</f>
        <v>1.2080898056947402</v>
      </c>
      <c r="AD36" s="605">
        <f>DwellingStocks!BU40/1000</f>
        <v>0.65175083671783041</v>
      </c>
      <c r="AE36" s="605">
        <f>DwellingStocks!BX40/1000</f>
        <v>1.1439165816409864</v>
      </c>
      <c r="AF36" s="605">
        <f>DwellingStocks!CA40/1000</f>
        <v>0.68484149697340346</v>
      </c>
      <c r="AG36" s="605">
        <f>DwellingStocks!CD40/1000</f>
        <v>1.564819160921191</v>
      </c>
      <c r="AH36" s="605">
        <f>DwellingStocks!CG40/1000</f>
        <v>0.66381358049918682</v>
      </c>
      <c r="AI36" s="605">
        <v>1</v>
      </c>
      <c r="AJ36" s="603">
        <f>BP32</f>
        <v>282</v>
      </c>
      <c r="AK36" s="603">
        <v>1</v>
      </c>
      <c r="AL36" s="707">
        <f>AN36</f>
        <v>4.0014361861481003E-2</v>
      </c>
      <c r="AM36" s="1183"/>
      <c r="AN36" s="785">
        <f>BR61*DwellingStocks!X24*(1+AO53)</f>
        <v>4.0014361861481003E-2</v>
      </c>
      <c r="AO36" s="786">
        <f>AN36*H36</f>
        <v>3.4314491251932191</v>
      </c>
      <c r="AP36" s="787"/>
      <c r="AQ36" s="788"/>
      <c r="AR36" s="786"/>
      <c r="AS36" s="788"/>
      <c r="AT36" s="793"/>
      <c r="AU36" s="788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5" ht="13.5" thickBot="1">
      <c r="C37" s="439"/>
      <c r="D37" s="438"/>
      <c r="E37" s="438"/>
      <c r="F37" s="711" t="s">
        <v>1281</v>
      </c>
      <c r="G37" s="438"/>
      <c r="H37" s="709"/>
      <c r="I37" s="709"/>
      <c r="J37" s="709"/>
      <c r="K37" s="709"/>
      <c r="L37" s="709"/>
      <c r="M37" s="709"/>
      <c r="N37" s="709"/>
      <c r="O37" s="709"/>
      <c r="P37" s="709"/>
      <c r="Q37" s="709"/>
      <c r="R37" s="709"/>
      <c r="S37" s="709"/>
      <c r="T37" s="709"/>
      <c r="U37" s="709"/>
      <c r="V37" s="709"/>
      <c r="W37" s="709"/>
      <c r="X37" s="709"/>
      <c r="Y37" s="709"/>
      <c r="Z37" s="709"/>
      <c r="AA37" s="709"/>
      <c r="AB37" s="709"/>
      <c r="AC37" s="709"/>
      <c r="AD37" s="709"/>
      <c r="AE37" s="709"/>
      <c r="AF37" s="709"/>
      <c r="AG37" s="709"/>
      <c r="AH37" s="709"/>
      <c r="AI37" s="709"/>
      <c r="AJ37" s="438"/>
      <c r="AK37" s="438"/>
      <c r="AL37" s="710"/>
      <c r="AM37" s="1183"/>
      <c r="AN37" s="767"/>
      <c r="AO37" s="764"/>
      <c r="AP37" s="771"/>
      <c r="AQ37" s="768"/>
      <c r="AR37" s="764"/>
      <c r="AS37" s="768"/>
      <c r="AT37" s="792"/>
      <c r="AU37" s="768"/>
      <c r="BC37" s="25"/>
      <c r="BD37" s="25"/>
      <c r="BE37" s="25"/>
      <c r="BF37" s="58" t="s">
        <v>1065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5" ht="16.5" thickBot="1">
      <c r="C38" s="290"/>
      <c r="D38" s="290"/>
      <c r="E38" s="290"/>
      <c r="F38" s="290" t="s">
        <v>930</v>
      </c>
      <c r="G38" s="290"/>
      <c r="H38" s="713"/>
      <c r="I38" s="713"/>
      <c r="J38" s="713"/>
      <c r="K38" s="713"/>
      <c r="L38" s="713"/>
      <c r="M38" s="713"/>
      <c r="N38" s="713"/>
      <c r="O38" s="713"/>
      <c r="P38" s="713"/>
      <c r="Q38" s="713"/>
      <c r="R38" s="713"/>
      <c r="S38" s="713"/>
      <c r="T38" s="713"/>
      <c r="U38" s="713"/>
      <c r="V38" s="713"/>
      <c r="W38" s="713"/>
      <c r="X38" s="713"/>
      <c r="Y38" s="713"/>
      <c r="Z38" s="713"/>
      <c r="AA38" s="713"/>
      <c r="AB38" s="713"/>
      <c r="AC38" s="713"/>
      <c r="AD38" s="713"/>
      <c r="AE38" s="713"/>
      <c r="AF38" s="713"/>
      <c r="AG38" s="713"/>
      <c r="AH38" s="713"/>
      <c r="AI38" s="713"/>
      <c r="AJ38" s="290"/>
      <c r="AK38" s="290"/>
      <c r="AL38" s="714">
        <f>AP38</f>
        <v>1.3797527529583832E-2</v>
      </c>
      <c r="AM38" s="1183"/>
      <c r="AN38" s="767"/>
      <c r="AO38" s="764"/>
      <c r="AP38" s="771">
        <f>BS61*(1+AQ53)</f>
        <v>1.3797527529583832E-2</v>
      </c>
      <c r="AQ38" s="768">
        <f>AP38*H36</f>
        <v>1.1832130157446288</v>
      </c>
      <c r="AR38" s="764"/>
      <c r="AS38" s="768"/>
      <c r="AT38" s="792"/>
      <c r="AU38" s="768"/>
      <c r="BC38" s="25"/>
      <c r="BD38" s="25"/>
      <c r="BE38" s="25"/>
      <c r="BF38" s="1285" t="s">
        <v>292</v>
      </c>
      <c r="BG38" s="1286"/>
      <c r="BH38" s="1286"/>
      <c r="BI38" s="1286"/>
      <c r="BJ38" s="1286"/>
      <c r="BK38" s="1286"/>
      <c r="BL38" s="1286"/>
      <c r="BM38" s="1286"/>
      <c r="BN38" s="1286"/>
      <c r="BO38" s="1286"/>
      <c r="BP38" s="1286"/>
      <c r="BQ38" s="1286"/>
      <c r="BR38" s="1288" t="s">
        <v>879</v>
      </c>
      <c r="BS38" s="1289"/>
      <c r="BT38" s="1289"/>
      <c r="BU38" s="1289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5" ht="16.5" thickBot="1">
      <c r="C39" s="439"/>
      <c r="D39" s="438"/>
      <c r="E39" s="438"/>
      <c r="F39" s="438" t="s">
        <v>931</v>
      </c>
      <c r="G39" s="438"/>
      <c r="H39" s="709"/>
      <c r="I39" s="709"/>
      <c r="J39" s="709"/>
      <c r="K39" s="709"/>
      <c r="L39" s="709"/>
      <c r="M39" s="709"/>
      <c r="N39" s="709"/>
      <c r="O39" s="709"/>
      <c r="P39" s="709"/>
      <c r="Q39" s="709"/>
      <c r="R39" s="709"/>
      <c r="S39" s="709"/>
      <c r="T39" s="709"/>
      <c r="U39" s="709"/>
      <c r="V39" s="709"/>
      <c r="W39" s="709"/>
      <c r="X39" s="709"/>
      <c r="Y39" s="709"/>
      <c r="Z39" s="709"/>
      <c r="AA39" s="709"/>
      <c r="AB39" s="709"/>
      <c r="AC39" s="709"/>
      <c r="AD39" s="709"/>
      <c r="AE39" s="709"/>
      <c r="AF39" s="709"/>
      <c r="AG39" s="709"/>
      <c r="AH39" s="709"/>
      <c r="AI39" s="709"/>
      <c r="AJ39" s="438"/>
      <c r="AK39" s="438"/>
      <c r="AL39" s="710">
        <f>AR39</f>
        <v>9.0282898693787772E-4</v>
      </c>
      <c r="AM39" s="1183"/>
      <c r="AN39" s="767"/>
      <c r="AO39" s="764"/>
      <c r="AP39" s="771"/>
      <c r="AQ39" s="768"/>
      <c r="AR39" s="764">
        <f>BT61*(1+AS53)</f>
        <v>9.0282898693787772E-4</v>
      </c>
      <c r="AS39" s="768">
        <f>AR39*H36</f>
        <v>7.7422495156902582E-2</v>
      </c>
      <c r="AT39" s="792"/>
      <c r="AU39" s="768"/>
      <c r="AW39" s="1285" t="s">
        <v>598</v>
      </c>
      <c r="AX39" s="1286"/>
      <c r="AY39" s="1286"/>
      <c r="AZ39" s="1286"/>
      <c r="BA39" s="1287"/>
      <c r="BB39" s="25"/>
      <c r="BE39" s="25"/>
      <c r="BF39" s="840" t="s">
        <v>284</v>
      </c>
      <c r="BG39" s="840" t="s">
        <v>393</v>
      </c>
      <c r="BH39" s="841" t="s">
        <v>394</v>
      </c>
      <c r="BI39" s="839" t="s">
        <v>874</v>
      </c>
      <c r="BJ39" s="839" t="s">
        <v>875</v>
      </c>
      <c r="BK39" s="840" t="s">
        <v>876</v>
      </c>
      <c r="BL39" s="840" t="s">
        <v>411</v>
      </c>
      <c r="BM39" s="841" t="s">
        <v>873</v>
      </c>
      <c r="BN39" s="839" t="s">
        <v>877</v>
      </c>
      <c r="BO39" s="840" t="s">
        <v>878</v>
      </c>
      <c r="BP39" s="842" t="s">
        <v>216</v>
      </c>
      <c r="BQ39" s="842" t="s">
        <v>216</v>
      </c>
      <c r="BR39" s="844" t="s">
        <v>217</v>
      </c>
      <c r="BS39" s="844" t="s">
        <v>872</v>
      </c>
      <c r="BT39" s="844" t="s">
        <v>219</v>
      </c>
      <c r="BU39" s="844" t="s">
        <v>873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5" ht="13.5" thickBot="1">
      <c r="C40" s="606"/>
      <c r="D40" s="606"/>
      <c r="E40" s="606"/>
      <c r="F40" s="606" t="s">
        <v>932</v>
      </c>
      <c r="G40" s="606"/>
      <c r="H40" s="608"/>
      <c r="I40" s="608"/>
      <c r="J40" s="608"/>
      <c r="K40" s="608"/>
      <c r="L40" s="608"/>
      <c r="M40" s="608"/>
      <c r="N40" s="608"/>
      <c r="O40" s="608"/>
      <c r="P40" s="608"/>
      <c r="Q40" s="608"/>
      <c r="R40" s="608"/>
      <c r="S40" s="608"/>
      <c r="T40" s="608"/>
      <c r="U40" s="608"/>
      <c r="V40" s="608"/>
      <c r="W40" s="608"/>
      <c r="X40" s="608"/>
      <c r="Y40" s="608"/>
      <c r="Z40" s="608"/>
      <c r="AA40" s="608"/>
      <c r="AB40" s="608"/>
      <c r="AC40" s="608"/>
      <c r="AD40" s="608"/>
      <c r="AE40" s="608"/>
      <c r="AF40" s="608"/>
      <c r="AG40" s="608"/>
      <c r="AH40" s="608"/>
      <c r="AI40" s="608"/>
      <c r="AJ40" s="606"/>
      <c r="AK40" s="606"/>
      <c r="AL40" s="715">
        <f>AT40</f>
        <v>3.1890389320583703E-4</v>
      </c>
      <c r="AM40" s="1183"/>
      <c r="AN40" s="789"/>
      <c r="AO40" s="769"/>
      <c r="AP40" s="790"/>
      <c r="AQ40" s="770"/>
      <c r="AR40" s="769"/>
      <c r="AS40" s="770"/>
      <c r="AT40" s="791">
        <f>BU61*(1+$AU$53)</f>
        <v>3.1890389320583703E-4</v>
      </c>
      <c r="AU40" s="770">
        <f>AT40*H36</f>
        <v>2.7347743021619665E-2</v>
      </c>
      <c r="AW40" s="583"/>
      <c r="AX40" s="584" t="s">
        <v>821</v>
      </c>
      <c r="AY40" s="584" t="s">
        <v>820</v>
      </c>
      <c r="AZ40" s="585" t="s">
        <v>822</v>
      </c>
      <c r="BA40" s="583" t="s">
        <v>823</v>
      </c>
      <c r="BB40" s="25"/>
      <c r="BC40" s="25"/>
      <c r="BD40" s="25"/>
      <c r="BE40" s="25"/>
      <c r="BF40" s="835" t="s">
        <v>48</v>
      </c>
      <c r="BG40" s="836">
        <v>6419</v>
      </c>
      <c r="BH40" s="836">
        <v>535137</v>
      </c>
      <c r="BI40" s="836">
        <v>52</v>
      </c>
      <c r="BJ40" s="837">
        <v>-505747</v>
      </c>
      <c r="BK40" s="835">
        <v>11249</v>
      </c>
      <c r="BL40" s="836">
        <v>2509515</v>
      </c>
      <c r="BM40" s="836">
        <v>1893006</v>
      </c>
      <c r="BN40" s="836">
        <v>5793778</v>
      </c>
      <c r="BO40" s="836">
        <v>31852</v>
      </c>
      <c r="BP40" s="836">
        <v>9733652</v>
      </c>
      <c r="BQ40" s="836">
        <f>DwellingStocks!O19</f>
        <v>11735.038424732089</v>
      </c>
      <c r="BR40" s="838">
        <f>((BQ40/BG40)*$BG$18*(BJ40+BK40)*0.0000000036)/(BQ40/1000)</f>
        <v>-2.0601927769047272E-4</v>
      </c>
      <c r="BS40" s="838">
        <f>((BQ40/BG40)*(BN40+BO40)*0.0000000036)/(BQ40/1000)</f>
        <v>3.2672173235706501E-3</v>
      </c>
      <c r="BT40" s="838">
        <f>((BQ40/BG40)*(BL40)*0.0000000036)/(BQ40/1000)</f>
        <v>1.4074238978033964E-3</v>
      </c>
      <c r="BU40" s="838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5">
      <c r="C41" s="602" t="str">
        <f>AY13</f>
        <v>R-BLD_Att_F</v>
      </c>
      <c r="D41" s="603" t="str">
        <f>AZ13</f>
        <v>Residential Building Attached _ F</v>
      </c>
      <c r="E41" s="603">
        <v>2018</v>
      </c>
      <c r="F41" s="603" t="str">
        <f>COMM!O22</f>
        <v>RSDSH_Att-F</v>
      </c>
      <c r="G41" s="603" t="s">
        <v>929</v>
      </c>
      <c r="H41" s="605">
        <f>BH15/1000</f>
        <v>38.588997221862925</v>
      </c>
      <c r="I41" s="605">
        <f>DwellingStocks!J41/1000</f>
        <v>0.37257869570959756</v>
      </c>
      <c r="J41" s="605">
        <f>DwellingStocks!M41/1000</f>
        <v>17.538434579705495</v>
      </c>
      <c r="K41" s="605">
        <f>DwellingStocks!P41/1000</f>
        <v>0.88444249685002763</v>
      </c>
      <c r="L41" s="605">
        <f>DwellingStocks!S41/1000</f>
        <v>0.6304540164076885</v>
      </c>
      <c r="M41" s="605">
        <f>DwellingStocks!V41/1000</f>
        <v>0.66228333832413722</v>
      </c>
      <c r="N41" s="605">
        <f>DwellingStocks!Y41/1000</f>
        <v>0.23239294718547399</v>
      </c>
      <c r="O41" s="605">
        <f>DwellingStocks!AB41/1000</f>
        <v>0.77516270290958822</v>
      </c>
      <c r="P41" s="605">
        <f>DwellingStocks!AE41/1000</f>
        <v>0.58023108428713355</v>
      </c>
      <c r="Q41" s="605">
        <f>DwellingStocks!AH41/1000</f>
        <v>0.99310463318205289</v>
      </c>
      <c r="R41" s="605">
        <f>DwellingStocks!AK41/1000</f>
        <v>0.63433573730536608</v>
      </c>
      <c r="S41" s="605">
        <f>DwellingStocks!AN41/1000</f>
        <v>0.90022665093827547</v>
      </c>
      <c r="T41" s="605">
        <f>DwellingStocks!AQ41/1000</f>
        <v>1.046255880034165</v>
      </c>
      <c r="U41" s="605">
        <f>DwellingStocks!AT41/1000</f>
        <v>0.71403824423400608</v>
      </c>
      <c r="V41" s="605">
        <f>DwellingStocks!AW41/1000</f>
        <v>3.7526414231299081</v>
      </c>
      <c r="W41" s="605">
        <f>DwellingStocks!AZ41/1000</f>
        <v>0.78619753701981232</v>
      </c>
      <c r="X41" s="605">
        <f>DwellingStocks!BC41/1000</f>
        <v>1.4021232300703876</v>
      </c>
      <c r="Y41" s="605">
        <f>DwellingStocks!BF41/1000</f>
        <v>1.4817041436659</v>
      </c>
      <c r="Z41" s="605">
        <f>DwellingStocks!BI41/1000</f>
        <v>0.92478182917101326</v>
      </c>
      <c r="AA41" s="605">
        <f>DwellingStocks!BL41/1000</f>
        <v>1.2880757475645694</v>
      </c>
      <c r="AB41" s="605">
        <f>DwellingStocks!BO41/1000</f>
        <v>0.21902234500481851</v>
      </c>
      <c r="AC41" s="605">
        <f>DwellingStocks!BR41/1000</f>
        <v>0.63900308699600672</v>
      </c>
      <c r="AD41" s="605">
        <f>DwellingStocks!BU41/1000</f>
        <v>0.34476674695943205</v>
      </c>
      <c r="AE41" s="605">
        <f>DwellingStocks!BX41/1000</f>
        <v>0.47800981992356589</v>
      </c>
      <c r="AF41" s="605">
        <f>DwellingStocks!CA41/1000</f>
        <v>0.30747985578397702</v>
      </c>
      <c r="AG41" s="605">
        <f>DwellingStocks!CD41/1000</f>
        <v>0.70642316442867004</v>
      </c>
      <c r="AH41" s="605">
        <f>DwellingStocks!CG41/1000</f>
        <v>0.29482728507184597</v>
      </c>
      <c r="AI41" s="605">
        <v>1</v>
      </c>
      <c r="AJ41" s="603">
        <f>BP33</f>
        <v>87.56</v>
      </c>
      <c r="AK41" s="603">
        <v>1</v>
      </c>
      <c r="AL41" s="707">
        <f>AN41</f>
        <v>5.1112754924902158E-2</v>
      </c>
      <c r="AM41" s="1183"/>
      <c r="AN41" s="767">
        <f>BR62*DwellingStocks!X25*(1+AO53)</f>
        <v>5.1112754924902158E-2</v>
      </c>
      <c r="AO41" s="764">
        <f>AN41*H41</f>
        <v>1.97238995779881</v>
      </c>
      <c r="AP41" s="771"/>
      <c r="AQ41" s="768"/>
      <c r="AR41" s="764"/>
      <c r="AS41" s="768"/>
      <c r="AT41" s="792"/>
      <c r="AU41" s="768"/>
      <c r="AW41" s="586" t="s">
        <v>42</v>
      </c>
      <c r="AX41" s="595">
        <v>37772</v>
      </c>
      <c r="AY41" s="587">
        <f>AX41/SUM(AX41+AZ41)</f>
        <v>0.58696834548025667</v>
      </c>
      <c r="AZ41" s="595">
        <v>26579</v>
      </c>
      <c r="BA41" s="588">
        <f>AZ41/SUM(AX41+AZ41)</f>
        <v>0.41303165451974327</v>
      </c>
      <c r="BB41" s="25"/>
      <c r="BC41" s="25"/>
      <c r="BD41" s="25"/>
      <c r="BE41" s="25"/>
      <c r="BF41" s="831" t="s">
        <v>50</v>
      </c>
      <c r="BG41" s="832">
        <v>3209</v>
      </c>
      <c r="BH41" s="832">
        <v>264012</v>
      </c>
      <c r="BI41" s="832">
        <v>91</v>
      </c>
      <c r="BJ41" s="833">
        <v>5149071</v>
      </c>
      <c r="BK41" s="831">
        <v>157450</v>
      </c>
      <c r="BL41" s="832">
        <v>1694468</v>
      </c>
      <c r="BM41" s="832">
        <v>638663</v>
      </c>
      <c r="BN41" s="832">
        <v>6968385</v>
      </c>
      <c r="BO41" s="832">
        <v>83330</v>
      </c>
      <c r="BP41" s="832">
        <v>14691367</v>
      </c>
      <c r="BQ41" s="836">
        <f>DwellingStocks!O20</f>
        <v>5197.6132443555907</v>
      </c>
      <c r="BR41" s="834">
        <f>((BQ41/BG41)*$BG$18*(BJ41+BK41)*0.0000000036)/(BQ41/1000)</f>
        <v>4.4223271439528845E-3</v>
      </c>
      <c r="BS41" s="834">
        <f>((BQ41/BG41)*(BN41+BO41)*0.0000000036)/(BQ41/1000)</f>
        <v>7.9109298846992849E-3</v>
      </c>
      <c r="BT41" s="834">
        <f>((BQ41/BG41)*(BL41)*0.0000000036)/(BQ41/1000)</f>
        <v>1.9009301339981304E-3</v>
      </c>
      <c r="BU41" s="834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5">
      <c r="C42" s="439"/>
      <c r="D42" s="438"/>
      <c r="E42" s="438"/>
      <c r="F42" s="711" t="s">
        <v>1281</v>
      </c>
      <c r="G42" s="438"/>
      <c r="H42" s="709"/>
      <c r="I42" s="709"/>
      <c r="J42" s="709"/>
      <c r="K42" s="709"/>
      <c r="L42" s="709"/>
      <c r="M42" s="709"/>
      <c r="N42" s="709"/>
      <c r="O42" s="709"/>
      <c r="P42" s="709"/>
      <c r="Q42" s="709"/>
      <c r="R42" s="709"/>
      <c r="S42" s="709"/>
      <c r="T42" s="709"/>
      <c r="U42" s="709"/>
      <c r="V42" s="709"/>
      <c r="W42" s="709"/>
      <c r="X42" s="709"/>
      <c r="Y42" s="709"/>
      <c r="Z42" s="709"/>
      <c r="AA42" s="709"/>
      <c r="AB42" s="709"/>
      <c r="AC42" s="709"/>
      <c r="AD42" s="709"/>
      <c r="AE42" s="709"/>
      <c r="AF42" s="709"/>
      <c r="AG42" s="709"/>
      <c r="AH42" s="709"/>
      <c r="AI42" s="709"/>
      <c r="AJ42" s="438"/>
      <c r="AK42" s="438"/>
      <c r="AL42" s="710"/>
      <c r="AM42" s="1183"/>
      <c r="AN42" s="767"/>
      <c r="AO42" s="764"/>
      <c r="AP42" s="771"/>
      <c r="AQ42" s="768"/>
      <c r="AR42" s="764"/>
      <c r="AS42" s="768"/>
      <c r="AT42" s="792"/>
      <c r="AU42" s="768"/>
      <c r="AW42" s="589" t="s">
        <v>44</v>
      </c>
      <c r="AX42" s="596">
        <v>12745</v>
      </c>
      <c r="AY42" s="590">
        <f>AX42/SUM(AX42+AZ42)</f>
        <v>0.36680481206469812</v>
      </c>
      <c r="AZ42" s="596">
        <v>22001</v>
      </c>
      <c r="BA42" s="591">
        <f>AZ42/SUM(AX42+AZ42)</f>
        <v>0.63319518793530194</v>
      </c>
      <c r="BB42" s="25"/>
      <c r="BC42" s="25"/>
      <c r="BD42" s="25"/>
      <c r="BE42" s="25"/>
      <c r="BF42" s="835" t="s">
        <v>52</v>
      </c>
      <c r="BG42" s="836">
        <v>8665</v>
      </c>
      <c r="BH42" s="836">
        <v>712223</v>
      </c>
      <c r="BI42" s="836">
        <v>114</v>
      </c>
      <c r="BJ42" s="837">
        <v>24443713</v>
      </c>
      <c r="BK42" s="835">
        <v>1103093</v>
      </c>
      <c r="BL42" s="836">
        <v>5068146</v>
      </c>
      <c r="BM42" s="836">
        <v>1589124</v>
      </c>
      <c r="BN42" s="836">
        <v>23824149</v>
      </c>
      <c r="BO42" s="836">
        <v>271620</v>
      </c>
      <c r="BP42" s="836">
        <v>56299844</v>
      </c>
      <c r="BQ42" s="836">
        <f>DwellingStocks!O21</f>
        <v>13979.419134898935</v>
      </c>
      <c r="BR42" s="838">
        <f t="shared" ref="BR42:BR48" si="4">((BQ42/BG42)*$BG$18*(BJ42+BK42)*0.0000000036)/(BQ42/1000)</f>
        <v>7.8845831836233862E-3</v>
      </c>
      <c r="BS42" s="838">
        <f>((BQ42/BG42)*(BN42+BO42)*0.0000000036)/(BQ42/1000)</f>
        <v>1.0010936918638198E-2</v>
      </c>
      <c r="BT42" s="838">
        <f>((BQ42/BG42)*(BL42)*0.0000000036)/(BQ42/1000)</f>
        <v>2.1056348066935946E-3</v>
      </c>
      <c r="BU42" s="838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5">
      <c r="C43" s="290"/>
      <c r="D43" s="290"/>
      <c r="E43" s="290"/>
      <c r="F43" s="290" t="s">
        <v>930</v>
      </c>
      <c r="G43" s="290"/>
      <c r="H43" s="713"/>
      <c r="I43" s="713"/>
      <c r="J43" s="713"/>
      <c r="K43" s="713"/>
      <c r="L43" s="713"/>
      <c r="M43" s="713"/>
      <c r="N43" s="713"/>
      <c r="O43" s="713"/>
      <c r="P43" s="713"/>
      <c r="Q43" s="713"/>
      <c r="R43" s="713"/>
      <c r="S43" s="713"/>
      <c r="T43" s="713"/>
      <c r="U43" s="713"/>
      <c r="V43" s="713"/>
      <c r="W43" s="713"/>
      <c r="X43" s="713"/>
      <c r="Y43" s="713"/>
      <c r="Z43" s="713"/>
      <c r="AA43" s="713"/>
      <c r="AB43" s="713"/>
      <c r="AC43" s="713"/>
      <c r="AD43" s="713"/>
      <c r="AE43" s="713"/>
      <c r="AF43" s="713"/>
      <c r="AG43" s="713"/>
      <c r="AH43" s="713"/>
      <c r="AI43" s="713"/>
      <c r="AJ43" s="290"/>
      <c r="AK43" s="290"/>
      <c r="AL43" s="714">
        <f>AP43</f>
        <v>1.4324105718267961E-2</v>
      </c>
      <c r="AM43" s="1183"/>
      <c r="AN43" s="767"/>
      <c r="AO43" s="764"/>
      <c r="AP43" s="771">
        <f>BS62*(1+AQ53)</f>
        <v>1.4324105718267961E-2</v>
      </c>
      <c r="AQ43" s="768">
        <f>AP43*H41</f>
        <v>0.55275287576791321</v>
      </c>
      <c r="AR43" s="764"/>
      <c r="AS43" s="768"/>
      <c r="AT43" s="792"/>
      <c r="AU43" s="768"/>
      <c r="AW43" s="592" t="s">
        <v>46</v>
      </c>
      <c r="AX43" s="597">
        <v>6299</v>
      </c>
      <c r="AY43" s="593">
        <f>AX43/SUM(AX43+AZ43)</f>
        <v>0.35199776473875383</v>
      </c>
      <c r="AZ43" s="597">
        <v>11596</v>
      </c>
      <c r="BA43" s="594">
        <f>AZ43/SUM(AX43+AZ43)</f>
        <v>0.64800223526124612</v>
      </c>
      <c r="BB43" s="25"/>
      <c r="BC43" s="25"/>
      <c r="BD43" s="25"/>
      <c r="BE43" s="25"/>
      <c r="BF43" s="831" t="s">
        <v>54</v>
      </c>
      <c r="BG43" s="832">
        <v>13570</v>
      </c>
      <c r="BH43" s="832">
        <v>1073828</v>
      </c>
      <c r="BI43" s="832">
        <v>138</v>
      </c>
      <c r="BJ43" s="833">
        <v>50858810</v>
      </c>
      <c r="BK43" s="831">
        <v>3129098</v>
      </c>
      <c r="BL43" s="832">
        <v>7944420</v>
      </c>
      <c r="BM43" s="832">
        <v>2305495</v>
      </c>
      <c r="BN43" s="832">
        <v>41205233</v>
      </c>
      <c r="BO43" s="832">
        <v>896605</v>
      </c>
      <c r="BP43" s="832">
        <v>106339660</v>
      </c>
      <c r="BQ43" s="836">
        <f>DwellingStocks!O22</f>
        <v>21709.86153487581</v>
      </c>
      <c r="BR43" s="834">
        <f t="shared" si="4"/>
        <v>1.0639650151914029E-2</v>
      </c>
      <c r="BS43" s="834">
        <f t="shared" ref="BS43:BS48" si="5">((BQ43/BG43)*(BN43+BO43)*0.0000000036)/(BQ43/1000)</f>
        <v>1.1169242210759028E-2</v>
      </c>
      <c r="BT43" s="834">
        <f t="shared" ref="BT43:BT48" si="6">((BQ43/BG43)*(BL43)*0.0000000036)/(BQ43/1000)</f>
        <v>2.1075837877671333E-3</v>
      </c>
      <c r="BU43" s="834">
        <f t="shared" ref="BU43:BU48" si="7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5">
      <c r="C44" s="439"/>
      <c r="D44" s="438"/>
      <c r="E44" s="438"/>
      <c r="F44" s="438" t="s">
        <v>931</v>
      </c>
      <c r="G44" s="438"/>
      <c r="H44" s="709"/>
      <c r="I44" s="709"/>
      <c r="J44" s="709"/>
      <c r="K44" s="709"/>
      <c r="L44" s="709"/>
      <c r="M44" s="709"/>
      <c r="N44" s="709"/>
      <c r="O44" s="709"/>
      <c r="P44" s="709"/>
      <c r="Q44" s="709"/>
      <c r="R44" s="709"/>
      <c r="S44" s="709"/>
      <c r="T44" s="709"/>
      <c r="U44" s="709"/>
      <c r="V44" s="709"/>
      <c r="W44" s="709"/>
      <c r="X44" s="709"/>
      <c r="Y44" s="709"/>
      <c r="Z44" s="709"/>
      <c r="AA44" s="709"/>
      <c r="AB44" s="709"/>
      <c r="AC44" s="709"/>
      <c r="AD44" s="709"/>
      <c r="AE44" s="709"/>
      <c r="AF44" s="709"/>
      <c r="AG44" s="709"/>
      <c r="AH44" s="709"/>
      <c r="AI44" s="709"/>
      <c r="AJ44" s="438"/>
      <c r="AK44" s="438"/>
      <c r="AL44" s="710">
        <f>AR44</f>
        <v>9.0329109755474897E-4</v>
      </c>
      <c r="AM44" s="1183"/>
      <c r="AN44" s="767"/>
      <c r="AO44" s="764"/>
      <c r="AP44" s="771"/>
      <c r="AQ44" s="768"/>
      <c r="AR44" s="764">
        <f>BT62*(1+AS53)</f>
        <v>9.0329109755474897E-4</v>
      </c>
      <c r="AS44" s="768">
        <f>AR44*H41</f>
        <v>3.4857097654073722E-2</v>
      </c>
      <c r="AT44" s="792"/>
      <c r="AU44" s="768"/>
      <c r="AW44" s="25"/>
      <c r="AX44" s="25"/>
      <c r="AY44" s="25"/>
      <c r="AZ44" s="25"/>
      <c r="BA44" s="25"/>
      <c r="BB44" s="25"/>
      <c r="BC44" s="25"/>
      <c r="BD44" s="25"/>
      <c r="BE44" s="25"/>
      <c r="BF44" s="835" t="s">
        <v>56</v>
      </c>
      <c r="BG44" s="836">
        <v>45566</v>
      </c>
      <c r="BH44" s="836">
        <v>3308771</v>
      </c>
      <c r="BI44" s="836">
        <v>187</v>
      </c>
      <c r="BJ44" s="837">
        <v>191371995</v>
      </c>
      <c r="BK44" s="835">
        <v>20181333</v>
      </c>
      <c r="BL44" s="836">
        <v>24809831</v>
      </c>
      <c r="BM44" s="836">
        <v>5185837</v>
      </c>
      <c r="BN44" s="836">
        <v>135290780</v>
      </c>
      <c r="BO44" s="836">
        <v>5131131</v>
      </c>
      <c r="BP44" s="836">
        <v>381970906</v>
      </c>
      <c r="BQ44" s="836">
        <f>DwellingStocks!O23</f>
        <v>71167.091754613168</v>
      </c>
      <c r="BR44" s="838">
        <f t="shared" si="4"/>
        <v>1.2416227238810909E-2</v>
      </c>
      <c r="BS44" s="838">
        <f t="shared" si="5"/>
        <v>1.1094212342536103E-2</v>
      </c>
      <c r="BT44" s="838">
        <f t="shared" si="6"/>
        <v>1.9601323706272223E-3</v>
      </c>
      <c r="BU44" s="838">
        <f t="shared" si="7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5" ht="13.5" thickBot="1">
      <c r="C45" s="606"/>
      <c r="D45" s="606"/>
      <c r="E45" s="606"/>
      <c r="F45" s="606" t="s">
        <v>932</v>
      </c>
      <c r="G45" s="606"/>
      <c r="H45" s="608"/>
      <c r="I45" s="608"/>
      <c r="J45" s="608"/>
      <c r="K45" s="608"/>
      <c r="L45" s="608"/>
      <c r="M45" s="608"/>
      <c r="N45" s="608"/>
      <c r="O45" s="608"/>
      <c r="P45" s="608"/>
      <c r="Q45" s="608"/>
      <c r="R45" s="608"/>
      <c r="S45" s="608"/>
      <c r="T45" s="608"/>
      <c r="U45" s="608"/>
      <c r="V45" s="608"/>
      <c r="W45" s="608"/>
      <c r="X45" s="608"/>
      <c r="Y45" s="608"/>
      <c r="Z45" s="608"/>
      <c r="AA45" s="608"/>
      <c r="AB45" s="608"/>
      <c r="AC45" s="608"/>
      <c r="AD45" s="608"/>
      <c r="AE45" s="608"/>
      <c r="AF45" s="608"/>
      <c r="AG45" s="608"/>
      <c r="AH45" s="608"/>
      <c r="AI45" s="608"/>
      <c r="AJ45" s="606"/>
      <c r="AK45" s="606"/>
      <c r="AL45" s="715">
        <f>AT45</f>
        <v>3.1478346183740487E-4</v>
      </c>
      <c r="AM45" s="1183"/>
      <c r="AN45" s="767"/>
      <c r="AO45" s="764"/>
      <c r="AP45" s="771"/>
      <c r="AQ45" s="768"/>
      <c r="AR45" s="764"/>
      <c r="AS45" s="768"/>
      <c r="AT45" s="792">
        <f>BU62*(1+$AU$53)</f>
        <v>3.1478346183740487E-4</v>
      </c>
      <c r="AU45" s="768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1" t="s">
        <v>58</v>
      </c>
      <c r="BG45" s="832">
        <v>30979</v>
      </c>
      <c r="BH45" s="832">
        <v>2017902</v>
      </c>
      <c r="BI45" s="832">
        <v>261</v>
      </c>
      <c r="BJ45" s="833">
        <v>133224360</v>
      </c>
      <c r="BK45" s="831">
        <v>19396995</v>
      </c>
      <c r="BL45" s="832">
        <v>15123200</v>
      </c>
      <c r="BM45" s="832">
        <v>1533922</v>
      </c>
      <c r="BN45" s="832">
        <v>78676858</v>
      </c>
      <c r="BO45" s="832">
        <v>2505229</v>
      </c>
      <c r="BP45" s="832">
        <v>250460563</v>
      </c>
      <c r="BQ45" s="836">
        <f>DwellingStocks!O24</f>
        <v>47490.854787158918</v>
      </c>
      <c r="BR45" s="834">
        <f>((BQ45/BG45)*$BG$18*(BJ45+BK45)*0.0000000036)/(BQ45/1000)</f>
        <v>1.3175242175504588E-2</v>
      </c>
      <c r="BS45" s="834">
        <f t="shared" si="5"/>
        <v>9.433987966041512E-3</v>
      </c>
      <c r="BT45" s="834">
        <f t="shared" si="6"/>
        <v>1.7574330998418282E-3</v>
      </c>
      <c r="BU45" s="834">
        <f t="shared" si="7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5">
      <c r="C46" s="602" t="str">
        <f>AY14</f>
        <v>R-BLD_Att_G</v>
      </c>
      <c r="D46" s="603" t="str">
        <f>AZ14</f>
        <v>Residential Building Attached _ G</v>
      </c>
      <c r="E46" s="603">
        <v>2018</v>
      </c>
      <c r="F46" s="603" t="str">
        <f>COMM!O25</f>
        <v>RSDSH_Att-G</v>
      </c>
      <c r="G46" s="603" t="s">
        <v>929</v>
      </c>
      <c r="H46" s="605">
        <f>BH16/1000</f>
        <v>38.905107366988204</v>
      </c>
      <c r="I46" s="605">
        <f>DwellingStocks!J42/1000</f>
        <v>0.34947304016171554</v>
      </c>
      <c r="J46" s="605">
        <f>DwellingStocks!M42/1000</f>
        <v>14.876029523440319</v>
      </c>
      <c r="K46" s="605">
        <f>DwellingStocks!P42/1000</f>
        <v>0.9538821970159389</v>
      </c>
      <c r="L46" s="605">
        <f>DwellingStocks!S42/1000</f>
        <v>0.66547923954144894</v>
      </c>
      <c r="M46" s="605">
        <f>DwellingStocks!V42/1000</f>
        <v>0.73925140196721262</v>
      </c>
      <c r="N46" s="605">
        <f>DwellingStocks!Y42/1000</f>
        <v>0.21247355171243337</v>
      </c>
      <c r="O46" s="605">
        <f>DwellingStocks!AB42/1000</f>
        <v>1.1400405442373234</v>
      </c>
      <c r="P46" s="605">
        <f>DwellingStocks!AE42/1000</f>
        <v>0.54765126404641207</v>
      </c>
      <c r="Q46" s="605">
        <f>DwellingStocks!AH42/1000</f>
        <v>0.95905533147295396</v>
      </c>
      <c r="R46" s="605">
        <f>DwellingStocks!AK42/1000</f>
        <v>0.88807003222751246</v>
      </c>
      <c r="S46" s="605">
        <f>DwellingStocks!AN42/1000</f>
        <v>1.0682911458454212</v>
      </c>
      <c r="T46" s="605">
        <f>DwellingStocks!AQ42/1000</f>
        <v>1.1446660865720322</v>
      </c>
      <c r="U46" s="605">
        <f>DwellingStocks!AT42/1000</f>
        <v>0.70262667412067725</v>
      </c>
      <c r="V46" s="605">
        <f>DwellingStocks!AW42/1000</f>
        <v>4.4918808301123159</v>
      </c>
      <c r="W46" s="605">
        <f>DwellingStocks!AZ42/1000</f>
        <v>0.88066313255320061</v>
      </c>
      <c r="X46" s="605">
        <f>DwellingStocks!BC42/1000</f>
        <v>1.4974610346941655</v>
      </c>
      <c r="Y46" s="605">
        <f>DwellingStocks!BF42/1000</f>
        <v>1.844536023948552</v>
      </c>
      <c r="Z46" s="605">
        <f>DwellingStocks!BI42/1000</f>
        <v>1.0467893745109749</v>
      </c>
      <c r="AA46" s="605">
        <f>DwellingStocks!BL42/1000</f>
        <v>1.2423545765983852</v>
      </c>
      <c r="AB46" s="605">
        <f>DwellingStocks!BO42/1000</f>
        <v>0.20728900509384607</v>
      </c>
      <c r="AC46" s="605">
        <f>DwellingStocks!BR42/1000</f>
        <v>0.90891278786454877</v>
      </c>
      <c r="AD46" s="605">
        <f>DwellingStocks!BU42/1000</f>
        <v>0.33374680527579725</v>
      </c>
      <c r="AE46" s="605">
        <f>DwellingStocks!BX42/1000</f>
        <v>0.58022575625942274</v>
      </c>
      <c r="AF46" s="605">
        <f>DwellingStocks!CA42/1000</f>
        <v>0.41773778386813043</v>
      </c>
      <c r="AG46" s="605">
        <f>DwellingStocks!CD42/1000</f>
        <v>0.89179661892413664</v>
      </c>
      <c r="AH46" s="605">
        <f>DwellingStocks!CG42/1000</f>
        <v>0.31472360492332024</v>
      </c>
      <c r="AI46" s="605">
        <v>1</v>
      </c>
      <c r="AJ46" s="603">
        <f>BP34</f>
        <v>66.400000000000006</v>
      </c>
      <c r="AK46" s="603">
        <v>1</v>
      </c>
      <c r="AL46" s="707">
        <f>AN46</f>
        <v>5.2836261064159319E-2</v>
      </c>
      <c r="AM46" s="1183"/>
      <c r="AN46" s="785">
        <f>BR63*DwellingStocks!X26*(1+AO53)</f>
        <v>5.2836261064159319E-2</v>
      </c>
      <c r="AO46" s="786">
        <f>AN46*H46</f>
        <v>2.0556004095713369</v>
      </c>
      <c r="AP46" s="787"/>
      <c r="AQ46" s="788"/>
      <c r="AR46" s="786"/>
      <c r="AS46" s="788"/>
      <c r="AT46" s="793"/>
      <c r="AU46" s="788"/>
      <c r="AW46" s="25"/>
      <c r="AX46" s="25"/>
      <c r="AY46" s="25"/>
      <c r="AZ46" s="25"/>
      <c r="BA46" s="25"/>
      <c r="BB46" s="25"/>
      <c r="BC46" s="25"/>
      <c r="BD46" s="25"/>
      <c r="BE46" s="25"/>
      <c r="BF46" s="835" t="s">
        <v>60</v>
      </c>
      <c r="BG46" s="836">
        <v>15595</v>
      </c>
      <c r="BH46" s="836">
        <v>931541</v>
      </c>
      <c r="BI46" s="836">
        <v>337</v>
      </c>
      <c r="BJ46" s="837">
        <v>83766308</v>
      </c>
      <c r="BK46" s="835">
        <v>16239436</v>
      </c>
      <c r="BL46" s="836">
        <v>7086953</v>
      </c>
      <c r="BM46" s="836">
        <v>575189</v>
      </c>
      <c r="BN46" s="836">
        <v>37375430</v>
      </c>
      <c r="BO46" s="836">
        <v>1099500</v>
      </c>
      <c r="BP46" s="836">
        <v>146142817</v>
      </c>
      <c r="BQ46" s="836">
        <f>DwellingStocks!O25</f>
        <v>23790.684938210514</v>
      </c>
      <c r="BR46" s="838">
        <f>((BQ46/BG46)*$BG$18*(BJ46+BK46)*0.0000000036)/(BQ46/1000)</f>
        <v>1.714945261270449E-2</v>
      </c>
      <c r="BS46" s="838">
        <f t="shared" si="5"/>
        <v>8.8816766912471947E-3</v>
      </c>
      <c r="BT46" s="838">
        <f t="shared" si="6"/>
        <v>1.6359750432831037E-3</v>
      </c>
      <c r="BU46" s="838">
        <f t="shared" si="7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5">
      <c r="C47" s="439"/>
      <c r="D47" s="438"/>
      <c r="E47" s="438"/>
      <c r="F47" s="711" t="s">
        <v>1281</v>
      </c>
      <c r="G47" s="438"/>
      <c r="H47" s="709"/>
      <c r="I47" s="709"/>
      <c r="J47" s="709"/>
      <c r="K47" s="709"/>
      <c r="L47" s="709"/>
      <c r="M47" s="709"/>
      <c r="N47" s="709"/>
      <c r="O47" s="709"/>
      <c r="P47" s="709"/>
      <c r="Q47" s="709"/>
      <c r="R47" s="709"/>
      <c r="S47" s="709"/>
      <c r="T47" s="709"/>
      <c r="U47" s="709"/>
      <c r="V47" s="709"/>
      <c r="W47" s="709"/>
      <c r="X47" s="709"/>
      <c r="Y47" s="709"/>
      <c r="Z47" s="709"/>
      <c r="AA47" s="709"/>
      <c r="AB47" s="709"/>
      <c r="AC47" s="709"/>
      <c r="AD47" s="709"/>
      <c r="AE47" s="709"/>
      <c r="AF47" s="709"/>
      <c r="AG47" s="709"/>
      <c r="AH47" s="709"/>
      <c r="AI47" s="709"/>
      <c r="AJ47" s="438"/>
      <c r="AK47" s="438"/>
      <c r="AL47" s="710"/>
      <c r="AM47" s="1183"/>
      <c r="AN47" s="317"/>
      <c r="AP47" s="317"/>
      <c r="AQ47" s="336"/>
      <c r="AR47" s="764"/>
      <c r="AS47" s="768"/>
      <c r="AT47" s="792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1" t="s">
        <v>62</v>
      </c>
      <c r="BG47" s="832">
        <v>5191</v>
      </c>
      <c r="BH47" s="832">
        <v>290189</v>
      </c>
      <c r="BI47" s="832">
        <v>413</v>
      </c>
      <c r="BJ47" s="833">
        <v>36993288</v>
      </c>
      <c r="BK47" s="831">
        <v>7041768</v>
      </c>
      <c r="BL47" s="832">
        <v>2218849</v>
      </c>
      <c r="BM47" s="832">
        <v>235069</v>
      </c>
      <c r="BN47" s="832">
        <v>12463794</v>
      </c>
      <c r="BO47" s="832">
        <v>507628</v>
      </c>
      <c r="BP47" s="832">
        <v>59460396</v>
      </c>
      <c r="BQ47" s="836">
        <f>DwellingStocks!O26</f>
        <v>8010.7993972868508</v>
      </c>
      <c r="BR47" s="834">
        <f t="shared" si="4"/>
        <v>2.2686015294626206E-2</v>
      </c>
      <c r="BS47" s="834">
        <f t="shared" si="5"/>
        <v>8.995784858408783E-3</v>
      </c>
      <c r="BT47" s="834">
        <f t="shared" si="6"/>
        <v>1.5387895203236373E-3</v>
      </c>
      <c r="BU47" s="834">
        <f t="shared" si="7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5" ht="13.5" thickBot="1">
      <c r="C48" s="290"/>
      <c r="D48" s="290"/>
      <c r="E48" s="290"/>
      <c r="F48" s="290" t="s">
        <v>930</v>
      </c>
      <c r="G48" s="290"/>
      <c r="H48" s="713"/>
      <c r="I48" s="713"/>
      <c r="J48" s="713"/>
      <c r="K48" s="713"/>
      <c r="L48" s="713"/>
      <c r="M48" s="713"/>
      <c r="N48" s="713"/>
      <c r="O48" s="713"/>
      <c r="P48" s="713"/>
      <c r="Q48" s="713"/>
      <c r="R48" s="713"/>
      <c r="S48" s="713"/>
      <c r="T48" s="713"/>
      <c r="U48" s="713"/>
      <c r="V48" s="713"/>
      <c r="W48" s="713"/>
      <c r="X48" s="713"/>
      <c r="Y48" s="713"/>
      <c r="Z48" s="713"/>
      <c r="AA48" s="713"/>
      <c r="AB48" s="713"/>
      <c r="AC48" s="713"/>
      <c r="AD48" s="713"/>
      <c r="AE48" s="713"/>
      <c r="AF48" s="713"/>
      <c r="AG48" s="713"/>
      <c r="AH48" s="713"/>
      <c r="AI48" s="713"/>
      <c r="AJ48" s="290"/>
      <c r="AK48" s="290"/>
      <c r="AL48" s="714">
        <f>AP48</f>
        <v>1.301296052944724E-2</v>
      </c>
      <c r="AM48" s="1183"/>
      <c r="AN48" s="317"/>
      <c r="AP48" s="771">
        <f>BS63*(1+AQ53)</f>
        <v>1.301296052944724E-2</v>
      </c>
      <c r="AQ48" s="768">
        <f>AP48*H46</f>
        <v>0.50627062656052457</v>
      </c>
      <c r="AR48" s="764"/>
      <c r="AS48" s="768"/>
      <c r="AT48" s="792"/>
      <c r="AU48" s="336"/>
      <c r="AW48" s="25" t="s">
        <v>824</v>
      </c>
      <c r="AY48" s="25"/>
      <c r="AZ48" s="25"/>
      <c r="BA48" s="25"/>
      <c r="BB48" s="25"/>
      <c r="BC48" s="25"/>
      <c r="BD48" s="25"/>
      <c r="BE48" s="25"/>
      <c r="BF48" s="835" t="s">
        <v>64</v>
      </c>
      <c r="BG48" s="836">
        <v>5603</v>
      </c>
      <c r="BH48" s="836">
        <v>294590</v>
      </c>
      <c r="BI48" s="836">
        <v>602</v>
      </c>
      <c r="BJ48" s="837">
        <v>59600854</v>
      </c>
      <c r="BK48" s="835">
        <v>9624009</v>
      </c>
      <c r="BL48" s="836">
        <v>2310613</v>
      </c>
      <c r="BM48" s="836">
        <v>213528</v>
      </c>
      <c r="BN48" s="836">
        <v>12820227</v>
      </c>
      <c r="BO48" s="836">
        <v>550098</v>
      </c>
      <c r="BP48" s="836">
        <v>85119330</v>
      </c>
      <c r="BQ48" s="836">
        <f>DwellingStocks!O27</f>
        <v>8658.126308421115</v>
      </c>
      <c r="BR48" s="838">
        <f t="shared" si="4"/>
        <v>3.3040923611834583E-2</v>
      </c>
      <c r="BS48" s="838">
        <f t="shared" si="5"/>
        <v>8.5906068177761911E-3</v>
      </c>
      <c r="BT48" s="838">
        <f t="shared" si="6"/>
        <v>1.4845987506692843E-3</v>
      </c>
      <c r="BU48" s="838">
        <f t="shared" si="7"/>
        <v>1.3719450294485096E-4</v>
      </c>
    </row>
    <row r="49" spans="3:73" ht="13.5" thickBot="1">
      <c r="C49" s="439"/>
      <c r="D49" s="438"/>
      <c r="E49" s="438"/>
      <c r="F49" s="438" t="s">
        <v>931</v>
      </c>
      <c r="G49" s="438"/>
      <c r="H49" s="709"/>
      <c r="I49" s="709"/>
      <c r="J49" s="709"/>
      <c r="K49" s="709"/>
      <c r="L49" s="709"/>
      <c r="M49" s="709"/>
      <c r="N49" s="709"/>
      <c r="O49" s="709"/>
      <c r="P49" s="709"/>
      <c r="Q49" s="709"/>
      <c r="R49" s="709"/>
      <c r="S49" s="709"/>
      <c r="T49" s="709"/>
      <c r="U49" s="709"/>
      <c r="V49" s="709"/>
      <c r="W49" s="709"/>
      <c r="X49" s="709"/>
      <c r="Y49" s="709"/>
      <c r="Z49" s="709"/>
      <c r="AA49" s="709"/>
      <c r="AB49" s="709"/>
      <c r="AC49" s="709"/>
      <c r="AD49" s="709"/>
      <c r="AE49" s="709"/>
      <c r="AF49" s="709"/>
      <c r="AG49" s="709"/>
      <c r="AH49" s="709"/>
      <c r="AI49" s="709"/>
      <c r="AJ49" s="438"/>
      <c r="AK49" s="438"/>
      <c r="AL49" s="710">
        <f>AR49</f>
        <v>8.7437241598877023E-4</v>
      </c>
      <c r="AM49" s="1183"/>
      <c r="AN49" s="317"/>
      <c r="AP49" s="772"/>
      <c r="AQ49" s="773"/>
      <c r="AR49" s="764">
        <f>BT63*(1+AS53)</f>
        <v>8.7437241598877023E-4</v>
      </c>
      <c r="AS49" s="768">
        <f>AR49*H46</f>
        <v>3.4017552722775977E-2</v>
      </c>
      <c r="AT49" s="792"/>
      <c r="AU49" s="336"/>
      <c r="AW49" s="25"/>
      <c r="AX49" s="584" t="s">
        <v>820</v>
      </c>
      <c r="AY49" s="584" t="s">
        <v>823</v>
      </c>
      <c r="AZ49" s="25"/>
      <c r="BA49" s="25"/>
      <c r="BB49" s="25"/>
      <c r="BC49" s="25"/>
      <c r="BD49" s="25"/>
      <c r="BE49" s="25"/>
      <c r="BQ49" s="58" t="s">
        <v>1066</v>
      </c>
      <c r="BR49" s="843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06"/>
      <c r="D50" s="606"/>
      <c r="E50" s="606"/>
      <c r="F50" s="606" t="s">
        <v>932</v>
      </c>
      <c r="G50" s="606"/>
      <c r="H50" s="608"/>
      <c r="I50" s="608"/>
      <c r="J50" s="608"/>
      <c r="K50" s="608"/>
      <c r="L50" s="608"/>
      <c r="M50" s="608"/>
      <c r="N50" s="608"/>
      <c r="O50" s="608"/>
      <c r="P50" s="608"/>
      <c r="Q50" s="608"/>
      <c r="R50" s="608"/>
      <c r="S50" s="608"/>
      <c r="T50" s="608"/>
      <c r="U50" s="608"/>
      <c r="V50" s="608"/>
      <c r="W50" s="608"/>
      <c r="X50" s="608"/>
      <c r="Y50" s="608"/>
      <c r="Z50" s="608"/>
      <c r="AA50" s="608"/>
      <c r="AB50" s="608"/>
      <c r="AC50" s="608"/>
      <c r="AD50" s="608"/>
      <c r="AE50" s="608"/>
      <c r="AF50" s="608"/>
      <c r="AG50" s="608"/>
      <c r="AH50" s="608"/>
      <c r="AI50" s="608"/>
      <c r="AJ50" s="606"/>
      <c r="AK50" s="606"/>
      <c r="AL50" s="715">
        <f>AT50</f>
        <v>2.2390789835131475E-4</v>
      </c>
      <c r="AM50" s="1183"/>
      <c r="AN50" s="328"/>
      <c r="AO50" s="760"/>
      <c r="AP50" s="774"/>
      <c r="AQ50" s="775"/>
      <c r="AR50" s="769"/>
      <c r="AS50" s="770"/>
      <c r="AT50" s="791">
        <f>BU63*(1+$AU$53)</f>
        <v>2.2390789835131475E-4</v>
      </c>
      <c r="AU50" s="770">
        <f>AT50*H46</f>
        <v>8.7111608256745816E-3</v>
      </c>
      <c r="AW50" s="586" t="s">
        <v>42</v>
      </c>
      <c r="AX50" s="587">
        <f>1-AY50</f>
        <v>0.67999999999999994</v>
      </c>
      <c r="AY50" s="587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2" t="s">
        <v>252</v>
      </c>
      <c r="D51" s="290"/>
      <c r="E51" s="290"/>
      <c r="F51" s="290"/>
      <c r="G51" s="290"/>
      <c r="H51" s="713"/>
      <c r="I51" s="713"/>
      <c r="J51" s="713"/>
      <c r="K51" s="713"/>
      <c r="L51" s="713"/>
      <c r="M51" s="713"/>
      <c r="N51" s="713"/>
      <c r="O51" s="713"/>
      <c r="P51" s="713"/>
      <c r="Q51" s="713"/>
      <c r="R51" s="713"/>
      <c r="S51" s="713"/>
      <c r="T51" s="713"/>
      <c r="U51" s="713"/>
      <c r="V51" s="713"/>
      <c r="W51" s="713"/>
      <c r="X51" s="713"/>
      <c r="Y51" s="713"/>
      <c r="Z51" s="713"/>
      <c r="AA51" s="713"/>
      <c r="AB51" s="713"/>
      <c r="AC51" s="713"/>
      <c r="AD51" s="713"/>
      <c r="AE51" s="713"/>
      <c r="AF51" s="713"/>
      <c r="AG51" s="713"/>
      <c r="AH51" s="713"/>
      <c r="AI51" s="713"/>
      <c r="AJ51" s="290"/>
      <c r="AK51" s="290"/>
      <c r="AL51" s="714"/>
      <c r="AN51" s="326" t="s">
        <v>918</v>
      </c>
      <c r="AO51" s="316">
        <f>'SHWLP-Att'!AC27</f>
        <v>20.357309163938442</v>
      </c>
      <c r="AP51" s="320"/>
      <c r="AQ51" s="321">
        <f>'SHWLP-Att'!AC54</f>
        <v>9.4922193003738293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89" t="s">
        <v>44</v>
      </c>
      <c r="AX51" s="590">
        <f>1-AY51</f>
        <v>0.65</v>
      </c>
      <c r="AY51" s="590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2" t="s">
        <v>252</v>
      </c>
      <c r="D52" s="290"/>
      <c r="E52" s="290"/>
      <c r="F52" s="290"/>
      <c r="G52" s="290"/>
      <c r="H52" s="713"/>
      <c r="I52" s="713"/>
      <c r="J52" s="713"/>
      <c r="K52" s="713"/>
      <c r="L52" s="713"/>
      <c r="M52" s="713"/>
      <c r="N52" s="713"/>
      <c r="O52" s="713"/>
      <c r="P52" s="713"/>
      <c r="Q52" s="713"/>
      <c r="R52" s="713"/>
      <c r="S52" s="713"/>
      <c r="T52" s="713"/>
      <c r="U52" s="713"/>
      <c r="V52" s="713"/>
      <c r="W52" s="713"/>
      <c r="X52" s="713"/>
      <c r="Y52" s="713"/>
      <c r="Z52" s="713"/>
      <c r="AA52" s="713"/>
      <c r="AB52" s="713"/>
      <c r="AC52" s="713"/>
      <c r="AD52" s="713"/>
      <c r="AE52" s="713"/>
      <c r="AF52" s="713"/>
      <c r="AG52" s="713"/>
      <c r="AH52" s="713"/>
      <c r="AI52" s="713"/>
      <c r="AJ52" s="290"/>
      <c r="AK52" s="290"/>
      <c r="AL52" s="714"/>
      <c r="AN52" s="761" t="s">
        <v>919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2" t="s">
        <v>46</v>
      </c>
      <c r="AX52" s="587">
        <f>1-AY52</f>
        <v>0.7</v>
      </c>
      <c r="AY52" s="593">
        <v>0.3</v>
      </c>
      <c r="BE52" s="25"/>
    </row>
    <row r="53" spans="3:73" ht="16.5" thickBot="1">
      <c r="C53" s="372" t="s">
        <v>252</v>
      </c>
      <c r="D53" s="290"/>
      <c r="E53" s="290"/>
      <c r="F53" s="290"/>
      <c r="G53" s="290"/>
      <c r="H53" s="713"/>
      <c r="I53" s="713"/>
      <c r="J53" s="713"/>
      <c r="K53" s="713"/>
      <c r="L53" s="713"/>
      <c r="M53" s="713"/>
      <c r="N53" s="713"/>
      <c r="O53" s="713"/>
      <c r="P53" s="713"/>
      <c r="Q53" s="713"/>
      <c r="R53" s="713"/>
      <c r="S53" s="713"/>
      <c r="T53" s="713"/>
      <c r="U53" s="713"/>
      <c r="V53" s="713"/>
      <c r="W53" s="713"/>
      <c r="X53" s="713"/>
      <c r="Y53" s="713"/>
      <c r="Z53" s="713"/>
      <c r="AA53" s="713"/>
      <c r="AB53" s="713"/>
      <c r="AC53" s="713"/>
      <c r="AD53" s="713"/>
      <c r="AE53" s="713"/>
      <c r="AF53" s="713"/>
      <c r="AG53" s="713"/>
      <c r="AH53" s="713"/>
      <c r="AI53" s="713"/>
      <c r="AJ53" s="290"/>
      <c r="AK53" s="290"/>
      <c r="AL53" s="714"/>
      <c r="AN53" s="762" t="s">
        <v>920</v>
      </c>
      <c r="AO53" s="776">
        <f>((AO51-AO52)/AO52)</f>
        <v>0.24566372632862385</v>
      </c>
      <c r="AP53" s="317"/>
      <c r="AQ53" s="776">
        <f>((AQ51-AQ52)/AQ52)</f>
        <v>-0.2050218168900024</v>
      </c>
      <c r="AR53" s="317"/>
      <c r="AS53" s="776">
        <f>((AS51-AS52)/AS52)</f>
        <v>-0.63874911615779384</v>
      </c>
      <c r="AT53" s="317"/>
      <c r="AU53" s="776">
        <f>((AU51-AU52)/AU52)</f>
        <v>-0.46841722521978868</v>
      </c>
      <c r="AW53" s="25"/>
      <c r="BE53" s="25"/>
      <c r="BF53" s="1285" t="s">
        <v>44</v>
      </c>
      <c r="BG53" s="1286" t="s">
        <v>44</v>
      </c>
      <c r="BH53" s="1286" t="s">
        <v>44</v>
      </c>
      <c r="BI53" s="1286" t="s">
        <v>44</v>
      </c>
      <c r="BJ53" s="1286" t="s">
        <v>44</v>
      </c>
      <c r="BK53" s="1286" t="s">
        <v>44</v>
      </c>
      <c r="BL53" s="1286" t="s">
        <v>44</v>
      </c>
      <c r="BM53" s="1286" t="s">
        <v>44</v>
      </c>
      <c r="BN53" s="1286" t="s">
        <v>44</v>
      </c>
      <c r="BO53" s="1286" t="s">
        <v>44</v>
      </c>
      <c r="BP53" s="1286" t="s">
        <v>44</v>
      </c>
      <c r="BQ53" s="1286"/>
      <c r="BR53" s="1288" t="s">
        <v>879</v>
      </c>
      <c r="BS53" s="1289"/>
      <c r="BT53" s="1289"/>
      <c r="BU53" s="1289"/>
    </row>
    <row r="54" spans="3:73">
      <c r="C54" s="372" t="s">
        <v>252</v>
      </c>
      <c r="D54" s="290"/>
      <c r="E54" s="290"/>
      <c r="F54" s="290"/>
      <c r="G54" s="290"/>
      <c r="H54" s="713"/>
      <c r="I54" s="713"/>
      <c r="J54" s="713"/>
      <c r="K54" s="713"/>
      <c r="L54" s="713"/>
      <c r="M54" s="713"/>
      <c r="N54" s="713"/>
      <c r="O54" s="713"/>
      <c r="P54" s="713"/>
      <c r="Q54" s="713"/>
      <c r="R54" s="713"/>
      <c r="S54" s="713"/>
      <c r="T54" s="713"/>
      <c r="U54" s="713"/>
      <c r="V54" s="713"/>
      <c r="W54" s="713"/>
      <c r="X54" s="713"/>
      <c r="Y54" s="713"/>
      <c r="Z54" s="713"/>
      <c r="AA54" s="713"/>
      <c r="AB54" s="713"/>
      <c r="AC54" s="713"/>
      <c r="AD54" s="713"/>
      <c r="AE54" s="713"/>
      <c r="AF54" s="713"/>
      <c r="AG54" s="713"/>
      <c r="AH54" s="713"/>
      <c r="AI54" s="713"/>
      <c r="AJ54" s="290"/>
      <c r="AK54" s="290"/>
      <c r="AL54" s="714"/>
      <c r="AN54" s="761" t="s">
        <v>921</v>
      </c>
      <c r="AO54" s="764">
        <f>SUM(AO6:AO46)</f>
        <v>20.357309163938442</v>
      </c>
      <c r="AP54" s="317"/>
      <c r="AQ54" s="768">
        <f>SUM(AQ6:AQ50)</f>
        <v>9.4922193003738293</v>
      </c>
      <c r="AR54" s="317"/>
      <c r="AS54" s="768">
        <f>SUM(AS6:AS50)</f>
        <v>0.71104643057697769</v>
      </c>
      <c r="AT54" s="317"/>
      <c r="AU54" s="768">
        <f>SUM(AU6:AU50)</f>
        <v>0.29535083433966691</v>
      </c>
      <c r="AW54" s="25"/>
      <c r="BE54" s="25"/>
      <c r="BF54" s="839" t="s">
        <v>284</v>
      </c>
      <c r="BG54" s="840" t="s">
        <v>393</v>
      </c>
      <c r="BH54" s="840" t="s">
        <v>394</v>
      </c>
      <c r="BI54" s="841" t="s">
        <v>874</v>
      </c>
      <c r="BJ54" s="839" t="s">
        <v>875</v>
      </c>
      <c r="BK54" s="839" t="s">
        <v>876</v>
      </c>
      <c r="BL54" s="840" t="s">
        <v>411</v>
      </c>
      <c r="BM54" s="840" t="s">
        <v>873</v>
      </c>
      <c r="BN54" s="841" t="s">
        <v>877</v>
      </c>
      <c r="BO54" s="839" t="s">
        <v>878</v>
      </c>
      <c r="BP54" s="840" t="s">
        <v>216</v>
      </c>
      <c r="BQ54" s="842"/>
      <c r="BR54" s="844" t="s">
        <v>217</v>
      </c>
      <c r="BS54" s="844" t="s">
        <v>872</v>
      </c>
      <c r="BT54" s="844" t="s">
        <v>219</v>
      </c>
      <c r="BU54" s="844" t="s">
        <v>873</v>
      </c>
    </row>
    <row r="55" spans="3:73" ht="13.5" thickBot="1">
      <c r="C55" s="372" t="s">
        <v>252</v>
      </c>
      <c r="D55" s="290"/>
      <c r="E55" s="290"/>
      <c r="F55" s="290"/>
      <c r="G55" s="290"/>
      <c r="H55" s="713"/>
      <c r="I55" s="713"/>
      <c r="J55" s="713"/>
      <c r="K55" s="713"/>
      <c r="L55" s="713"/>
      <c r="M55" s="713"/>
      <c r="N55" s="713"/>
      <c r="O55" s="713"/>
      <c r="P55" s="713"/>
      <c r="Q55" s="713"/>
      <c r="R55" s="713"/>
      <c r="S55" s="713"/>
      <c r="T55" s="713"/>
      <c r="U55" s="713"/>
      <c r="V55" s="713"/>
      <c r="W55" s="713"/>
      <c r="X55" s="713"/>
      <c r="Y55" s="713"/>
      <c r="Z55" s="713"/>
      <c r="AA55" s="713"/>
      <c r="AB55" s="713"/>
      <c r="AC55" s="713"/>
      <c r="AD55" s="713"/>
      <c r="AE55" s="713"/>
      <c r="AF55" s="713"/>
      <c r="AG55" s="713"/>
      <c r="AH55" s="713"/>
      <c r="AI55" s="713"/>
      <c r="AJ55" s="290"/>
      <c r="AK55" s="290"/>
      <c r="AL55" s="714"/>
      <c r="AM55" s="1169"/>
      <c r="AN55" s="765" t="s">
        <v>922</v>
      </c>
      <c r="AO55" s="766">
        <f>((AO51-AO54)/AO54)</f>
        <v>0</v>
      </c>
      <c r="AP55" s="328"/>
      <c r="AQ55" s="777">
        <f>((AQ51-AQ54)/AQ54)</f>
        <v>0</v>
      </c>
      <c r="AR55" s="328"/>
      <c r="AS55" s="777">
        <f>((AS51-AS54)/AS54)</f>
        <v>0</v>
      </c>
      <c r="AT55" s="328"/>
      <c r="AU55" s="777">
        <f>((AU51-AU54)/AU54)</f>
        <v>0</v>
      </c>
      <c r="AW55" s="25"/>
      <c r="AX55" s="25"/>
      <c r="BF55" s="835" t="s">
        <v>48</v>
      </c>
      <c r="BG55" s="836">
        <v>30917</v>
      </c>
      <c r="BH55" s="836">
        <v>3791316</v>
      </c>
      <c r="BI55" s="836">
        <v>54</v>
      </c>
      <c r="BJ55" s="837">
        <v>10485360</v>
      </c>
      <c r="BK55" s="835">
        <v>1188542</v>
      </c>
      <c r="BL55" s="836">
        <v>17730384</v>
      </c>
      <c r="BM55" s="836">
        <v>10718118</v>
      </c>
      <c r="BN55" s="836">
        <v>77836062</v>
      </c>
      <c r="BO55" s="836">
        <v>4686</v>
      </c>
      <c r="BP55" s="836">
        <v>117963152</v>
      </c>
      <c r="BQ55" s="836">
        <f>DwellingStocks!P19</f>
        <v>72528.642938868245</v>
      </c>
      <c r="BR55" s="838">
        <f>((BQ55/BG55)*$BH$18*(BJ55+BK55)*0.0000000036)/(BQ55/1000)</f>
        <v>9.510263559994105E-4</v>
      </c>
      <c r="BS55" s="838">
        <f>((BQ55/BG55)*(BN55+BO55)*0.0000000036)/(BQ55/1000)</f>
        <v>9.0638384319306521E-3</v>
      </c>
      <c r="BT55" s="838">
        <f>((BQ55/BG55)*(BL55)*0.0000000036)/(BQ55/1000)</f>
        <v>2.0645399747711611E-3</v>
      </c>
      <c r="BU55" s="838">
        <f>((BQ55/BG55)*(BM55)*0.0000000036)/(BQ55/1000)</f>
        <v>1.2480261603648477E-3</v>
      </c>
    </row>
    <row r="56" spans="3:73" ht="16.5" thickBot="1">
      <c r="C56" s="602" t="str">
        <f>AY15</f>
        <v>R-BLD_Apt_A</v>
      </c>
      <c r="D56" s="603" t="str">
        <f>AZ15</f>
        <v>Residential Building Apartment _ A</v>
      </c>
      <c r="E56" s="603">
        <v>2018</v>
      </c>
      <c r="F56" s="604" t="str">
        <f>COMM!O9</f>
        <v>RSDSH_Apt-AB</v>
      </c>
      <c r="G56" s="603" t="s">
        <v>933</v>
      </c>
      <c r="H56" s="605">
        <f>BG8/1000</f>
        <v>11.735038424732089</v>
      </c>
      <c r="I56" s="605">
        <f>DwellingStocks!I34/1000</f>
        <v>1.0999213170625809E-2</v>
      </c>
      <c r="J56" s="605">
        <f>DwellingStocks!L34/1000</f>
        <v>9.3752305952282828</v>
      </c>
      <c r="K56" s="605">
        <f>DwellingStocks!O34/1000</f>
        <v>0.38111078467402082</v>
      </c>
      <c r="L56" s="605">
        <f>DwellingStocks!R34/1000</f>
        <v>7.6168764397473235E-2</v>
      </c>
      <c r="M56" s="605">
        <f>DwellingStocks!U34/1000</f>
        <v>1.8635524481144205E-2</v>
      </c>
      <c r="N56" s="605">
        <f>DwellingStocks!X34/1000</f>
        <v>2.4560877536437445E-2</v>
      </c>
      <c r="O56" s="605">
        <f>DwellingStocks!AA34/1000</f>
        <v>0.13853042258541853</v>
      </c>
      <c r="P56" s="605">
        <f>DwellingStocks!AD34/1000</f>
        <v>0.16269659248084406</v>
      </c>
      <c r="Q56" s="605">
        <f>DwellingStocks!AG34/1000</f>
        <v>1.2999999999999999E-2</v>
      </c>
      <c r="R56" s="605">
        <f>DwellingStocks!AJ34/1000</f>
        <v>1.9986531797620652E-2</v>
      </c>
      <c r="S56" s="605">
        <f>DwellingStocks!AM34/1000</f>
        <v>2.6840370017248788E-2</v>
      </c>
      <c r="T56" s="605">
        <f>DwellingStocks!AP34/1000</f>
        <v>0.23678136971547895</v>
      </c>
      <c r="U56" s="605">
        <f>DwellingStocks!AS34/1000</f>
        <v>4.0430778237842586E-2</v>
      </c>
      <c r="V56" s="605">
        <f>DwellingStocks!AV34/1000</f>
        <v>0.46229041477688143</v>
      </c>
      <c r="W56" s="605">
        <f>DwellingStocks!AY34/1000</f>
        <v>7.7809037903225312E-2</v>
      </c>
      <c r="X56" s="605">
        <f>DwellingStocks!BB34/1000</f>
        <v>7.9968170445857648E-2</v>
      </c>
      <c r="Y56" s="605">
        <f>DwellingStocks!BE34/1000</f>
        <v>3.5745393028063198E-2</v>
      </c>
      <c r="Z56" s="605">
        <f>DwellingStocks!BH34/1000</f>
        <v>0.15468678455337934</v>
      </c>
      <c r="AA56" s="605">
        <f>DwellingStocks!BK34/1000</f>
        <v>0.20802835889673207</v>
      </c>
      <c r="AB56" s="605">
        <f>DwellingStocks!BN34/1000</f>
        <v>0</v>
      </c>
      <c r="AC56" s="605">
        <f>DwellingStocks!BQ34/1000</f>
        <v>3.3146875959603223E-2</v>
      </c>
      <c r="AD56" s="605">
        <f>DwellingStocks!BT34/1000</f>
        <v>0.02</v>
      </c>
      <c r="AE56" s="605">
        <f>DwellingStocks!BW34/1000</f>
        <v>3.89006646724816E-2</v>
      </c>
      <c r="AF56" s="605">
        <f>DwellingStocks!BZ34/1000</f>
        <v>3.9228229989771699E-2</v>
      </c>
      <c r="AG56" s="605">
        <f>DwellingStocks!CC34/1000</f>
        <v>3.8853388562053358E-2</v>
      </c>
      <c r="AH56" s="605">
        <f>DwellingStocks!CF34/1000</f>
        <v>2.1409281621601231E-2</v>
      </c>
      <c r="AI56" s="605">
        <v>1</v>
      </c>
      <c r="AJ56" s="603">
        <f>BP26</f>
        <v>10000000</v>
      </c>
      <c r="AK56" s="603">
        <v>1</v>
      </c>
      <c r="AL56" s="707">
        <f>AN56</f>
        <v>3.9569523745292917E-4</v>
      </c>
      <c r="AM56" s="1169"/>
      <c r="AN56" s="785">
        <f>ABS(BR40*DwellingStocks!W18*(1+AO103))</f>
        <v>3.9569523745292917E-4</v>
      </c>
      <c r="AO56" s="786">
        <f>AN56*H56</f>
        <v>4.6434988159936115E-3</v>
      </c>
      <c r="AP56" s="787"/>
      <c r="AQ56" s="788"/>
      <c r="AR56" s="787"/>
      <c r="AS56" s="788"/>
      <c r="AT56" s="786"/>
      <c r="AU56" s="788"/>
      <c r="AW56" s="1285" t="s">
        <v>819</v>
      </c>
      <c r="AX56" s="1286"/>
      <c r="AY56" s="1286"/>
      <c r="AZ56" s="1286"/>
      <c r="BA56" s="1287"/>
      <c r="BF56" s="831" t="s">
        <v>50</v>
      </c>
      <c r="BG56" s="832">
        <v>3722</v>
      </c>
      <c r="BH56" s="832">
        <v>417890</v>
      </c>
      <c r="BI56" s="832">
        <v>90</v>
      </c>
      <c r="BJ56" s="833">
        <v>13034192</v>
      </c>
      <c r="BK56" s="831">
        <v>2101151</v>
      </c>
      <c r="BL56" s="832">
        <v>2240850</v>
      </c>
      <c r="BM56" s="832">
        <v>788570</v>
      </c>
      <c r="BN56" s="832">
        <v>8717545</v>
      </c>
      <c r="BO56" s="832">
        <v>31109</v>
      </c>
      <c r="BP56" s="832">
        <v>26913417</v>
      </c>
      <c r="BQ56" s="836">
        <f>DwellingStocks!P20</f>
        <v>6727.4572369101443</v>
      </c>
      <c r="BR56" s="834">
        <f>((BQ56/BG56)*$BH$18*(BJ56+BK56)*0.0000000036)/(BQ56/1000)</f>
        <v>1.0242117509517548E-2</v>
      </c>
      <c r="BS56" s="834">
        <f>((BQ56/BG56)*(BN56+BO56)*0.0000000036)/(BQ56/1000)</f>
        <v>8.4618899516389033E-3</v>
      </c>
      <c r="BT56" s="834">
        <f>((BQ56/BG56)*(BL56)*0.0000000036)/(BQ56/1000)</f>
        <v>2.1673992477162815E-3</v>
      </c>
      <c r="BU56" s="834">
        <f>((BQ56/BG56)*(BM56)*0.0000000036)/(BQ56/1000)</f>
        <v>7.6272219236969371E-4</v>
      </c>
    </row>
    <row r="57" spans="3:73" ht="15.75" thickBot="1">
      <c r="C57" s="439"/>
      <c r="D57" s="438"/>
      <c r="E57" s="438"/>
      <c r="F57" s="388" t="s">
        <v>1280</v>
      </c>
      <c r="G57" s="438"/>
      <c r="H57" s="709"/>
      <c r="I57" s="709"/>
      <c r="J57" s="709"/>
      <c r="K57" s="709"/>
      <c r="L57" s="709"/>
      <c r="M57" s="709"/>
      <c r="N57" s="709"/>
      <c r="O57" s="709"/>
      <c r="P57" s="709"/>
      <c r="Q57" s="709"/>
      <c r="R57" s="709"/>
      <c r="S57" s="709"/>
      <c r="T57" s="709"/>
      <c r="U57" s="709"/>
      <c r="V57" s="709"/>
      <c r="W57" s="709"/>
      <c r="X57" s="709"/>
      <c r="Y57" s="709"/>
      <c r="Z57" s="709"/>
      <c r="AA57" s="709"/>
      <c r="AB57" s="709"/>
      <c r="AC57" s="709"/>
      <c r="AD57" s="709"/>
      <c r="AE57" s="709"/>
      <c r="AF57" s="709"/>
      <c r="AG57" s="709"/>
      <c r="AH57" s="709"/>
      <c r="AI57" s="709"/>
      <c r="AJ57" s="438"/>
      <c r="AK57" s="438"/>
      <c r="AL57" s="710"/>
      <c r="AM57" s="1169"/>
      <c r="AN57" s="767"/>
      <c r="AO57" s="764"/>
      <c r="AP57" s="771"/>
      <c r="AQ57" s="768"/>
      <c r="AR57" s="771"/>
      <c r="AS57" s="768"/>
      <c r="AT57" s="764"/>
      <c r="AU57" s="768"/>
      <c r="AW57" s="583"/>
      <c r="AX57" s="584" t="s">
        <v>821</v>
      </c>
      <c r="AY57" s="584" t="s">
        <v>820</v>
      </c>
      <c r="AZ57" s="585" t="s">
        <v>822</v>
      </c>
      <c r="BA57" s="583" t="s">
        <v>823</v>
      </c>
      <c r="BB57" s="25"/>
      <c r="BC57" s="25"/>
      <c r="BD57" s="25"/>
      <c r="BF57" s="835" t="s">
        <v>52</v>
      </c>
      <c r="BG57" s="836">
        <v>7882</v>
      </c>
      <c r="BH57" s="836">
        <v>923821</v>
      </c>
      <c r="BI57" s="836">
        <v>116</v>
      </c>
      <c r="BJ57" s="837">
        <v>43515430</v>
      </c>
      <c r="BK57" s="835">
        <v>7251325</v>
      </c>
      <c r="BL57" s="836">
        <v>5692013</v>
      </c>
      <c r="BM57" s="836">
        <v>1593680</v>
      </c>
      <c r="BN57" s="836">
        <v>27323207</v>
      </c>
      <c r="BO57" s="836">
        <v>122934</v>
      </c>
      <c r="BP57" s="836">
        <v>85498588</v>
      </c>
      <c r="BQ57" s="836">
        <f>DwellingStocks!P21</f>
        <v>14584.48055403824</v>
      </c>
      <c r="BR57" s="838">
        <f>((BQ57/BG57)*$BH$18*(BJ57+BK57)*0.0000000036)/(BQ57/1000)</f>
        <v>1.6222464383632399E-2</v>
      </c>
      <c r="BS57" s="838">
        <f t="shared" ref="BS57:BS63" si="8">((BQ57/BG57)*(BN57+BO57)*0.0000000036)/(BQ57/1000)</f>
        <v>1.2535664501395585E-2</v>
      </c>
      <c r="BT57" s="838">
        <f>((BQ57/BG57)*(BL57)*0.0000000036)/(BQ57/1000)</f>
        <v>2.5997521948743969E-3</v>
      </c>
      <c r="BU57" s="838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934</v>
      </c>
      <c r="G58" s="290"/>
      <c r="H58" s="713"/>
      <c r="I58" s="713"/>
      <c r="J58" s="713"/>
      <c r="K58" s="713"/>
      <c r="L58" s="713"/>
      <c r="M58" s="713"/>
      <c r="N58" s="713"/>
      <c r="O58" s="713"/>
      <c r="P58" s="713"/>
      <c r="Q58" s="713"/>
      <c r="R58" s="713"/>
      <c r="S58" s="713"/>
      <c r="T58" s="713"/>
      <c r="U58" s="713"/>
      <c r="V58" s="713"/>
      <c r="W58" s="713"/>
      <c r="X58" s="713"/>
      <c r="Y58" s="713"/>
      <c r="Z58" s="713"/>
      <c r="AA58" s="713"/>
      <c r="AB58" s="713"/>
      <c r="AC58" s="713"/>
      <c r="AD58" s="713"/>
      <c r="AE58" s="713"/>
      <c r="AF58" s="713"/>
      <c r="AG58" s="713"/>
      <c r="AH58" s="713"/>
      <c r="AI58" s="713"/>
      <c r="AJ58" s="290"/>
      <c r="AK58" s="290"/>
      <c r="AL58" s="714">
        <f>AP58</f>
        <v>3.8454326227233722E-3</v>
      </c>
      <c r="AM58" s="1169"/>
      <c r="AN58" s="767"/>
      <c r="AO58" s="764"/>
      <c r="AP58" s="771">
        <f>BS40*(1+AQ103)</f>
        <v>3.8454326227233722E-3</v>
      </c>
      <c r="AQ58" s="768">
        <f>AP58*H56</f>
        <v>4.5126299587377065E-2</v>
      </c>
      <c r="AR58" s="771"/>
      <c r="AS58" s="768"/>
      <c r="AT58" s="764"/>
      <c r="AU58" s="768"/>
      <c r="AW58" s="586" t="s">
        <v>42</v>
      </c>
      <c r="AX58" s="595">
        <v>69107.395872611189</v>
      </c>
      <c r="AY58" s="587">
        <v>0.7</v>
      </c>
      <c r="AZ58" s="595">
        <v>29617.455373976227</v>
      </c>
      <c r="BA58" s="588">
        <v>0.3</v>
      </c>
      <c r="BB58" s="25"/>
      <c r="BC58" s="25"/>
      <c r="BD58" s="25"/>
      <c r="BF58" s="831" t="s">
        <v>54</v>
      </c>
      <c r="BG58" s="832">
        <v>27081</v>
      </c>
      <c r="BH58" s="832">
        <v>2951365</v>
      </c>
      <c r="BI58" s="832">
        <v>140</v>
      </c>
      <c r="BJ58" s="833">
        <v>174012862</v>
      </c>
      <c r="BK58" s="831">
        <v>34638769</v>
      </c>
      <c r="BL58" s="832">
        <v>20069083</v>
      </c>
      <c r="BM58" s="832">
        <v>5351092</v>
      </c>
      <c r="BN58" s="832">
        <v>103542140</v>
      </c>
      <c r="BO58" s="832">
        <v>1485406</v>
      </c>
      <c r="BP58" s="832">
        <v>339099353</v>
      </c>
      <c r="BQ58" s="836">
        <f>DwellingStocks!P22</f>
        <v>49420.927051735707</v>
      </c>
      <c r="BR58" s="834">
        <f t="shared" ref="BR58:BR63" si="9">((BQ58/BG58)*$BH$18*(BJ58+BK58)*0.0000000036)/(BQ58/1000)</f>
        <v>1.9405772794162134E-2</v>
      </c>
      <c r="BS58" s="834">
        <f t="shared" si="8"/>
        <v>1.3961787437686939E-2</v>
      </c>
      <c r="BT58" s="834">
        <f t="shared" ref="BT58:BT63" si="10">((BQ58/BG58)*(BL58)*0.0000000036)/(BQ58/1000)</f>
        <v>2.6678741110003324E-3</v>
      </c>
      <c r="BU58" s="834">
        <f t="shared" ref="BU58:BU63" si="11">((BQ58/BG58)*(BM58)*0.0000000036)/(BQ58/1000)</f>
        <v>7.1134489863742103E-4</v>
      </c>
    </row>
    <row r="59" spans="3:73" ht="15.75" thickBot="1">
      <c r="C59" s="439"/>
      <c r="D59" s="438"/>
      <c r="E59" s="438"/>
      <c r="F59" s="388" t="s">
        <v>935</v>
      </c>
      <c r="G59" s="438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709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438"/>
      <c r="AK59" s="438"/>
      <c r="AL59" s="710">
        <f>AR59</f>
        <v>4.974085228881467E-4</v>
      </c>
      <c r="AM59" s="1169"/>
      <c r="AN59" s="767"/>
      <c r="AO59" s="764"/>
      <c r="AP59" s="771"/>
      <c r="AQ59" s="768"/>
      <c r="AR59" s="771">
        <f>BT40*(1+AS103)</f>
        <v>4.974085228881467E-4</v>
      </c>
      <c r="AS59" s="768">
        <f>AR59*H56</f>
        <v>5.8371081288816325E-3</v>
      </c>
      <c r="AT59" s="764"/>
      <c r="AU59" s="768"/>
      <c r="AW59" s="589" t="s">
        <v>44</v>
      </c>
      <c r="AX59" s="596">
        <v>41710.491459586934</v>
      </c>
      <c r="AY59" s="587">
        <f>AX59/SUM(AX59+AZ59)</f>
        <v>0.65</v>
      </c>
      <c r="AZ59" s="596">
        <v>22459.495401316039</v>
      </c>
      <c r="BA59" s="588">
        <f>AZ59/SUM(AX59+AZ59)</f>
        <v>0.35</v>
      </c>
      <c r="BB59" s="25"/>
      <c r="BC59" s="25"/>
      <c r="BD59" s="25"/>
      <c r="BF59" s="835" t="s">
        <v>56</v>
      </c>
      <c r="BG59" s="836">
        <v>161926</v>
      </c>
      <c r="BH59" s="836">
        <v>16330846</v>
      </c>
      <c r="BI59" s="836">
        <v>189</v>
      </c>
      <c r="BJ59" s="837">
        <v>1338047187</v>
      </c>
      <c r="BK59" s="835">
        <v>324841172</v>
      </c>
      <c r="BL59" s="836">
        <v>118805308</v>
      </c>
      <c r="BM59" s="836">
        <v>31787856</v>
      </c>
      <c r="BN59" s="836">
        <v>660359371</v>
      </c>
      <c r="BO59" s="836">
        <v>44948998</v>
      </c>
      <c r="BP59" s="836">
        <v>2518789892</v>
      </c>
      <c r="BQ59" s="836">
        <f>DwellingStocks!P23</f>
        <v>293672.95873330871</v>
      </c>
      <c r="BR59" s="838">
        <f t="shared" si="9"/>
        <v>2.586546919581369E-2</v>
      </c>
      <c r="BS59" s="838">
        <f t="shared" si="8"/>
        <v>1.568068209181972E-2</v>
      </c>
      <c r="BT59" s="838">
        <f t="shared" si="10"/>
        <v>2.6413244864938305E-3</v>
      </c>
      <c r="BU59" s="838">
        <f t="shared" si="11"/>
        <v>7.0671962254363109E-4</v>
      </c>
    </row>
    <row r="60" spans="3:73" ht="15.75" thickBot="1">
      <c r="C60" s="606"/>
      <c r="D60" s="606"/>
      <c r="E60" s="606"/>
      <c r="F60" s="607" t="s">
        <v>936</v>
      </c>
      <c r="G60" s="606"/>
      <c r="H60" s="608"/>
      <c r="I60" s="608"/>
      <c r="J60" s="608"/>
      <c r="K60" s="608"/>
      <c r="L60" s="608"/>
      <c r="M60" s="608"/>
      <c r="N60" s="608"/>
      <c r="O60" s="608"/>
      <c r="P60" s="608"/>
      <c r="Q60" s="608"/>
      <c r="R60" s="608"/>
      <c r="S60" s="608"/>
      <c r="T60" s="608"/>
      <c r="U60" s="608"/>
      <c r="V60" s="608"/>
      <c r="W60" s="608"/>
      <c r="X60" s="608"/>
      <c r="Y60" s="608"/>
      <c r="Z60" s="608"/>
      <c r="AA60" s="608"/>
      <c r="AB60" s="608"/>
      <c r="AC60" s="608"/>
      <c r="AD60" s="608"/>
      <c r="AE60" s="608"/>
      <c r="AF60" s="608"/>
      <c r="AG60" s="608"/>
      <c r="AH60" s="608"/>
      <c r="AI60" s="608"/>
      <c r="AJ60" s="606"/>
      <c r="AK60" s="606"/>
      <c r="AL60" s="715">
        <f>AT60</f>
        <v>5.4989074758546579E-4</v>
      </c>
      <c r="AM60" s="1169"/>
      <c r="AN60" s="789"/>
      <c r="AO60" s="769"/>
      <c r="AP60" s="790"/>
      <c r="AQ60" s="770"/>
      <c r="AR60" s="790"/>
      <c r="AS60" s="770"/>
      <c r="AT60" s="791">
        <f>BU40*(1+AU103)</f>
        <v>5.4989074758546579E-4</v>
      </c>
      <c r="AU60" s="770">
        <f>AT60*H56</f>
        <v>6.4529890523200954E-3</v>
      </c>
      <c r="AW60" s="592" t="s">
        <v>46</v>
      </c>
      <c r="AX60" s="597">
        <v>34182.00001626688</v>
      </c>
      <c r="AY60" s="587">
        <f>AX60/SUM(AX60+AZ60)</f>
        <v>0.70000000000000007</v>
      </c>
      <c r="AZ60" s="597">
        <v>14649.428578400091</v>
      </c>
      <c r="BA60" s="588">
        <f>AZ60/SUM(AX60+AZ60)</f>
        <v>0.3</v>
      </c>
      <c r="BB60" s="25"/>
      <c r="BC60" s="25"/>
      <c r="BD60" s="25"/>
      <c r="BF60" s="831" t="s">
        <v>58</v>
      </c>
      <c r="BG60" s="832">
        <v>95372</v>
      </c>
      <c r="BH60" s="832">
        <v>9015651</v>
      </c>
      <c r="BI60" s="832">
        <v>260</v>
      </c>
      <c r="BJ60" s="833">
        <v>1084292370</v>
      </c>
      <c r="BK60" s="831">
        <v>253316321</v>
      </c>
      <c r="BL60" s="832">
        <v>68300496</v>
      </c>
      <c r="BM60" s="832">
        <v>17462349</v>
      </c>
      <c r="BN60" s="832">
        <v>395641968</v>
      </c>
      <c r="BO60" s="832">
        <v>45229735</v>
      </c>
      <c r="BP60" s="832">
        <v>1864243238</v>
      </c>
      <c r="BQ60" s="836">
        <f>DwellingStocks!P24</f>
        <v>175920.34461876052</v>
      </c>
      <c r="BR60" s="834">
        <f t="shared" si="9"/>
        <v>3.5324989983386533E-2</v>
      </c>
      <c r="BS60" s="834">
        <f t="shared" si="8"/>
        <v>1.6641552350794783E-2</v>
      </c>
      <c r="BT60" s="834">
        <f t="shared" si="10"/>
        <v>2.5781338925470786E-3</v>
      </c>
      <c r="BU60" s="834">
        <f t="shared" si="11"/>
        <v>6.5915002726167008E-4</v>
      </c>
    </row>
    <row r="61" spans="3:73">
      <c r="C61" s="602" t="str">
        <f>AY16</f>
        <v>R-BLD_Apt_B1</v>
      </c>
      <c r="D61" s="603" t="str">
        <f>AZ16</f>
        <v>Residential Building Apartment _ B1</v>
      </c>
      <c r="E61" s="603">
        <v>2018</v>
      </c>
      <c r="F61" s="602" t="str">
        <f>COMM!O9</f>
        <v>RSDSH_Apt-AB</v>
      </c>
      <c r="G61" s="603" t="s">
        <v>933</v>
      </c>
      <c r="H61" s="605">
        <f>BG9/1000</f>
        <v>5.1976132443555905</v>
      </c>
      <c r="I61" s="605">
        <f>DwellingStocks!I35/1000</f>
        <v>9.3314973981268902E-3</v>
      </c>
      <c r="J61" s="605">
        <f>DwellingStocks!L35/1000</f>
        <v>3.8795577189656774</v>
      </c>
      <c r="K61" s="605">
        <f>DwellingStocks!O35/1000</f>
        <v>1.9211992602239075E-2</v>
      </c>
      <c r="L61" s="605">
        <f>DwellingStocks!R35/1000</f>
        <v>1.4912875269250541E-2</v>
      </c>
      <c r="M61" s="605">
        <f>DwellingStocks!U35/1000</f>
        <v>8.1776224057210217E-3</v>
      </c>
      <c r="N61" s="605">
        <f>DwellingStocks!X35/1000</f>
        <v>3.585329076164042E-3</v>
      </c>
      <c r="O61" s="605">
        <f>DwellingStocks!AA35/1000</f>
        <v>5.3278902698974957E-2</v>
      </c>
      <c r="P61" s="605">
        <f>DwellingStocks!AD35/1000</f>
        <v>7.8704653993169504E-2</v>
      </c>
      <c r="Q61" s="605">
        <f>DwellingStocks!AG35/1000</f>
        <v>0</v>
      </c>
      <c r="R61" s="605">
        <f>DwellingStocks!AJ35/1000</f>
        <v>3.8536474043666308E-2</v>
      </c>
      <c r="S61" s="605">
        <f>DwellingStocks!AM35/1000</f>
        <v>2.583097129527806E-2</v>
      </c>
      <c r="T61" s="605">
        <f>DwellingStocks!AP35/1000</f>
        <v>0.10936635397320441</v>
      </c>
      <c r="U61" s="605">
        <f>DwellingStocks!AS35/1000</f>
        <v>1.2858304335706622E-3</v>
      </c>
      <c r="V61" s="605">
        <f>DwellingStocks!AV35/1000</f>
        <v>0.66116165910752589</v>
      </c>
      <c r="W61" s="605">
        <f>DwellingStocks!AY35/1000</f>
        <v>4.2605646774192665E-2</v>
      </c>
      <c r="X61" s="605">
        <f>DwellingStocks!BB35/1000</f>
        <v>6.9194421278598928E-2</v>
      </c>
      <c r="Y61" s="605">
        <f>DwellingStocks!BE35/1000</f>
        <v>1.6854268626284391E-2</v>
      </c>
      <c r="Z61" s="605">
        <f>DwellingStocks!BH35/1000</f>
        <v>1.8706514038054258E-2</v>
      </c>
      <c r="AA61" s="605">
        <f>DwellingStocks!BK35/1000</f>
        <v>7.0812631399005024E-2</v>
      </c>
      <c r="AB61" s="605">
        <f>DwellingStocks!BN35/1000</f>
        <v>1.0207219784121402E-3</v>
      </c>
      <c r="AC61" s="605">
        <f>DwellingStocks!BQ35/1000</f>
        <v>1.1015909788802345E-2</v>
      </c>
      <c r="AD61" s="605">
        <f>DwellingStocks!BT35/1000</f>
        <v>1.15166974613897E-2</v>
      </c>
      <c r="AE61" s="605">
        <f>DwellingStocks!BW35/1000</f>
        <v>7.0228130422058666E-3</v>
      </c>
      <c r="AF61" s="605">
        <f>DwellingStocks!BZ35/1000</f>
        <v>2.8188199931811317E-3</v>
      </c>
      <c r="AG61" s="605">
        <f>DwellingStocks!CC35/1000</f>
        <v>3.7693637091293482E-2</v>
      </c>
      <c r="AH61" s="605">
        <f>DwellingStocks!CF35/1000</f>
        <v>5.4092816216012298E-3</v>
      </c>
      <c r="AI61" s="605">
        <v>1</v>
      </c>
      <c r="AJ61" s="603">
        <f>BP27</f>
        <v>10000000</v>
      </c>
      <c r="AK61" s="603">
        <v>1</v>
      </c>
      <c r="AL61" s="707">
        <f>AN61</f>
        <v>5.9456846284308947E-3</v>
      </c>
      <c r="AM61" s="1169"/>
      <c r="AN61" s="785">
        <f>ABS(BR41*DwellingStocks!W19*(1+$AO$103))</f>
        <v>5.9456846284308947E-3</v>
      </c>
      <c r="AO61" s="786">
        <f>AN61*H61</f>
        <v>3.0903369171493864E-2</v>
      </c>
      <c r="AP61" s="771"/>
      <c r="AQ61" s="768"/>
      <c r="AR61" s="764"/>
      <c r="AS61" s="768"/>
      <c r="AT61" s="792"/>
      <c r="AU61" s="768"/>
      <c r="AW61" s="25"/>
      <c r="AX61" s="25"/>
      <c r="AY61" s="25"/>
      <c r="AZ61" s="25"/>
      <c r="BA61" s="25"/>
      <c r="BB61" s="25"/>
      <c r="BC61" s="25"/>
      <c r="BD61" s="25"/>
      <c r="BF61" s="835" t="s">
        <v>60</v>
      </c>
      <c r="BG61" s="836">
        <v>46130</v>
      </c>
      <c r="BH61" s="836">
        <v>4172403</v>
      </c>
      <c r="BI61" s="836">
        <v>338</v>
      </c>
      <c r="BJ61" s="837">
        <v>710540728</v>
      </c>
      <c r="BK61" s="835">
        <v>151669826</v>
      </c>
      <c r="BL61" s="836">
        <v>32024144</v>
      </c>
      <c r="BM61" s="836">
        <v>7687230</v>
      </c>
      <c r="BN61" s="836">
        <v>197368280</v>
      </c>
      <c r="BO61" s="836">
        <v>25027741</v>
      </c>
      <c r="BP61" s="836">
        <v>1124317950</v>
      </c>
      <c r="BQ61" s="836">
        <f>DwellingStocks!P25</f>
        <v>85755.437936808186</v>
      </c>
      <c r="BR61" s="838">
        <f t="shared" si="9"/>
        <v>4.7076453250177577E-2</v>
      </c>
      <c r="BS61" s="838">
        <f t="shared" si="8"/>
        <v>1.7355856830695855E-2</v>
      </c>
      <c r="BT61" s="838">
        <f t="shared" si="10"/>
        <v>2.499174472143941E-3</v>
      </c>
      <c r="BU61" s="838">
        <f t="shared" si="11"/>
        <v>5.9991389551268157E-4</v>
      </c>
    </row>
    <row r="62" spans="3:73" ht="15">
      <c r="C62" s="439"/>
      <c r="D62" s="438"/>
      <c r="E62" s="438"/>
      <c r="F62" s="388" t="s">
        <v>1280</v>
      </c>
      <c r="G62" s="438"/>
      <c r="H62" s="709"/>
      <c r="I62" s="709"/>
      <c r="J62" s="709"/>
      <c r="K62" s="709"/>
      <c r="L62" s="709"/>
      <c r="M62" s="709"/>
      <c r="N62" s="709"/>
      <c r="O62" s="709"/>
      <c r="P62" s="709"/>
      <c r="Q62" s="709"/>
      <c r="R62" s="709"/>
      <c r="S62" s="709"/>
      <c r="T62" s="709"/>
      <c r="U62" s="709"/>
      <c r="V62" s="709"/>
      <c r="W62" s="709"/>
      <c r="X62" s="709"/>
      <c r="Y62" s="709"/>
      <c r="Z62" s="709"/>
      <c r="AA62" s="709"/>
      <c r="AB62" s="709"/>
      <c r="AC62" s="709"/>
      <c r="AD62" s="709"/>
      <c r="AE62" s="709"/>
      <c r="AF62" s="709"/>
      <c r="AG62" s="709"/>
      <c r="AH62" s="709"/>
      <c r="AI62" s="709"/>
      <c r="AJ62" s="438"/>
      <c r="AK62" s="438"/>
      <c r="AL62" s="710"/>
      <c r="AM62" s="1169"/>
      <c r="AN62" s="767"/>
      <c r="AO62" s="764"/>
      <c r="AP62" s="771"/>
      <c r="AQ62" s="768"/>
      <c r="AR62" s="764"/>
      <c r="AS62" s="768"/>
      <c r="AT62" s="792"/>
      <c r="AU62" s="768"/>
      <c r="BB62" s="25"/>
      <c r="BC62" s="25"/>
      <c r="BD62" s="25"/>
      <c r="BF62" s="831" t="s">
        <v>62</v>
      </c>
      <c r="BG62" s="832">
        <v>20720</v>
      </c>
      <c r="BH62" s="832">
        <v>1831493</v>
      </c>
      <c r="BI62" s="832">
        <v>413</v>
      </c>
      <c r="BJ62" s="833">
        <v>402775920</v>
      </c>
      <c r="BK62" s="831">
        <v>83851393</v>
      </c>
      <c r="BL62" s="832">
        <v>14391500</v>
      </c>
      <c r="BM62" s="832">
        <v>3408225</v>
      </c>
      <c r="BN62" s="832">
        <v>91534744</v>
      </c>
      <c r="BO62" s="832">
        <v>12170223</v>
      </c>
      <c r="BP62" s="832">
        <v>608132005</v>
      </c>
      <c r="BQ62" s="836">
        <f>DwellingStocks!P26</f>
        <v>38588.997221862926</v>
      </c>
      <c r="BR62" s="834">
        <f t="shared" si="9"/>
        <v>5.915351898689046E-2</v>
      </c>
      <c r="BS62" s="834">
        <f t="shared" si="8"/>
        <v>1.8018237509652511E-2</v>
      </c>
      <c r="BT62" s="834">
        <f t="shared" si="10"/>
        <v>2.5004536679536682E-3</v>
      </c>
      <c r="BU62" s="834">
        <f t="shared" si="11"/>
        <v>5.9216264478764485E-4</v>
      </c>
    </row>
    <row r="63" spans="3:73" ht="12.75" customHeight="1">
      <c r="C63" s="290"/>
      <c r="D63" s="290"/>
      <c r="E63" s="290"/>
      <c r="F63" s="372" t="s">
        <v>934</v>
      </c>
      <c r="G63" s="290"/>
      <c r="H63" s="713"/>
      <c r="I63" s="713"/>
      <c r="J63" s="713"/>
      <c r="K63" s="713"/>
      <c r="L63" s="713"/>
      <c r="M63" s="713"/>
      <c r="N63" s="713"/>
      <c r="O63" s="713"/>
      <c r="P63" s="713"/>
      <c r="Q63" s="713"/>
      <c r="R63" s="713"/>
      <c r="S63" s="713"/>
      <c r="T63" s="713"/>
      <c r="U63" s="713"/>
      <c r="V63" s="713"/>
      <c r="W63" s="713"/>
      <c r="X63" s="713"/>
      <c r="Y63" s="713"/>
      <c r="Z63" s="713"/>
      <c r="AA63" s="713"/>
      <c r="AB63" s="713"/>
      <c r="AC63" s="713"/>
      <c r="AD63" s="713"/>
      <c r="AE63" s="713"/>
      <c r="AF63" s="713"/>
      <c r="AG63" s="713"/>
      <c r="AH63" s="713"/>
      <c r="AI63" s="713"/>
      <c r="AJ63" s="290"/>
      <c r="AK63" s="290"/>
      <c r="AL63" s="714">
        <f>AP63</f>
        <v>9.3109655226281916E-3</v>
      </c>
      <c r="AM63" s="1169"/>
      <c r="AN63" s="767"/>
      <c r="AO63" s="764"/>
      <c r="AP63" s="771">
        <f>BS41*(1+AQ103)</f>
        <v>9.3109655226281916E-3</v>
      </c>
      <c r="AQ63" s="768">
        <f>AP63*H61</f>
        <v>4.8394797718150563E-2</v>
      </c>
      <c r="AR63" s="764"/>
      <c r="AS63" s="768"/>
      <c r="AT63" s="792"/>
      <c r="AU63" s="768"/>
      <c r="BB63" s="25"/>
      <c r="BC63" s="25"/>
      <c r="BD63" s="25"/>
      <c r="BF63" s="835" t="s">
        <v>64</v>
      </c>
      <c r="BG63" s="836">
        <v>21208</v>
      </c>
      <c r="BH63" s="836">
        <v>1754836</v>
      </c>
      <c r="BI63" s="836">
        <v>604</v>
      </c>
      <c r="BJ63" s="837">
        <v>548461962</v>
      </c>
      <c r="BK63" s="835">
        <v>105828500</v>
      </c>
      <c r="BL63" s="836">
        <v>14258858</v>
      </c>
      <c r="BM63" s="836">
        <v>2481394</v>
      </c>
      <c r="BN63" s="836">
        <v>86745130</v>
      </c>
      <c r="BO63" s="836">
        <v>9686191</v>
      </c>
      <c r="BP63" s="836">
        <v>767462035</v>
      </c>
      <c r="BQ63" s="836">
        <f>DwellingStocks!P27</f>
        <v>38905.107366988203</v>
      </c>
      <c r="BR63" s="838">
        <f t="shared" si="9"/>
        <v>7.7704242347111832E-2</v>
      </c>
      <c r="BS63" s="838">
        <f t="shared" si="8"/>
        <v>1.636895301772916E-2</v>
      </c>
      <c r="BT63" s="838">
        <f t="shared" si="10"/>
        <v>2.4204021501320252E-3</v>
      </c>
      <c r="BU63" s="838">
        <f t="shared" si="11"/>
        <v>4.2120984534138058E-4</v>
      </c>
    </row>
    <row r="64" spans="3:73" ht="12.75" customHeight="1">
      <c r="C64" s="439"/>
      <c r="D64" s="438"/>
      <c r="E64" s="438"/>
      <c r="F64" s="711" t="s">
        <v>935</v>
      </c>
      <c r="G64" s="438"/>
      <c r="H64" s="709"/>
      <c r="I64" s="709"/>
      <c r="J64" s="709"/>
      <c r="K64" s="709"/>
      <c r="L64" s="709"/>
      <c r="M64" s="709"/>
      <c r="N64" s="709"/>
      <c r="O64" s="709"/>
      <c r="P64" s="709"/>
      <c r="Q64" s="709"/>
      <c r="R64" s="709"/>
      <c r="S64" s="709"/>
      <c r="T64" s="709"/>
      <c r="U64" s="709"/>
      <c r="V64" s="709"/>
      <c r="W64" s="709"/>
      <c r="X64" s="709"/>
      <c r="Y64" s="709"/>
      <c r="Z64" s="709"/>
      <c r="AA64" s="709"/>
      <c r="AB64" s="709"/>
      <c r="AC64" s="709"/>
      <c r="AD64" s="709"/>
      <c r="AE64" s="709"/>
      <c r="AF64" s="709"/>
      <c r="AG64" s="709"/>
      <c r="AH64" s="709"/>
      <c r="AI64" s="709"/>
      <c r="AJ64" s="438"/>
      <c r="AK64" s="438"/>
      <c r="AL64" s="710">
        <f>AR64</f>
        <v>6.7182236392411999E-4</v>
      </c>
      <c r="AM64" s="1169"/>
      <c r="AN64" s="767"/>
      <c r="AO64" s="764"/>
      <c r="AP64" s="771"/>
      <c r="AQ64" s="768"/>
      <c r="AR64" s="764">
        <f>BT41*(1+AS103)</f>
        <v>6.7182236392411999E-4</v>
      </c>
      <c r="AS64" s="768">
        <f>AR64*H61</f>
        <v>3.4918728165862873E-3</v>
      </c>
      <c r="AT64" s="792"/>
      <c r="AU64" s="768"/>
      <c r="BB64" s="25"/>
      <c r="BC64" s="25"/>
      <c r="BD64" s="25"/>
      <c r="BQ64" s="58" t="s">
        <v>1066</v>
      </c>
      <c r="BR64" s="843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06"/>
      <c r="D65" s="606"/>
      <c r="E65" s="606"/>
      <c r="F65" s="716" t="s">
        <v>936</v>
      </c>
      <c r="G65" s="606"/>
      <c r="H65" s="608"/>
      <c r="I65" s="608"/>
      <c r="J65" s="608"/>
      <c r="K65" s="608"/>
      <c r="L65" s="608"/>
      <c r="M65" s="608"/>
      <c r="N65" s="608"/>
      <c r="O65" s="608"/>
      <c r="P65" s="608"/>
      <c r="Q65" s="608"/>
      <c r="R65" s="608"/>
      <c r="S65" s="608"/>
      <c r="T65" s="608"/>
      <c r="U65" s="608"/>
      <c r="V65" s="608"/>
      <c r="W65" s="608"/>
      <c r="X65" s="608"/>
      <c r="Y65" s="608"/>
      <c r="Z65" s="608"/>
      <c r="AA65" s="608"/>
      <c r="AB65" s="608"/>
      <c r="AC65" s="608"/>
      <c r="AD65" s="608"/>
      <c r="AE65" s="608"/>
      <c r="AF65" s="608"/>
      <c r="AG65" s="608"/>
      <c r="AH65" s="608"/>
      <c r="AI65" s="608"/>
      <c r="AJ65" s="606"/>
      <c r="AK65" s="606"/>
      <c r="AL65" s="715">
        <f>AT65</f>
        <v>3.7110246330279142E-4</v>
      </c>
      <c r="AM65" s="1169"/>
      <c r="AN65" s="767"/>
      <c r="AO65" s="764"/>
      <c r="AP65" s="771"/>
      <c r="AQ65" s="768"/>
      <c r="AR65" s="764"/>
      <c r="AS65" s="768"/>
      <c r="AT65" s="792">
        <f>BU41*(1+AU103)</f>
        <v>3.7110246330279142E-4</v>
      </c>
      <c r="AU65" s="768">
        <f>AT65*H61</f>
        <v>1.9288470782755731E-3</v>
      </c>
      <c r="BB65" s="25"/>
      <c r="BC65" s="25"/>
      <c r="BD65" s="25"/>
    </row>
    <row r="66" spans="3:73" ht="13.5" customHeight="1" thickBot="1">
      <c r="C66" s="602" t="str">
        <f>AY17</f>
        <v>R-BLD_Apt_B2</v>
      </c>
      <c r="D66" s="603" t="str">
        <f>AZ17</f>
        <v>Residential Building Apartment _ B2</v>
      </c>
      <c r="E66" s="603">
        <v>2018</v>
      </c>
      <c r="F66" s="602" t="str">
        <f>COMM!O9</f>
        <v>RSDSH_Apt-AB</v>
      </c>
      <c r="G66" s="603" t="s">
        <v>933</v>
      </c>
      <c r="H66" s="605">
        <f>BG10/1000</f>
        <v>13.979419134898935</v>
      </c>
      <c r="I66" s="605">
        <f>DwellingStocks!I36/1000</f>
        <v>1.066456845500216E-2</v>
      </c>
      <c r="J66" s="605">
        <f>DwellingStocks!L36/1000</f>
        <v>9.7924474391647536</v>
      </c>
      <c r="K66" s="605">
        <f>DwellingStocks!O36/1000</f>
        <v>0.23578354557293413</v>
      </c>
      <c r="L66" s="605">
        <f>DwellingStocks!R36/1000</f>
        <v>6.9593417923169199E-2</v>
      </c>
      <c r="M66" s="605">
        <f>DwellingStocks!U36/1000</f>
        <v>0.11285118919895011</v>
      </c>
      <c r="N66" s="605">
        <f>DwellingStocks!X36/1000</f>
        <v>7.1706581523280841E-3</v>
      </c>
      <c r="O66" s="605">
        <f>DwellingStocks!AA36/1000</f>
        <v>0.21858011363682037</v>
      </c>
      <c r="P66" s="605">
        <f>DwellingStocks!AD36/1000</f>
        <v>0.36903737761241701</v>
      </c>
      <c r="Q66" s="605">
        <f>DwellingStocks!AG36/1000</f>
        <v>2.0501788054471191E-2</v>
      </c>
      <c r="R66" s="605">
        <f>DwellingStocks!AJ36/1000</f>
        <v>0.16743433550006739</v>
      </c>
      <c r="S66" s="605">
        <f>DwellingStocks!AM36/1000</f>
        <v>5.043189633840002E-2</v>
      </c>
      <c r="T66" s="605">
        <f>DwellingStocks!AP36/1000</f>
        <v>0.28546472054022848</v>
      </c>
      <c r="U66" s="605">
        <f>DwellingStocks!AS36/1000</f>
        <v>4.3718234741402517E-2</v>
      </c>
      <c r="V66" s="605">
        <f>DwellingStocks!AV36/1000</f>
        <v>1.6642476076064439</v>
      </c>
      <c r="W66" s="605">
        <f>DwellingStocks!AY36/1000</f>
        <v>6.0149148387095529E-2</v>
      </c>
      <c r="X66" s="605">
        <f>DwellingStocks!BB36/1000</f>
        <v>0.21009942460956402</v>
      </c>
      <c r="Y66" s="605">
        <f>DwellingStocks!BE36/1000</f>
        <v>1.872696514031599E-2</v>
      </c>
      <c r="Z66" s="605">
        <f>DwellingStocks!BH36/1000</f>
        <v>4.4427970840378861E-2</v>
      </c>
      <c r="AA66" s="605">
        <f>DwellingStocks!BK36/1000</f>
        <v>0.27491962778437246</v>
      </c>
      <c r="AB66" s="605">
        <f>DwellingStocks!BN36/1000</f>
        <v>8.1657758272971216E-3</v>
      </c>
      <c r="AC66" s="605">
        <f>DwellingStocks!BQ36/1000</f>
        <v>4.9571594049610555E-2</v>
      </c>
      <c r="AD66" s="605">
        <f>DwellingStocks!BT36/1000</f>
        <v>1.15166974613897E-2</v>
      </c>
      <c r="AE66" s="605">
        <f>DwellingStocks!BW36/1000</f>
        <v>3.8625471732132266E-2</v>
      </c>
      <c r="AF66" s="605">
        <f>DwellingStocks!BZ36/1000</f>
        <v>4.2282299897716973E-2</v>
      </c>
      <c r="AG66" s="605">
        <f>DwellingStocks!CC36/1000</f>
        <v>0.12792991982499607</v>
      </c>
      <c r="AH66" s="605">
        <f>DwellingStocks!CF36/1000</f>
        <v>4.507734684667692E-2</v>
      </c>
      <c r="AI66" s="605">
        <v>1</v>
      </c>
      <c r="AJ66" s="603">
        <f>BP28</f>
        <v>10000000</v>
      </c>
      <c r="AK66" s="603">
        <v>1</v>
      </c>
      <c r="AL66" s="707">
        <f>AN66</f>
        <v>1.0600582795091774E-2</v>
      </c>
      <c r="AM66" s="1169"/>
      <c r="AN66" s="785">
        <f>ABS(BR42*DwellingStocks!W20*(1+$AO$103))</f>
        <v>1.0600582795091774E-2</v>
      </c>
      <c r="AO66" s="786">
        <f>AN66*H66</f>
        <v>0.1481899899667864</v>
      </c>
      <c r="AP66" s="787"/>
      <c r="AQ66" s="788"/>
      <c r="AR66" s="786"/>
      <c r="AS66" s="788"/>
      <c r="AT66" s="793"/>
      <c r="AU66" s="788"/>
      <c r="BB66" s="25"/>
      <c r="BC66" s="25"/>
      <c r="BD66" s="25"/>
    </row>
    <row r="67" spans="3:73" ht="21.75" customHeight="1" thickBot="1">
      <c r="C67" s="439"/>
      <c r="D67" s="438"/>
      <c r="E67" s="438"/>
      <c r="F67" s="388" t="s">
        <v>1280</v>
      </c>
      <c r="G67" s="438"/>
      <c r="H67" s="709"/>
      <c r="I67" s="709"/>
      <c r="J67" s="709"/>
      <c r="K67" s="709"/>
      <c r="L67" s="709"/>
      <c r="M67" s="709"/>
      <c r="N67" s="709"/>
      <c r="O67" s="709"/>
      <c r="P67" s="709"/>
      <c r="Q67" s="709"/>
      <c r="R67" s="709"/>
      <c r="S67" s="709"/>
      <c r="T67" s="709"/>
      <c r="U67" s="709"/>
      <c r="V67" s="709"/>
      <c r="W67" s="709"/>
      <c r="X67" s="709"/>
      <c r="Y67" s="709"/>
      <c r="Z67" s="709"/>
      <c r="AA67" s="709"/>
      <c r="AB67" s="709"/>
      <c r="AC67" s="709"/>
      <c r="AD67" s="709"/>
      <c r="AE67" s="709"/>
      <c r="AF67" s="709"/>
      <c r="AG67" s="709"/>
      <c r="AH67" s="709"/>
      <c r="AI67" s="709"/>
      <c r="AJ67" s="438"/>
      <c r="AK67" s="438"/>
      <c r="AL67" s="710"/>
      <c r="AM67" s="1169"/>
      <c r="AN67" s="767"/>
      <c r="AO67" s="764"/>
      <c r="AP67" s="771"/>
      <c r="AQ67" s="768"/>
      <c r="AR67" s="764"/>
      <c r="AS67" s="768"/>
      <c r="AT67" s="792"/>
      <c r="AU67" s="768"/>
      <c r="BB67" s="25"/>
      <c r="BC67" s="25"/>
      <c r="BD67" s="25"/>
      <c r="BF67" s="1285" t="s">
        <v>46</v>
      </c>
      <c r="BG67" s="1286" t="s">
        <v>46</v>
      </c>
      <c r="BH67" s="1286" t="s">
        <v>46</v>
      </c>
      <c r="BI67" s="1286" t="s">
        <v>46</v>
      </c>
      <c r="BJ67" s="1286" t="s">
        <v>46</v>
      </c>
      <c r="BK67" s="1286" t="s">
        <v>46</v>
      </c>
      <c r="BL67" s="1286" t="s">
        <v>46</v>
      </c>
      <c r="BM67" s="1286" t="s">
        <v>46</v>
      </c>
      <c r="BN67" s="1286" t="s">
        <v>46</v>
      </c>
      <c r="BO67" s="1286" t="s">
        <v>46</v>
      </c>
      <c r="BP67" s="1286" t="s">
        <v>46</v>
      </c>
      <c r="BQ67" s="1286"/>
      <c r="BR67" s="1288" t="s">
        <v>879</v>
      </c>
      <c r="BS67" s="1289"/>
      <c r="BT67" s="1289"/>
      <c r="BU67" s="1289"/>
    </row>
    <row r="68" spans="3:73" ht="15" customHeight="1">
      <c r="C68" s="290"/>
      <c r="D68" s="290"/>
      <c r="E68" s="290"/>
      <c r="F68" s="372" t="s">
        <v>934</v>
      </c>
      <c r="G68" s="290"/>
      <c r="H68" s="713"/>
      <c r="I68" s="713"/>
      <c r="J68" s="713"/>
      <c r="K68" s="713"/>
      <c r="L68" s="713"/>
      <c r="M68" s="713"/>
      <c r="N68" s="713"/>
      <c r="O68" s="713"/>
      <c r="P68" s="713"/>
      <c r="Q68" s="713"/>
      <c r="R68" s="713"/>
      <c r="S68" s="713"/>
      <c r="T68" s="713"/>
      <c r="U68" s="713"/>
      <c r="V68" s="713"/>
      <c r="W68" s="713"/>
      <c r="X68" s="713"/>
      <c r="Y68" s="713"/>
      <c r="Z68" s="713"/>
      <c r="AA68" s="713"/>
      <c r="AB68" s="713"/>
      <c r="AC68" s="713"/>
      <c r="AD68" s="713"/>
      <c r="AE68" s="713"/>
      <c r="AF68" s="713"/>
      <c r="AG68" s="713"/>
      <c r="AH68" s="713"/>
      <c r="AI68" s="713"/>
      <c r="AJ68" s="290"/>
      <c r="AK68" s="290"/>
      <c r="AL68" s="714">
        <f>AP68</f>
        <v>1.1782620988580432E-2</v>
      </c>
      <c r="AM68" s="1169"/>
      <c r="AN68" s="767"/>
      <c r="AO68" s="764"/>
      <c r="AP68" s="771">
        <f>BS42*(1+AQ103)</f>
        <v>1.1782620988580432E-2</v>
      </c>
      <c r="AQ68" s="768">
        <f>AP68*H66</f>
        <v>0.16471419730702308</v>
      </c>
      <c r="AR68" s="764"/>
      <c r="AS68" s="768"/>
      <c r="AT68" s="792"/>
      <c r="AU68" s="768"/>
      <c r="BB68" s="25"/>
      <c r="BC68" s="25"/>
      <c r="BD68" s="25"/>
      <c r="BF68" s="839" t="s">
        <v>284</v>
      </c>
      <c r="BG68" s="840" t="s">
        <v>393</v>
      </c>
      <c r="BH68" s="840" t="s">
        <v>394</v>
      </c>
      <c r="BI68" s="841" t="s">
        <v>874</v>
      </c>
      <c r="BJ68" s="839" t="s">
        <v>875</v>
      </c>
      <c r="BK68" s="839" t="s">
        <v>876</v>
      </c>
      <c r="BL68" s="840" t="s">
        <v>411</v>
      </c>
      <c r="BM68" s="840" t="s">
        <v>873</v>
      </c>
      <c r="BN68" s="841" t="s">
        <v>877</v>
      </c>
      <c r="BO68" s="839" t="s">
        <v>878</v>
      </c>
      <c r="BP68" s="840" t="s">
        <v>216</v>
      </c>
      <c r="BQ68" s="842"/>
      <c r="BR68" s="844" t="s">
        <v>217</v>
      </c>
      <c r="BS68" s="844" t="s">
        <v>872</v>
      </c>
      <c r="BT68" s="844" t="s">
        <v>219</v>
      </c>
      <c r="BU68" s="844" t="s">
        <v>873</v>
      </c>
    </row>
    <row r="69" spans="3:73" ht="12.75" customHeight="1">
      <c r="C69" s="439"/>
      <c r="D69" s="438"/>
      <c r="E69" s="438"/>
      <c r="F69" s="711" t="s">
        <v>935</v>
      </c>
      <c r="G69" s="438"/>
      <c r="H69" s="709"/>
      <c r="I69" s="709"/>
      <c r="J69" s="709"/>
      <c r="K69" s="709"/>
      <c r="L69" s="709"/>
      <c r="M69" s="709"/>
      <c r="N69" s="709"/>
      <c r="O69" s="709"/>
      <c r="P69" s="709"/>
      <c r="Q69" s="709"/>
      <c r="R69" s="709"/>
      <c r="S69" s="709"/>
      <c r="T69" s="709"/>
      <c r="U69" s="709"/>
      <c r="V69" s="709"/>
      <c r="W69" s="709"/>
      <c r="X69" s="709"/>
      <c r="Y69" s="709"/>
      <c r="Z69" s="709"/>
      <c r="AA69" s="709"/>
      <c r="AB69" s="709"/>
      <c r="AC69" s="709"/>
      <c r="AD69" s="709"/>
      <c r="AE69" s="709"/>
      <c r="AF69" s="709"/>
      <c r="AG69" s="709"/>
      <c r="AH69" s="709"/>
      <c r="AI69" s="709"/>
      <c r="AJ69" s="438"/>
      <c r="AK69" s="438"/>
      <c r="AL69" s="710">
        <f>AR69</f>
        <v>7.4416861940029063E-4</v>
      </c>
      <c r="AM69" s="1169"/>
      <c r="AN69" s="767"/>
      <c r="AO69" s="764"/>
      <c r="AP69" s="771"/>
      <c r="AQ69" s="768"/>
      <c r="AR69" s="764">
        <f>BT42*(1+AS103)</f>
        <v>7.4416861940029063E-4</v>
      </c>
      <c r="AS69" s="768">
        <f>AR69*H66</f>
        <v>1.0403045037635745E-2</v>
      </c>
      <c r="AT69" s="792"/>
      <c r="AU69" s="768"/>
      <c r="BB69" s="25"/>
      <c r="BC69" s="25"/>
      <c r="BD69" s="25"/>
      <c r="BF69" s="835" t="s">
        <v>48</v>
      </c>
      <c r="BG69" s="836">
        <v>9878</v>
      </c>
      <c r="BH69" s="836">
        <v>1991423</v>
      </c>
      <c r="BI69" s="836">
        <v>56</v>
      </c>
      <c r="BJ69" s="837">
        <v>13716437</v>
      </c>
      <c r="BK69" s="835">
        <v>3262341</v>
      </c>
      <c r="BL69" s="836">
        <v>9675611</v>
      </c>
      <c r="BM69" s="836">
        <v>5049453</v>
      </c>
      <c r="BN69" s="836">
        <v>24601800</v>
      </c>
      <c r="BO69" s="836">
        <v>27044</v>
      </c>
      <c r="BP69" s="836">
        <v>56332686</v>
      </c>
      <c r="BQ69" s="836">
        <f>DwellingStocks!Q19</f>
        <v>37364.451209178158</v>
      </c>
      <c r="BR69" s="838">
        <f>((BQ69/BG69)*$BI$18*(BJ69+BK69)*0.0000000036)/(BQ69/1000)</f>
        <v>4.4121765529699531E-3</v>
      </c>
      <c r="BS69" s="838">
        <f>((BQ69/BG69)*(BN69+BO69)*0.0000000036)/(BQ69/1000)</f>
        <v>8.9758896942700953E-3</v>
      </c>
      <c r="BT69" s="838">
        <f>((BQ69/BG69)*(BL69)*0.0000000036)/(BQ69/1000)</f>
        <v>3.5262400890868602E-3</v>
      </c>
      <c r="BU69" s="838">
        <f>((BQ69/BG69)*(BM69)*0.0000000036)/(BQ69/1000)</f>
        <v>1.8402541810083012E-3</v>
      </c>
    </row>
    <row r="70" spans="3:73" ht="13.5" customHeight="1" thickBot="1">
      <c r="C70" s="606"/>
      <c r="D70" s="606"/>
      <c r="E70" s="606"/>
      <c r="F70" s="716" t="s">
        <v>936</v>
      </c>
      <c r="G70" s="606"/>
      <c r="H70" s="608"/>
      <c r="I70" s="608"/>
      <c r="J70" s="608"/>
      <c r="K70" s="608"/>
      <c r="L70" s="608"/>
      <c r="M70" s="608"/>
      <c r="N70" s="608"/>
      <c r="O70" s="608"/>
      <c r="P70" s="608"/>
      <c r="Q70" s="608"/>
      <c r="R70" s="608"/>
      <c r="S70" s="608"/>
      <c r="T70" s="608"/>
      <c r="U70" s="608"/>
      <c r="V70" s="608"/>
      <c r="W70" s="608"/>
      <c r="X70" s="608"/>
      <c r="Y70" s="608"/>
      <c r="Z70" s="608"/>
      <c r="AA70" s="608"/>
      <c r="AB70" s="608"/>
      <c r="AC70" s="608"/>
      <c r="AD70" s="608"/>
      <c r="AE70" s="608"/>
      <c r="AF70" s="608"/>
      <c r="AG70" s="608"/>
      <c r="AH70" s="608"/>
      <c r="AI70" s="608"/>
      <c r="AJ70" s="606"/>
      <c r="AK70" s="606"/>
      <c r="AL70" s="715">
        <f>AT70</f>
        <v>3.4196449508065778E-4</v>
      </c>
      <c r="AM70" s="1169"/>
      <c r="AN70" s="789"/>
      <c r="AO70" s="769"/>
      <c r="AP70" s="790"/>
      <c r="AQ70" s="770"/>
      <c r="AR70" s="769"/>
      <c r="AS70" s="770"/>
      <c r="AT70" s="791">
        <f>BU42*(1+AU103)</f>
        <v>3.4196449508065778E-4</v>
      </c>
      <c r="AU70" s="770">
        <f>AT70*H66</f>
        <v>4.7804650059866003E-3</v>
      </c>
      <c r="BB70" s="25"/>
      <c r="BC70" s="25"/>
      <c r="BD70" s="25"/>
      <c r="BF70" s="831" t="s">
        <v>50</v>
      </c>
      <c r="BG70" s="832">
        <v>3037</v>
      </c>
      <c r="BH70" s="832">
        <v>692326</v>
      </c>
      <c r="BI70" s="832">
        <v>90</v>
      </c>
      <c r="BJ70" s="833">
        <v>22749646</v>
      </c>
      <c r="BK70" s="831">
        <v>5977566</v>
      </c>
      <c r="BL70" s="832">
        <v>3970604</v>
      </c>
      <c r="BM70" s="832">
        <v>1113600</v>
      </c>
      <c r="BN70" s="832">
        <v>10038678</v>
      </c>
      <c r="BO70" s="832">
        <v>61317</v>
      </c>
      <c r="BP70" s="832">
        <v>43911412</v>
      </c>
      <c r="BQ70" s="836">
        <f>DwellingStocks!Q20</f>
        <v>8186.7925913057998</v>
      </c>
      <c r="BR70" s="834">
        <f t="shared" ref="BR70:BR77" si="12">((BQ70/BG70)*$BI$18*(BJ70+BK70)*0.0000000036)/(BQ70/1000)</f>
        <v>2.4280865417312329E-2</v>
      </c>
      <c r="BS70" s="834">
        <f t="shared" ref="BS70:BS77" si="13">((BQ70/BG70)*(BN70+BO70)*0.0000000036)/(BQ70/1000)</f>
        <v>1.1972335199209747E-2</v>
      </c>
      <c r="BT70" s="834">
        <f t="shared" ref="BT70:BT77" si="14">((BQ70/BG70)*(BL70)*0.0000000036)/(BQ70/1000)</f>
        <v>4.7066757984853477E-3</v>
      </c>
      <c r="BU70" s="834">
        <f t="shared" ref="BU70:BU77" si="15">((BQ70/BG70)*(BM70)*0.0000000036)/(BQ70/1000)</f>
        <v>1.3200395126769838E-3</v>
      </c>
    </row>
    <row r="71" spans="3:73" ht="12.75" customHeight="1">
      <c r="C71" s="602" t="str">
        <f>AY18</f>
        <v>R-BLD_Apt_B3</v>
      </c>
      <c r="D71" s="603" t="str">
        <f>AZ18</f>
        <v>Residential Building Apartment _ B3</v>
      </c>
      <c r="E71" s="603">
        <v>2018</v>
      </c>
      <c r="F71" s="602" t="str">
        <f>COMM!O9</f>
        <v>RSDSH_Apt-AB</v>
      </c>
      <c r="G71" s="603" t="s">
        <v>933</v>
      </c>
      <c r="H71" s="605">
        <f>BG11/1000</f>
        <v>21.709861534875809</v>
      </c>
      <c r="I71" s="605">
        <f>DwellingStocks!I37/1000</f>
        <v>7.4651979185015122E-2</v>
      </c>
      <c r="J71" s="605">
        <f>DwellingStocks!L37/1000</f>
        <v>14.102515190964864</v>
      </c>
      <c r="K71" s="605">
        <f>DwellingStocks!O37/1000</f>
        <v>0.66194047238623732</v>
      </c>
      <c r="L71" s="605">
        <f>DwellingStocks!R37/1000</f>
        <v>0.15907066953867244</v>
      </c>
      <c r="M71" s="605">
        <f>DwellingStocks!U37/1000</f>
        <v>0.15373930122755522</v>
      </c>
      <c r="N71" s="605">
        <f>DwellingStocks!X37/1000</f>
        <v>1.4341316304656168E-2</v>
      </c>
      <c r="O71" s="605">
        <f>DwellingStocks!AA37/1000</f>
        <v>0.36612169034167408</v>
      </c>
      <c r="P71" s="605">
        <f>DwellingStocks!AD37/1000</f>
        <v>0.64712715505494922</v>
      </c>
      <c r="Q71" s="605">
        <f>DwellingStocks!AG37/1000</f>
        <v>6.4659485402562999E-2</v>
      </c>
      <c r="R71" s="605">
        <f>DwellingStocks!AJ37/1000</f>
        <v>0.23786306392469894</v>
      </c>
      <c r="S71" s="605">
        <f>DwellingStocks!AM37/1000</f>
        <v>0.1365351339893269</v>
      </c>
      <c r="T71" s="605">
        <f>DwellingStocks!AP37/1000</f>
        <v>0.5394171018000421</v>
      </c>
      <c r="U71" s="605">
        <f>DwellingStocks!AS37/1000</f>
        <v>0.18001626069989271</v>
      </c>
      <c r="V71" s="605">
        <f>DwellingStocks!AV37/1000</f>
        <v>2.3902290372147075</v>
      </c>
      <c r="W71" s="605">
        <f>DwellingStocks!AY37/1000</f>
        <v>0.16791637258064168</v>
      </c>
      <c r="X71" s="605">
        <f>DwellingStocks!BB37/1000</f>
        <v>0.48184478817642523</v>
      </c>
      <c r="Y71" s="605">
        <f>DwellingStocks!BE37/1000</f>
        <v>7.3035164047232357E-2</v>
      </c>
      <c r="Z71" s="605">
        <f>DwellingStocks!BH37/1000</f>
        <v>0.14029885528540695</v>
      </c>
      <c r="AA71" s="605">
        <f>DwellingStocks!BK37/1000</f>
        <v>0.57483194900368784</v>
      </c>
      <c r="AB71" s="605">
        <f>DwellingStocks!BN37/1000</f>
        <v>1.3269385719357823E-2</v>
      </c>
      <c r="AC71" s="605">
        <f>DwellingStocks!BQ37/1000</f>
        <v>9.2258244481219637E-2</v>
      </c>
      <c r="AD71" s="605">
        <f>DwellingStocks!BT37/1000</f>
        <v>2.30333949227794E-2</v>
      </c>
      <c r="AE71" s="605">
        <f>DwellingStocks!BW37/1000</f>
        <v>0.10183078911198506</v>
      </c>
      <c r="AF71" s="605">
        <f>DwellingStocks!BZ37/1000</f>
        <v>8.879282978520564E-2</v>
      </c>
      <c r="AG71" s="605">
        <f>DwellingStocks!CC37/1000</f>
        <v>0.15420124264620061</v>
      </c>
      <c r="AH71" s="605">
        <f>DwellingStocks!CF37/1000</f>
        <v>7.0320661080815999E-2</v>
      </c>
      <c r="AI71" s="605">
        <v>1</v>
      </c>
      <c r="AJ71" s="603">
        <f>BP29</f>
        <v>2114</v>
      </c>
      <c r="AK71" s="603">
        <v>1</v>
      </c>
      <c r="AL71" s="707">
        <f>AN71</f>
        <v>1.4304686718308429E-2</v>
      </c>
      <c r="AM71" s="1169"/>
      <c r="AN71" s="785">
        <f>ABS(BR43*DwellingStocks!W21*(1+$AO$103))</f>
        <v>1.4304686718308429E-2</v>
      </c>
      <c r="AO71" s="786">
        <f>AN71*H71</f>
        <v>0.31055276795425302</v>
      </c>
      <c r="AP71" s="771"/>
      <c r="AQ71" s="768"/>
      <c r="AR71" s="764"/>
      <c r="AS71" s="768"/>
      <c r="AT71" s="792"/>
      <c r="AU71" s="768"/>
      <c r="BB71" s="25"/>
      <c r="BC71" s="25"/>
      <c r="BD71" s="25"/>
      <c r="BF71" s="835" t="s">
        <v>52</v>
      </c>
      <c r="BG71" s="836">
        <v>7052</v>
      </c>
      <c r="BH71" s="836">
        <v>1571662</v>
      </c>
      <c r="BI71" s="836">
        <v>116</v>
      </c>
      <c r="BJ71" s="837">
        <v>86989542</v>
      </c>
      <c r="BK71" s="835">
        <v>19534310</v>
      </c>
      <c r="BL71" s="836">
        <v>10452701</v>
      </c>
      <c r="BM71" s="836">
        <v>2036694</v>
      </c>
      <c r="BN71" s="836">
        <v>30584513</v>
      </c>
      <c r="BO71" s="836">
        <v>335555</v>
      </c>
      <c r="BP71" s="836">
        <v>149933315</v>
      </c>
      <c r="BQ71" s="836">
        <f>DwellingStocks!Q21</f>
        <v>18974.694526816245</v>
      </c>
      <c r="BR71" s="838">
        <f t="shared" si="12"/>
        <v>3.8774841677784139E-2</v>
      </c>
      <c r="BS71" s="838">
        <f t="shared" si="13"/>
        <v>1.5784493023255814E-2</v>
      </c>
      <c r="BT71" s="838">
        <f t="shared" si="14"/>
        <v>5.3360356778218944E-3</v>
      </c>
      <c r="BU71" s="838">
        <f t="shared" si="15"/>
        <v>1.0397190017016448E-3</v>
      </c>
    </row>
    <row r="72" spans="3:73" ht="15" customHeight="1">
      <c r="C72" s="439"/>
      <c r="D72" s="438"/>
      <c r="E72" s="438"/>
      <c r="F72" s="388" t="s">
        <v>1280</v>
      </c>
      <c r="G72" s="438"/>
      <c r="H72" s="709"/>
      <c r="I72" s="709"/>
      <c r="J72" s="709"/>
      <c r="K72" s="709"/>
      <c r="L72" s="709"/>
      <c r="M72" s="709"/>
      <c r="N72" s="709"/>
      <c r="O72" s="709"/>
      <c r="P72" s="709"/>
      <c r="Q72" s="709"/>
      <c r="R72" s="709"/>
      <c r="S72" s="709"/>
      <c r="T72" s="709"/>
      <c r="U72" s="709"/>
      <c r="V72" s="709"/>
      <c r="W72" s="709"/>
      <c r="X72" s="709"/>
      <c r="Y72" s="709"/>
      <c r="Z72" s="709"/>
      <c r="AA72" s="709"/>
      <c r="AB72" s="709"/>
      <c r="AC72" s="709"/>
      <c r="AD72" s="709"/>
      <c r="AE72" s="709"/>
      <c r="AF72" s="709"/>
      <c r="AG72" s="709"/>
      <c r="AH72" s="709"/>
      <c r="AI72" s="709"/>
      <c r="AJ72" s="438"/>
      <c r="AK72" s="438"/>
      <c r="AL72" s="710"/>
      <c r="AM72" s="1169"/>
      <c r="AN72" s="767"/>
      <c r="AO72" s="764"/>
      <c r="AP72" s="771"/>
      <c r="AQ72" s="768"/>
      <c r="AR72" s="764"/>
      <c r="AS72" s="768"/>
      <c r="AT72" s="792"/>
      <c r="AU72" s="768"/>
      <c r="BB72" s="25"/>
      <c r="BC72" s="25"/>
      <c r="BD72" s="25"/>
      <c r="BF72" s="831" t="s">
        <v>54</v>
      </c>
      <c r="BG72" s="832">
        <v>20170</v>
      </c>
      <c r="BH72" s="832">
        <v>4035093</v>
      </c>
      <c r="BI72" s="832">
        <v>140</v>
      </c>
      <c r="BJ72" s="833">
        <v>290547340</v>
      </c>
      <c r="BK72" s="831">
        <v>61564028</v>
      </c>
      <c r="BL72" s="832">
        <v>29255723</v>
      </c>
      <c r="BM72" s="832">
        <v>5060356</v>
      </c>
      <c r="BN72" s="832">
        <v>97781386</v>
      </c>
      <c r="BO72" s="832">
        <v>2214559</v>
      </c>
      <c r="BP72" s="832">
        <v>486423392</v>
      </c>
      <c r="BQ72" s="836">
        <f>DwellingStocks!Q22</f>
        <v>54549.088898874157</v>
      </c>
      <c r="BR72" s="834">
        <f t="shared" si="12"/>
        <v>4.4811514564724694E-2</v>
      </c>
      <c r="BS72" s="834">
        <f t="shared" si="13"/>
        <v>1.7847565790778383E-2</v>
      </c>
      <c r="BT72" s="834">
        <f t="shared" si="14"/>
        <v>5.2216461477441753E-3</v>
      </c>
      <c r="BU72" s="834">
        <f t="shared" si="15"/>
        <v>9.0318699058006941E-4</v>
      </c>
    </row>
    <row r="73" spans="3:73" ht="12.75" customHeight="1">
      <c r="C73" s="290"/>
      <c r="D73" s="290"/>
      <c r="E73" s="290"/>
      <c r="F73" s="372" t="s">
        <v>934</v>
      </c>
      <c r="G73" s="290"/>
      <c r="H73" s="713"/>
      <c r="I73" s="713"/>
      <c r="J73" s="713"/>
      <c r="K73" s="713"/>
      <c r="L73" s="713"/>
      <c r="M73" s="713"/>
      <c r="N73" s="713"/>
      <c r="O73" s="713"/>
      <c r="P73" s="713"/>
      <c r="Q73" s="713"/>
      <c r="R73" s="713"/>
      <c r="S73" s="713"/>
      <c r="T73" s="713"/>
      <c r="U73" s="713"/>
      <c r="V73" s="713"/>
      <c r="W73" s="713"/>
      <c r="X73" s="713"/>
      <c r="Y73" s="713"/>
      <c r="Z73" s="713"/>
      <c r="AA73" s="713"/>
      <c r="AB73" s="713"/>
      <c r="AC73" s="713"/>
      <c r="AD73" s="713"/>
      <c r="AE73" s="713"/>
      <c r="AF73" s="713"/>
      <c r="AG73" s="713"/>
      <c r="AH73" s="713"/>
      <c r="AI73" s="713"/>
      <c r="AJ73" s="290"/>
      <c r="AK73" s="290"/>
      <c r="AL73" s="714">
        <f>AP73</f>
        <v>1.3145917187232655E-2</v>
      </c>
      <c r="AN73" s="767"/>
      <c r="AO73" s="764"/>
      <c r="AP73" s="771">
        <f>BS43*(1+AQ103)</f>
        <v>1.3145917187232655E-2</v>
      </c>
      <c r="AQ73" s="768">
        <f>AP73*H71</f>
        <v>0.28539604188376499</v>
      </c>
      <c r="AR73" s="764"/>
      <c r="AS73" s="768"/>
      <c r="AT73" s="792"/>
      <c r="AU73" s="768"/>
      <c r="BB73" s="25"/>
      <c r="BC73" s="25"/>
      <c r="BD73" s="25"/>
      <c r="BF73" s="835" t="s">
        <v>56</v>
      </c>
      <c r="BG73" s="836">
        <v>97809</v>
      </c>
      <c r="BH73" s="836">
        <v>15963699</v>
      </c>
      <c r="BI73" s="836">
        <v>190</v>
      </c>
      <c r="BJ73" s="837">
        <v>1583953290</v>
      </c>
      <c r="BK73" s="835">
        <v>349776746</v>
      </c>
      <c r="BL73" s="836">
        <v>123191330</v>
      </c>
      <c r="BM73" s="836">
        <v>22728444</v>
      </c>
      <c r="BN73" s="836">
        <v>482729805</v>
      </c>
      <c r="BO73" s="836">
        <v>34494676</v>
      </c>
      <c r="BP73" s="836">
        <v>2596874291</v>
      </c>
      <c r="BQ73" s="836">
        <f>DwellingStocks!Q23</f>
        <v>264765.40185365622</v>
      </c>
      <c r="BR73" s="838">
        <f t="shared" si="12"/>
        <v>5.0749585402518643E-2</v>
      </c>
      <c r="BS73" s="838">
        <f t="shared" si="13"/>
        <v>1.9037186062632272E-2</v>
      </c>
      <c r="BT73" s="838">
        <f t="shared" si="14"/>
        <v>4.5342329233506121E-3</v>
      </c>
      <c r="BU73" s="838">
        <f t="shared" si="15"/>
        <v>8.3655285709904003E-4</v>
      </c>
    </row>
    <row r="74" spans="3:73" ht="12.75" customHeight="1">
      <c r="C74" s="439"/>
      <c r="D74" s="438"/>
      <c r="E74" s="438"/>
      <c r="F74" s="711" t="s">
        <v>935</v>
      </c>
      <c r="G74" s="438"/>
      <c r="H74" s="709"/>
      <c r="I74" s="709"/>
      <c r="J74" s="709"/>
      <c r="K74" s="709"/>
      <c r="L74" s="709"/>
      <c r="M74" s="709"/>
      <c r="N74" s="709"/>
      <c r="O74" s="709"/>
      <c r="P74" s="709"/>
      <c r="Q74" s="709"/>
      <c r="R74" s="709"/>
      <c r="S74" s="709"/>
      <c r="T74" s="709"/>
      <c r="U74" s="709"/>
      <c r="V74" s="709"/>
      <c r="W74" s="709"/>
      <c r="X74" s="709"/>
      <c r="Y74" s="709"/>
      <c r="Z74" s="709"/>
      <c r="AA74" s="709"/>
      <c r="AB74" s="709"/>
      <c r="AC74" s="709"/>
      <c r="AD74" s="709"/>
      <c r="AE74" s="709"/>
      <c r="AF74" s="709"/>
      <c r="AG74" s="709"/>
      <c r="AH74" s="709"/>
      <c r="AI74" s="709"/>
      <c r="AJ74" s="438"/>
      <c r="AK74" s="438"/>
      <c r="AL74" s="710">
        <f>AR74</f>
        <v>7.4485742381695497E-4</v>
      </c>
      <c r="AN74" s="767"/>
      <c r="AO74" s="764"/>
      <c r="AP74" s="771"/>
      <c r="AQ74" s="768"/>
      <c r="AR74" s="764">
        <f>BT43*(1+AS103)</f>
        <v>7.4485742381695497E-4</v>
      </c>
      <c r="AS74" s="768">
        <f>AR74*H71</f>
        <v>1.6170751534290401E-2</v>
      </c>
      <c r="AT74" s="792"/>
      <c r="AU74" s="768"/>
      <c r="BB74" s="25"/>
      <c r="BC74" s="25"/>
      <c r="BD74" s="25"/>
      <c r="BF74" s="831" t="s">
        <v>58</v>
      </c>
      <c r="BG74" s="832">
        <v>61656</v>
      </c>
      <c r="BH74" s="832">
        <v>8178706</v>
      </c>
      <c r="BI74" s="832">
        <v>261</v>
      </c>
      <c r="BJ74" s="833">
        <v>1135038941</v>
      </c>
      <c r="BK74" s="831">
        <v>241598273</v>
      </c>
      <c r="BL74" s="832">
        <v>63509736</v>
      </c>
      <c r="BM74" s="832">
        <v>13917755</v>
      </c>
      <c r="BN74" s="832">
        <v>295162090</v>
      </c>
      <c r="BO74" s="832">
        <v>34670143</v>
      </c>
      <c r="BP74" s="832">
        <v>1783896938</v>
      </c>
      <c r="BQ74" s="836">
        <f>DwellingStocks!Q24</f>
        <v>166984.19754801539</v>
      </c>
      <c r="BR74" s="834">
        <f t="shared" si="12"/>
        <v>5.7313856737701986E-2</v>
      </c>
      <c r="BS74" s="834">
        <f t="shared" si="13"/>
        <v>1.9258402082522379E-2</v>
      </c>
      <c r="BT74" s="834">
        <f t="shared" si="14"/>
        <v>3.708236823666796E-3</v>
      </c>
      <c r="BU74" s="834">
        <f t="shared" si="15"/>
        <v>8.1263653172440641E-4</v>
      </c>
    </row>
    <row r="75" spans="3:73" ht="13.5" customHeight="1" thickBot="1">
      <c r="C75" s="606"/>
      <c r="D75" s="606"/>
      <c r="E75" s="606"/>
      <c r="F75" s="716" t="s">
        <v>936</v>
      </c>
      <c r="G75" s="606"/>
      <c r="H75" s="608"/>
      <c r="I75" s="608"/>
      <c r="J75" s="608"/>
      <c r="K75" s="608"/>
      <c r="L75" s="608"/>
      <c r="M75" s="608"/>
      <c r="N75" s="608"/>
      <c r="O75" s="608"/>
      <c r="P75" s="608"/>
      <c r="Q75" s="608"/>
      <c r="R75" s="608"/>
      <c r="S75" s="608"/>
      <c r="T75" s="608"/>
      <c r="U75" s="608"/>
      <c r="V75" s="608"/>
      <c r="W75" s="608"/>
      <c r="X75" s="608"/>
      <c r="Y75" s="608"/>
      <c r="Z75" s="608"/>
      <c r="AA75" s="608"/>
      <c r="AB75" s="608"/>
      <c r="AC75" s="608"/>
      <c r="AD75" s="608"/>
      <c r="AE75" s="608"/>
      <c r="AF75" s="608"/>
      <c r="AG75" s="608"/>
      <c r="AH75" s="608"/>
      <c r="AI75" s="608"/>
      <c r="AJ75" s="606"/>
      <c r="AK75" s="606"/>
      <c r="AL75" s="715">
        <f>AT75</f>
        <v>3.1679340696157214E-4</v>
      </c>
      <c r="AM75" s="1177"/>
      <c r="AN75" s="767"/>
      <c r="AO75" s="764"/>
      <c r="AP75" s="771"/>
      <c r="AQ75" s="768"/>
      <c r="AR75" s="764"/>
      <c r="AS75" s="768"/>
      <c r="AT75" s="792">
        <f>BU43*(1+AU103)</f>
        <v>3.1679340696157214E-4</v>
      </c>
      <c r="AU75" s="768">
        <f>AT75*H71</f>
        <v>6.8775410002972935E-3</v>
      </c>
      <c r="BB75" s="25"/>
      <c r="BC75" s="25"/>
      <c r="BD75" s="25"/>
      <c r="BF75" s="835" t="s">
        <v>60</v>
      </c>
      <c r="BG75" s="836">
        <v>27666</v>
      </c>
      <c r="BH75" s="836">
        <v>3361294</v>
      </c>
      <c r="BI75" s="836">
        <v>338</v>
      </c>
      <c r="BJ75" s="837">
        <v>635462499</v>
      </c>
      <c r="BK75" s="835">
        <v>126446130</v>
      </c>
      <c r="BL75" s="836">
        <v>26318437</v>
      </c>
      <c r="BM75" s="836">
        <v>5835533</v>
      </c>
      <c r="BN75" s="836">
        <v>131872106</v>
      </c>
      <c r="BO75" s="836">
        <v>16624373</v>
      </c>
      <c r="BP75" s="836">
        <v>942559078</v>
      </c>
      <c r="BQ75" s="836">
        <f>DwellingStocks!Q25</f>
        <v>74836.881491341002</v>
      </c>
      <c r="BR75" s="838">
        <f t="shared" si="12"/>
        <v>7.0692280806327043E-2</v>
      </c>
      <c r="BS75" s="838">
        <f t="shared" si="13"/>
        <v>1.9322899024072866E-2</v>
      </c>
      <c r="BT75" s="838">
        <f t="shared" si="14"/>
        <v>3.4246502277163302E-3</v>
      </c>
      <c r="BU75" s="838">
        <f t="shared" si="15"/>
        <v>7.5934066363044894E-4</v>
      </c>
    </row>
    <row r="76" spans="3:73" ht="12.75" customHeight="1">
      <c r="C76" s="602" t="str">
        <f>AY19</f>
        <v>R-BLD_Apt_C</v>
      </c>
      <c r="D76" s="603" t="str">
        <f>AZ19</f>
        <v>Residential Building Apartment _ C</v>
      </c>
      <c r="E76" s="603">
        <v>2018</v>
      </c>
      <c r="F76" s="602" t="str">
        <f>COMM!O12</f>
        <v>RSDSH_Apt-C</v>
      </c>
      <c r="G76" s="603" t="s">
        <v>933</v>
      </c>
      <c r="H76" s="605">
        <f>BG12/1000</f>
        <v>71.167091754613168</v>
      </c>
      <c r="I76" s="605">
        <f>DwellingStocks!I38/1000</f>
        <v>0.49057014893009931</v>
      </c>
      <c r="J76" s="605">
        <f>DwellingStocks!L38/1000</f>
        <v>41.002769011842538</v>
      </c>
      <c r="K76" s="605">
        <f>DwellingStocks!O38/1000</f>
        <v>2.9411814129246006</v>
      </c>
      <c r="L76" s="605">
        <f>DwellingStocks!R38/1000</f>
        <v>0.72244595748813734</v>
      </c>
      <c r="M76" s="605">
        <f>DwellingStocks!U38/1000</f>
        <v>0.46612447712609828</v>
      </c>
      <c r="N76" s="605">
        <f>DwellingStocks!X38/1000</f>
        <v>0.19002244103669425</v>
      </c>
      <c r="O76" s="605">
        <f>DwellingStocks!AA38/1000</f>
        <v>1.203556750712742</v>
      </c>
      <c r="P76" s="605">
        <f>DwellingStocks!AD38/1000</f>
        <v>2.2946779119786305</v>
      </c>
      <c r="Q76" s="605">
        <f>DwellingStocks!AG38/1000</f>
        <v>0.32172036639324025</v>
      </c>
      <c r="R76" s="605">
        <f>DwellingStocks!AJ38/1000</f>
        <v>0.87570815154400328</v>
      </c>
      <c r="S76" s="605">
        <f>DwellingStocks!AM38/1000</f>
        <v>0.73556765878934671</v>
      </c>
      <c r="T76" s="605">
        <f>DwellingStocks!AP38/1000</f>
        <v>1.5515192928063066</v>
      </c>
      <c r="U76" s="605">
        <f>DwellingStocks!AS38/1000</f>
        <v>0.76635493840811475</v>
      </c>
      <c r="V76" s="605">
        <f>DwellingStocks!AV38/1000</f>
        <v>5.8224358852287761</v>
      </c>
      <c r="W76" s="605">
        <f>DwellingStocks!AY38/1000</f>
        <v>0.97617055403223785</v>
      </c>
      <c r="X76" s="605">
        <f>DwellingStocks!BB38/1000</f>
        <v>3.2823317293793561</v>
      </c>
      <c r="Y76" s="605">
        <f>DwellingStocks!BE38/1000</f>
        <v>0.47191952153596295</v>
      </c>
      <c r="Z76" s="605">
        <f>DwellingStocks!BH38/1000</f>
        <v>0.97741535848833505</v>
      </c>
      <c r="AA76" s="605">
        <f>DwellingStocks!BK38/1000</f>
        <v>3.04910859906304</v>
      </c>
      <c r="AB76" s="605">
        <f>DwellingStocks!BN38/1000</f>
        <v>0.19904078579036732</v>
      </c>
      <c r="AC76" s="605">
        <f>DwellingStocks!BQ38/1000</f>
        <v>0.6361687903033354</v>
      </c>
      <c r="AD76" s="605">
        <f>DwellingStocks!BT38/1000</f>
        <v>0.21241908651007671</v>
      </c>
      <c r="AE76" s="605">
        <f>DwellingStocks!BW38/1000</f>
        <v>0.43453655698648802</v>
      </c>
      <c r="AF76" s="605">
        <f>DwellingStocks!BZ38/1000</f>
        <v>0.36785600911013766</v>
      </c>
      <c r="AG76" s="605">
        <f>DwellingStocks!CC38/1000</f>
        <v>0.8977939016289902</v>
      </c>
      <c r="AH76" s="605">
        <f>DwellingStocks!CF38/1000</f>
        <v>0.27767645657552981</v>
      </c>
      <c r="AI76" s="605">
        <v>1</v>
      </c>
      <c r="AJ76" s="603">
        <f>BP30</f>
        <v>2640</v>
      </c>
      <c r="AK76" s="603">
        <v>1</v>
      </c>
      <c r="AL76" s="707">
        <f>AN76</f>
        <v>1.0408335332447193E-2</v>
      </c>
      <c r="AM76" s="1177"/>
      <c r="AN76" s="785">
        <f>ABS(BR44*DwellingStocks!W22*(1+$AO$103))</f>
        <v>1.0408335332447193E-2</v>
      </c>
      <c r="AO76" s="786">
        <f>AN76*H76</f>
        <v>0.74073095561705149</v>
      </c>
      <c r="AP76" s="787"/>
      <c r="AQ76" s="788"/>
      <c r="AR76" s="786"/>
      <c r="AS76" s="788"/>
      <c r="AT76" s="793"/>
      <c r="AU76" s="788"/>
      <c r="BB76" s="25"/>
      <c r="BC76" s="25"/>
      <c r="BD76" s="25"/>
      <c r="BF76" s="831" t="s">
        <v>62</v>
      </c>
      <c r="BG76" s="832">
        <v>13787</v>
      </c>
      <c r="BH76" s="832">
        <v>1578087</v>
      </c>
      <c r="BI76" s="832">
        <v>415</v>
      </c>
      <c r="BJ76" s="833">
        <v>382255989</v>
      </c>
      <c r="BK76" s="831">
        <v>74341761</v>
      </c>
      <c r="BL76" s="832">
        <v>12486922</v>
      </c>
      <c r="BM76" s="832">
        <v>2769697</v>
      </c>
      <c r="BN76" s="832">
        <v>65705835</v>
      </c>
      <c r="BO76" s="832">
        <v>8706537</v>
      </c>
      <c r="BP76" s="832">
        <v>546266742</v>
      </c>
      <c r="BQ76" s="836">
        <f>DwellingStocks!Q26</f>
        <v>37368.747662299225</v>
      </c>
      <c r="BR76" s="834">
        <f t="shared" si="12"/>
        <v>8.5011849711289236E-2</v>
      </c>
      <c r="BS76" s="834">
        <f t="shared" si="13"/>
        <v>1.9430226967433087E-2</v>
      </c>
      <c r="BT76" s="834">
        <f t="shared" si="14"/>
        <v>3.260529426271125E-3</v>
      </c>
      <c r="BU76" s="834">
        <f t="shared" si="15"/>
        <v>7.232109378399942E-4</v>
      </c>
    </row>
    <row r="77" spans="3:73" ht="15">
      <c r="C77" s="439"/>
      <c r="D77" s="438"/>
      <c r="E77" s="438"/>
      <c r="F77" s="388" t="s">
        <v>1280</v>
      </c>
      <c r="G77" s="438"/>
      <c r="H77" s="709"/>
      <c r="I77" s="709"/>
      <c r="J77" s="709"/>
      <c r="K77" s="709"/>
      <c r="L77" s="709"/>
      <c r="M77" s="709"/>
      <c r="N77" s="709"/>
      <c r="O77" s="709"/>
      <c r="P77" s="709"/>
      <c r="Q77" s="709"/>
      <c r="R77" s="709"/>
      <c r="S77" s="709"/>
      <c r="T77" s="709"/>
      <c r="U77" s="709"/>
      <c r="V77" s="709"/>
      <c r="W77" s="709"/>
      <c r="X77" s="709"/>
      <c r="Y77" s="709"/>
      <c r="Z77" s="709"/>
      <c r="AA77" s="709"/>
      <c r="AB77" s="709"/>
      <c r="AC77" s="709"/>
      <c r="AD77" s="709"/>
      <c r="AE77" s="709"/>
      <c r="AF77" s="709"/>
      <c r="AG77" s="709"/>
      <c r="AH77" s="709"/>
      <c r="AI77" s="709"/>
      <c r="AJ77" s="438"/>
      <c r="AK77" s="438"/>
      <c r="AL77" s="710"/>
      <c r="AM77" s="1177"/>
      <c r="AN77" s="767"/>
      <c r="AO77" s="764"/>
      <c r="AP77" s="771"/>
      <c r="AQ77" s="768"/>
      <c r="AR77" s="764"/>
      <c r="AS77" s="768"/>
      <c r="AT77" s="792"/>
      <c r="AU77" s="768"/>
      <c r="BB77" s="25"/>
      <c r="BC77" s="25"/>
      <c r="BD77" s="25"/>
      <c r="BF77" s="835" t="s">
        <v>64</v>
      </c>
      <c r="BG77" s="836">
        <v>24436</v>
      </c>
      <c r="BH77" s="836">
        <v>2381791</v>
      </c>
      <c r="BI77" s="836">
        <v>673</v>
      </c>
      <c r="BJ77" s="837">
        <v>889411987</v>
      </c>
      <c r="BK77" s="835">
        <v>178556613</v>
      </c>
      <c r="BL77" s="836">
        <v>19539039</v>
      </c>
      <c r="BM77" s="836">
        <v>3598598</v>
      </c>
      <c r="BN77" s="836">
        <v>107615125</v>
      </c>
      <c r="BO77" s="836">
        <v>12476668</v>
      </c>
      <c r="BP77" s="836">
        <v>1211198029</v>
      </c>
      <c r="BQ77" s="836">
        <f>DwellingStocks!Q27</f>
        <v>66469.176419880765</v>
      </c>
      <c r="BR77" s="838">
        <f t="shared" si="12"/>
        <v>0.11218733764722996</v>
      </c>
      <c r="BS77" s="838">
        <f t="shared" si="13"/>
        <v>1.769235778359797E-2</v>
      </c>
      <c r="BT77" s="838">
        <f t="shared" si="14"/>
        <v>2.8785619741365201E-3</v>
      </c>
      <c r="BU77" s="838">
        <f t="shared" si="15"/>
        <v>5.3015848747749227E-4</v>
      </c>
    </row>
    <row r="78" spans="3:73">
      <c r="C78" s="290"/>
      <c r="D78" s="290"/>
      <c r="E78" s="290"/>
      <c r="F78" s="372" t="s">
        <v>934</v>
      </c>
      <c r="G78" s="290"/>
      <c r="H78" s="713"/>
      <c r="I78" s="713"/>
      <c r="J78" s="713"/>
      <c r="K78" s="713"/>
      <c r="L78" s="713"/>
      <c r="M78" s="713"/>
      <c r="N78" s="713"/>
      <c r="O78" s="713"/>
      <c r="P78" s="713"/>
      <c r="Q78" s="713"/>
      <c r="R78" s="713"/>
      <c r="S78" s="713"/>
      <c r="T78" s="713"/>
      <c r="U78" s="713"/>
      <c r="V78" s="713"/>
      <c r="W78" s="713"/>
      <c r="X78" s="713"/>
      <c r="Y78" s="713"/>
      <c r="Z78" s="713"/>
      <c r="AA78" s="713"/>
      <c r="AB78" s="713"/>
      <c r="AC78" s="713"/>
      <c r="AD78" s="713"/>
      <c r="AE78" s="713"/>
      <c r="AF78" s="713"/>
      <c r="AG78" s="713"/>
      <c r="AH78" s="713"/>
      <c r="AI78" s="713"/>
      <c r="AJ78" s="290"/>
      <c r="AK78" s="290"/>
      <c r="AL78" s="714">
        <f>AP78</f>
        <v>1.3057608919257462E-2</v>
      </c>
      <c r="AN78" s="767"/>
      <c r="AO78" s="764"/>
      <c r="AP78" s="771">
        <f>BS44*(1+AQ103)</f>
        <v>1.3057608919257462E-2</v>
      </c>
      <c r="AQ78" s="768">
        <f>AP78*H76</f>
        <v>0.92927205205265107</v>
      </c>
      <c r="AR78" s="764"/>
      <c r="AS78" s="768"/>
      <c r="AT78" s="792"/>
      <c r="AU78" s="768"/>
      <c r="BB78" s="25"/>
      <c r="BC78" s="25"/>
      <c r="BD78" s="25"/>
      <c r="BQ78" s="58" t="s">
        <v>1066</v>
      </c>
      <c r="BR78" s="843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39"/>
      <c r="D79" s="438"/>
      <c r="E79" s="438"/>
      <c r="F79" s="711" t="s">
        <v>935</v>
      </c>
      <c r="G79" s="438"/>
      <c r="H79" s="709"/>
      <c r="I79" s="709"/>
      <c r="J79" s="709"/>
      <c r="K79" s="709"/>
      <c r="L79" s="709"/>
      <c r="M79" s="709"/>
      <c r="N79" s="709"/>
      <c r="O79" s="709"/>
      <c r="P79" s="709"/>
      <c r="Q79" s="709"/>
      <c r="R79" s="709"/>
      <c r="S79" s="709"/>
      <c r="T79" s="709"/>
      <c r="U79" s="709"/>
      <c r="V79" s="709"/>
      <c r="W79" s="709"/>
      <c r="X79" s="709"/>
      <c r="Y79" s="709"/>
      <c r="Z79" s="709"/>
      <c r="AA79" s="709"/>
      <c r="AB79" s="709"/>
      <c r="AC79" s="709"/>
      <c r="AD79" s="709"/>
      <c r="AE79" s="709"/>
      <c r="AF79" s="709"/>
      <c r="AG79" s="709"/>
      <c r="AH79" s="709"/>
      <c r="AI79" s="709"/>
      <c r="AJ79" s="438"/>
      <c r="AK79" s="438"/>
      <c r="AL79" s="710">
        <f>AR79</f>
        <v>6.9274548248087538E-4</v>
      </c>
      <c r="AN79" s="767"/>
      <c r="AO79" s="764"/>
      <c r="AP79" s="771"/>
      <c r="AQ79" s="768"/>
      <c r="AR79" s="764">
        <f>BT44*(1+AS103)</f>
        <v>6.9274548248087538E-4</v>
      </c>
      <c r="AS79" s="768">
        <f>AR79*H76</f>
        <v>4.930068131431023E-2</v>
      </c>
      <c r="AT79" s="792"/>
      <c r="AU79" s="768"/>
    </row>
    <row r="80" spans="3:73" ht="13.5" thickBot="1">
      <c r="C80" s="606"/>
      <c r="D80" s="606"/>
      <c r="E80" s="606"/>
      <c r="F80" s="716" t="s">
        <v>936</v>
      </c>
      <c r="G80" s="606"/>
      <c r="H80" s="608"/>
      <c r="I80" s="608"/>
      <c r="J80" s="608"/>
      <c r="K80" s="608"/>
      <c r="L80" s="608"/>
      <c r="M80" s="608"/>
      <c r="N80" s="608"/>
      <c r="O80" s="608"/>
      <c r="P80" s="608"/>
      <c r="Q80" s="608"/>
      <c r="R80" s="608"/>
      <c r="S80" s="608"/>
      <c r="T80" s="608"/>
      <c r="U80" s="608"/>
      <c r="V80" s="608"/>
      <c r="W80" s="608"/>
      <c r="X80" s="608"/>
      <c r="Y80" s="608"/>
      <c r="Z80" s="608"/>
      <c r="AA80" s="608"/>
      <c r="AB80" s="608"/>
      <c r="AC80" s="608"/>
      <c r="AD80" s="608"/>
      <c r="AE80" s="608"/>
      <c r="AF80" s="608"/>
      <c r="AG80" s="608"/>
      <c r="AH80" s="608"/>
      <c r="AI80" s="608"/>
      <c r="AJ80" s="606"/>
      <c r="AK80" s="606"/>
      <c r="AL80" s="715">
        <f>AT80</f>
        <v>2.1221190975514691E-4</v>
      </c>
      <c r="AN80" s="789"/>
      <c r="AO80" s="769"/>
      <c r="AP80" s="790"/>
      <c r="AQ80" s="770"/>
      <c r="AR80" s="769"/>
      <c r="AS80" s="770"/>
      <c r="AT80" s="791">
        <f>BU44*(1+AU103)</f>
        <v>2.1221190975514691E-4</v>
      </c>
      <c r="AU80" s="770">
        <f>AT80*H76</f>
        <v>1.510250445296623E-2</v>
      </c>
    </row>
    <row r="81" spans="3:47">
      <c r="C81" s="602" t="str">
        <f>AY20</f>
        <v>R-BLD_Apt_D</v>
      </c>
      <c r="D81" s="603" t="str">
        <f>AZ20</f>
        <v>Residential Building Apartment _ D</v>
      </c>
      <c r="E81" s="603">
        <v>2018</v>
      </c>
      <c r="F81" s="602" t="str">
        <f>COMM!O15</f>
        <v>RSDSH_Apt-D</v>
      </c>
      <c r="G81" s="603" t="s">
        <v>933</v>
      </c>
      <c r="H81" s="605">
        <f>BG13/1000</f>
        <v>47.490854787158916</v>
      </c>
      <c r="I81" s="605">
        <f>DwellingStocks!I39/1000</f>
        <v>0.34793154584444547</v>
      </c>
      <c r="J81" s="605">
        <f>DwellingStocks!L39/1000</f>
        <v>25.054028103145395</v>
      </c>
      <c r="K81" s="605">
        <f>DwellingStocks!O39/1000</f>
        <v>1.6522313637925603</v>
      </c>
      <c r="L81" s="605">
        <f>DwellingStocks!R39/1000</f>
        <v>0.35956599260304084</v>
      </c>
      <c r="M81" s="605">
        <f>DwellingStocks!U39/1000</f>
        <v>0.39089035099346492</v>
      </c>
      <c r="N81" s="605">
        <f>DwellingStocks!X39/1000</f>
        <v>0.26650946132819375</v>
      </c>
      <c r="O81" s="605">
        <f>DwellingStocks!AA39/1000</f>
        <v>0.51776164417721815</v>
      </c>
      <c r="P81" s="605">
        <f>DwellingStocks!AD39/1000</f>
        <v>1.1315980251906814</v>
      </c>
      <c r="Q81" s="605">
        <f>DwellingStocks!AG39/1000</f>
        <v>0.36587806374133203</v>
      </c>
      <c r="R81" s="605">
        <f>DwellingStocks!AJ39/1000</f>
        <v>0.87703699547654357</v>
      </c>
      <c r="S81" s="605">
        <f>DwellingStocks!AM39/1000</f>
        <v>0.80445024891008821</v>
      </c>
      <c r="T81" s="605">
        <f>DwellingStocks!AP39/1000</f>
        <v>0.95463851349491979</v>
      </c>
      <c r="U81" s="605">
        <f>DwellingStocks!AS39/1000</f>
        <v>0.69434843412815772</v>
      </c>
      <c r="V81" s="605">
        <f>DwellingStocks!AV39/1000</f>
        <v>3.4062789398137729</v>
      </c>
      <c r="W81" s="605">
        <f>DwellingStocks!AY39/1000</f>
        <v>0.8583784717741757</v>
      </c>
      <c r="X81" s="605">
        <f>DwellingStocks!BB39/1000</f>
        <v>1.9487665192827224</v>
      </c>
      <c r="Y81" s="605">
        <f>DwellingStocks!BE39/1000</f>
        <v>0.80900489406165066</v>
      </c>
      <c r="Z81" s="605">
        <f>DwellingStocks!BH39/1000</f>
        <v>1.0054751295454163</v>
      </c>
      <c r="AA81" s="605">
        <f>DwellingStocks!BK39/1000</f>
        <v>3.1560217876458516</v>
      </c>
      <c r="AB81" s="605">
        <f>DwellingStocks!BN39/1000</f>
        <v>0.20414439568242804</v>
      </c>
      <c r="AC81" s="605">
        <f>DwellingStocks!BQ39/1000</f>
        <v>0.75458982053296064</v>
      </c>
      <c r="AD81" s="605">
        <f>DwellingStocks!BT39/1000</f>
        <v>0.19834312294615594</v>
      </c>
      <c r="AE81" s="605">
        <f>DwellingStocks!BW39/1000</f>
        <v>0.56797000478839943</v>
      </c>
      <c r="AF81" s="605">
        <f>DwellingStocks!BZ39/1000</f>
        <v>0.38335951907263388</v>
      </c>
      <c r="AG81" s="605">
        <f>DwellingStocks!CC39/1000</f>
        <v>0.55626670495333108</v>
      </c>
      <c r="AH81" s="605">
        <f>DwellingStocks!CF39/1000</f>
        <v>0.22538673423338459</v>
      </c>
      <c r="AI81" s="605">
        <v>1</v>
      </c>
      <c r="AJ81" s="603">
        <f>BP31</f>
        <v>1651</v>
      </c>
      <c r="AK81" s="603">
        <v>1</v>
      </c>
      <c r="AL81" s="707">
        <f>AN81</f>
        <v>1.1385571780841791E-2</v>
      </c>
      <c r="AM81" s="1177"/>
      <c r="AN81" s="785">
        <f>ABS(BR45*DwellingStocks!W23*(1+$AO$103))</f>
        <v>1.1385571780841791E-2</v>
      </c>
      <c r="AO81" s="786">
        <f>AN81*H81</f>
        <v>0.5407105361127319</v>
      </c>
      <c r="AP81" s="771"/>
      <c r="AQ81" s="768"/>
      <c r="AR81" s="764"/>
      <c r="AS81" s="768"/>
      <c r="AT81" s="792"/>
      <c r="AU81" s="768"/>
    </row>
    <row r="82" spans="3:47" ht="15">
      <c r="C82" s="439"/>
      <c r="D82" s="438"/>
      <c r="E82" s="438"/>
      <c r="F82" s="388" t="s">
        <v>1280</v>
      </c>
      <c r="G82" s="438"/>
      <c r="H82" s="709"/>
      <c r="I82" s="709"/>
      <c r="J82" s="709"/>
      <c r="K82" s="709"/>
      <c r="L82" s="709"/>
      <c r="M82" s="709"/>
      <c r="N82" s="709"/>
      <c r="O82" s="709"/>
      <c r="P82" s="709"/>
      <c r="Q82" s="709"/>
      <c r="R82" s="709"/>
      <c r="S82" s="709"/>
      <c r="T82" s="709"/>
      <c r="U82" s="709"/>
      <c r="V82" s="709"/>
      <c r="W82" s="709"/>
      <c r="X82" s="709"/>
      <c r="Y82" s="709"/>
      <c r="Z82" s="709"/>
      <c r="AA82" s="709"/>
      <c r="AB82" s="709"/>
      <c r="AC82" s="709"/>
      <c r="AD82" s="709"/>
      <c r="AE82" s="709"/>
      <c r="AF82" s="709"/>
      <c r="AG82" s="709"/>
      <c r="AH82" s="709"/>
      <c r="AI82" s="709"/>
      <c r="AJ82" s="438"/>
      <c r="AK82" s="438"/>
      <c r="AL82" s="710"/>
      <c r="AM82" s="1177"/>
      <c r="AN82" s="767"/>
      <c r="AO82" s="764"/>
      <c r="AP82" s="771"/>
      <c r="AQ82" s="768"/>
      <c r="AR82" s="764"/>
      <c r="AS82" s="768"/>
      <c r="AT82" s="792"/>
      <c r="AU82" s="768"/>
    </row>
    <row r="83" spans="3:47">
      <c r="C83" s="290"/>
      <c r="D83" s="290"/>
      <c r="E83" s="290"/>
      <c r="F83" s="372" t="s">
        <v>934</v>
      </c>
      <c r="G83" s="290"/>
      <c r="H83" s="713"/>
      <c r="I83" s="713"/>
      <c r="J83" s="713"/>
      <c r="K83" s="713"/>
      <c r="L83" s="713"/>
      <c r="M83" s="713"/>
      <c r="N83" s="713"/>
      <c r="O83" s="713"/>
      <c r="P83" s="713"/>
      <c r="Q83" s="713"/>
      <c r="R83" s="713"/>
      <c r="S83" s="713"/>
      <c r="T83" s="713"/>
      <c r="U83" s="713"/>
      <c r="V83" s="713"/>
      <c r="W83" s="713"/>
      <c r="X83" s="713"/>
      <c r="Y83" s="713"/>
      <c r="Z83" s="713"/>
      <c r="AA83" s="713"/>
      <c r="AB83" s="713"/>
      <c r="AC83" s="713"/>
      <c r="AD83" s="713"/>
      <c r="AE83" s="713"/>
      <c r="AF83" s="713"/>
      <c r="AG83" s="713"/>
      <c r="AH83" s="713"/>
      <c r="AI83" s="713"/>
      <c r="AJ83" s="290"/>
      <c r="AK83" s="290"/>
      <c r="AL83" s="714">
        <f>AP83</f>
        <v>1.1103566581040527E-2</v>
      </c>
      <c r="AM83" s="1177"/>
      <c r="AN83" s="767"/>
      <c r="AO83" s="764"/>
      <c r="AP83" s="771">
        <f>BS45*(1+AQ103)</f>
        <v>1.1103566581040527E-2</v>
      </c>
      <c r="AQ83" s="768">
        <f>AP83*H81</f>
        <v>0.52731786811974624</v>
      </c>
      <c r="AR83" s="764"/>
      <c r="AS83" s="768"/>
      <c r="AT83" s="792"/>
      <c r="AU83" s="768"/>
    </row>
    <row r="84" spans="3:47">
      <c r="C84" s="439"/>
      <c r="D84" s="438"/>
      <c r="E84" s="438"/>
      <c r="F84" s="711" t="s">
        <v>935</v>
      </c>
      <c r="G84" s="438"/>
      <c r="H84" s="709"/>
      <c r="I84" s="709"/>
      <c r="J84" s="709"/>
      <c r="K84" s="709"/>
      <c r="L84" s="709"/>
      <c r="M84" s="709"/>
      <c r="N84" s="709"/>
      <c r="O84" s="709"/>
      <c r="P84" s="709"/>
      <c r="Q84" s="709"/>
      <c r="R84" s="709"/>
      <c r="S84" s="709"/>
      <c r="T84" s="709"/>
      <c r="U84" s="709"/>
      <c r="V84" s="709"/>
      <c r="W84" s="709"/>
      <c r="X84" s="709"/>
      <c r="Y84" s="709"/>
      <c r="Z84" s="709"/>
      <c r="AA84" s="709"/>
      <c r="AB84" s="709"/>
      <c r="AC84" s="709"/>
      <c r="AD84" s="709"/>
      <c r="AE84" s="709"/>
      <c r="AF84" s="709"/>
      <c r="AG84" s="709"/>
      <c r="AH84" s="709"/>
      <c r="AI84" s="709"/>
      <c r="AJ84" s="438"/>
      <c r="AK84" s="438"/>
      <c r="AL84" s="710">
        <f>AR84</f>
        <v>6.2110797154388861E-4</v>
      </c>
      <c r="AN84" s="767"/>
      <c r="AO84" s="764"/>
      <c r="AP84" s="771"/>
      <c r="AQ84" s="768"/>
      <c r="AR84" s="764">
        <f>BT45*(1+AS103)</f>
        <v>6.2110797154388861E-4</v>
      </c>
      <c r="AS84" s="768">
        <f>AR84*H81</f>
        <v>2.9496948483737646E-2</v>
      </c>
      <c r="AT84" s="792"/>
      <c r="AU84" s="768"/>
    </row>
    <row r="85" spans="3:47" ht="13.5" thickBot="1">
      <c r="C85" s="606"/>
      <c r="D85" s="606"/>
      <c r="E85" s="606"/>
      <c r="F85" s="716" t="s">
        <v>936</v>
      </c>
      <c r="G85" s="606"/>
      <c r="H85" s="608"/>
      <c r="I85" s="608"/>
      <c r="J85" s="608"/>
      <c r="K85" s="608"/>
      <c r="L85" s="608"/>
      <c r="M85" s="608"/>
      <c r="N85" s="608"/>
      <c r="O85" s="608"/>
      <c r="P85" s="608"/>
      <c r="Q85" s="608"/>
      <c r="R85" s="608"/>
      <c r="S85" s="608"/>
      <c r="T85" s="608"/>
      <c r="U85" s="608"/>
      <c r="V85" s="608"/>
      <c r="W85" s="608"/>
      <c r="X85" s="608"/>
      <c r="Y85" s="608"/>
      <c r="Z85" s="608"/>
      <c r="AA85" s="608"/>
      <c r="AB85" s="608"/>
      <c r="AC85" s="608"/>
      <c r="AD85" s="608"/>
      <c r="AE85" s="608"/>
      <c r="AF85" s="608"/>
      <c r="AG85" s="608"/>
      <c r="AH85" s="608"/>
      <c r="AI85" s="608"/>
      <c r="AJ85" s="606"/>
      <c r="AK85" s="606"/>
      <c r="AL85" s="715">
        <f>AT85</f>
        <v>9.2326777841571572E-5</v>
      </c>
      <c r="AN85" s="767"/>
      <c r="AO85" s="764"/>
      <c r="AP85" s="771"/>
      <c r="AQ85" s="768"/>
      <c r="AR85" s="764"/>
      <c r="AS85" s="768"/>
      <c r="AT85" s="792">
        <f>BU45*(1+AU103)</f>
        <v>9.2326777841571572E-5</v>
      </c>
      <c r="AU85" s="768">
        <f>AT85*H81</f>
        <v>4.3846775994403567E-3</v>
      </c>
    </row>
    <row r="86" spans="3:47">
      <c r="C86" s="602" t="str">
        <f>AY21</f>
        <v>R-BLD_Apt_E</v>
      </c>
      <c r="D86" s="603" t="str">
        <f>AZ21</f>
        <v>Residential Building Apartment _ E</v>
      </c>
      <c r="E86" s="603">
        <v>2018</v>
      </c>
      <c r="F86" s="602" t="str">
        <f>COMM!O18</f>
        <v>RSDSH_Apt-E</v>
      </c>
      <c r="G86" s="603" t="s">
        <v>933</v>
      </c>
      <c r="H86" s="605">
        <f>BG14/1000</f>
        <v>23.790684938210514</v>
      </c>
      <c r="I86" s="605">
        <f>DwellingStocks!I40/1000</f>
        <v>0.17996459267816145</v>
      </c>
      <c r="J86" s="605">
        <f>DwellingStocks!L40/1000</f>
        <v>12.052625111545526</v>
      </c>
      <c r="K86" s="605">
        <f>DwellingStocks!O40/1000</f>
        <v>0.91693601056141039</v>
      </c>
      <c r="L86" s="605">
        <f>DwellingStocks!R40/1000</f>
        <v>0.16735560024381163</v>
      </c>
      <c r="M86" s="605">
        <f>DwellingStocks!U40/1000</f>
        <v>0.15210377674641101</v>
      </c>
      <c r="N86" s="605">
        <f>DwellingStocks!X40/1000</f>
        <v>0.11473053043724935</v>
      </c>
      <c r="O86" s="605">
        <f>DwellingStocks!AA40/1000</f>
        <v>0.29781540483016772</v>
      </c>
      <c r="P86" s="605">
        <f>DwellingStocks!AD40/1000</f>
        <v>0.47222792395901703</v>
      </c>
      <c r="Q86" s="605">
        <f>DwellingStocks!AG40/1000</f>
        <v>0.2018637593055625</v>
      </c>
      <c r="R86" s="605">
        <f>DwellingStocks!AJ40/1000</f>
        <v>0.39998202369460545</v>
      </c>
      <c r="S86" s="605">
        <f>DwellingStocks!AM40/1000</f>
        <v>0.53507011968790263</v>
      </c>
      <c r="T86" s="605">
        <f>DwellingStocks!AP40/1000</f>
        <v>0.42263607976085776</v>
      </c>
      <c r="U86" s="605">
        <f>DwellingStocks!AS40/1000</f>
        <v>0.45646980391758513</v>
      </c>
      <c r="V86" s="605">
        <f>DwellingStocks!AV40/1000</f>
        <v>1.9445931150221349</v>
      </c>
      <c r="W86" s="605">
        <f>DwellingStocks!AY40/1000</f>
        <v>0.40851296612902382</v>
      </c>
      <c r="X86" s="605">
        <f>DwellingStocks!BB40/1000</f>
        <v>0.80013912605798032</v>
      </c>
      <c r="Y86" s="605">
        <f>DwellingStocks!BE40/1000</f>
        <v>0.45693794942371019</v>
      </c>
      <c r="Z86" s="605">
        <f>DwellingStocks!BH40/1000</f>
        <v>0.53547396433930317</v>
      </c>
      <c r="AA86" s="605">
        <f>DwellingStocks!BK40/1000</f>
        <v>1.7300497788854952</v>
      </c>
      <c r="AB86" s="605">
        <f>DwellingStocks!BN40/1000</f>
        <v>6.7367650575201249E-2</v>
      </c>
      <c r="AC86" s="605">
        <f>DwellingStocks!BQ40/1000</f>
        <v>0.31257644025726655</v>
      </c>
      <c r="AD86" s="605">
        <f>DwellingStocks!BT40/1000</f>
        <v>0.11004844240883492</v>
      </c>
      <c r="AE86" s="605">
        <f>DwellingStocks!BW40/1000</f>
        <v>0.37835405264884103</v>
      </c>
      <c r="AF86" s="605">
        <f>DwellingStocks!BZ40/1000</f>
        <v>0.19167975953631694</v>
      </c>
      <c r="AG86" s="605">
        <f>DwellingStocks!CC40/1000</f>
        <v>0.33010488240557018</v>
      </c>
      <c r="AH86" s="605">
        <f>DwellingStocks!CF40/1000</f>
        <v>0.1550660731525686</v>
      </c>
      <c r="AI86" s="605">
        <v>1</v>
      </c>
      <c r="AJ86" s="603">
        <f>BP32</f>
        <v>282</v>
      </c>
      <c r="AK86" s="603">
        <v>1</v>
      </c>
      <c r="AL86" s="707">
        <f>AN86</f>
        <v>1.5205527447148294E-2</v>
      </c>
      <c r="AN86" s="785">
        <f>ABS(BR46*DwellingStocks!W24*(1+$AO$103))</f>
        <v>1.5205527447148294E-2</v>
      </c>
      <c r="AO86" s="786">
        <f>AN86*H86</f>
        <v>0.36174991281441748</v>
      </c>
      <c r="AP86" s="787"/>
      <c r="AQ86" s="788"/>
      <c r="AR86" s="786"/>
      <c r="AS86" s="788"/>
      <c r="AT86" s="793"/>
      <c r="AU86" s="788"/>
    </row>
    <row r="87" spans="3:47" ht="15">
      <c r="C87" s="439"/>
      <c r="D87" s="438"/>
      <c r="E87" s="438"/>
      <c r="F87" s="388" t="s">
        <v>1261</v>
      </c>
      <c r="G87" s="438"/>
      <c r="H87" s="709"/>
      <c r="I87" s="709"/>
      <c r="J87" s="709"/>
      <c r="K87" s="709"/>
      <c r="L87" s="709"/>
      <c r="M87" s="709"/>
      <c r="N87" s="709"/>
      <c r="O87" s="709"/>
      <c r="P87" s="709"/>
      <c r="Q87" s="709"/>
      <c r="R87" s="709"/>
      <c r="S87" s="709"/>
      <c r="T87" s="709"/>
      <c r="U87" s="709"/>
      <c r="V87" s="709"/>
      <c r="W87" s="709"/>
      <c r="X87" s="709"/>
      <c r="Y87" s="709"/>
      <c r="Z87" s="709"/>
      <c r="AA87" s="709"/>
      <c r="AB87" s="709"/>
      <c r="AC87" s="709"/>
      <c r="AD87" s="709"/>
      <c r="AE87" s="709"/>
      <c r="AF87" s="709"/>
      <c r="AG87" s="709"/>
      <c r="AH87" s="709"/>
      <c r="AI87" s="709"/>
      <c r="AJ87" s="438"/>
      <c r="AK87" s="438"/>
      <c r="AL87" s="710"/>
      <c r="AN87" s="767"/>
      <c r="AO87" s="764"/>
      <c r="AP87" s="771"/>
      <c r="AQ87" s="768"/>
      <c r="AR87" s="764"/>
      <c r="AS87" s="768"/>
      <c r="AT87" s="792"/>
      <c r="AU87" s="768"/>
    </row>
    <row r="88" spans="3:47">
      <c r="C88" s="290"/>
      <c r="D88" s="290"/>
      <c r="E88" s="290"/>
      <c r="F88" s="372" t="s">
        <v>934</v>
      </c>
      <c r="G88" s="290"/>
      <c r="H88" s="713"/>
      <c r="I88" s="713"/>
      <c r="J88" s="713"/>
      <c r="K88" s="713"/>
      <c r="L88" s="713"/>
      <c r="M88" s="713"/>
      <c r="N88" s="713"/>
      <c r="O88" s="713"/>
      <c r="P88" s="713"/>
      <c r="Q88" s="713"/>
      <c r="R88" s="713"/>
      <c r="S88" s="713"/>
      <c r="T88" s="713"/>
      <c r="U88" s="713"/>
      <c r="V88" s="713"/>
      <c r="W88" s="713"/>
      <c r="X88" s="713"/>
      <c r="Y88" s="713"/>
      <c r="Z88" s="713"/>
      <c r="AA88" s="713"/>
      <c r="AB88" s="713"/>
      <c r="AC88" s="713"/>
      <c r="AD88" s="713"/>
      <c r="AE88" s="713"/>
      <c r="AF88" s="713"/>
      <c r="AG88" s="713"/>
      <c r="AH88" s="713"/>
      <c r="AI88" s="713"/>
      <c r="AJ88" s="290"/>
      <c r="AK88" s="290"/>
      <c r="AL88" s="714">
        <f>AP88</f>
        <v>1.0453510100662027E-2</v>
      </c>
      <c r="AN88" s="767"/>
      <c r="AO88" s="764"/>
      <c r="AP88" s="771">
        <f>BS46*(1+AQ103)</f>
        <v>1.0453510100662027E-2</v>
      </c>
      <c r="AQ88" s="768">
        <f>AP88*H86</f>
        <v>0.24869616530325156</v>
      </c>
      <c r="AR88" s="764"/>
      <c r="AS88" s="768"/>
      <c r="AT88" s="792"/>
      <c r="AU88" s="768"/>
    </row>
    <row r="89" spans="3:47">
      <c r="C89" s="439"/>
      <c r="D89" s="438"/>
      <c r="E89" s="438"/>
      <c r="F89" s="711" t="s">
        <v>935</v>
      </c>
      <c r="G89" s="438"/>
      <c r="H89" s="709"/>
      <c r="I89" s="709"/>
      <c r="J89" s="709"/>
      <c r="K89" s="709"/>
      <c r="L89" s="709"/>
      <c r="M89" s="709"/>
      <c r="N89" s="709"/>
      <c r="O89" s="709"/>
      <c r="P89" s="709"/>
      <c r="Q89" s="709"/>
      <c r="R89" s="709"/>
      <c r="S89" s="709"/>
      <c r="T89" s="709"/>
      <c r="U89" s="709"/>
      <c r="V89" s="709"/>
      <c r="W89" s="709"/>
      <c r="X89" s="709"/>
      <c r="Y89" s="709"/>
      <c r="Z89" s="709"/>
      <c r="AA89" s="709"/>
      <c r="AB89" s="709"/>
      <c r="AC89" s="709"/>
      <c r="AD89" s="709"/>
      <c r="AE89" s="709"/>
      <c r="AF89" s="709"/>
      <c r="AG89" s="709"/>
      <c r="AH89" s="709"/>
      <c r="AI89" s="709"/>
      <c r="AJ89" s="438"/>
      <c r="AK89" s="438"/>
      <c r="AL89" s="710">
        <f>AR89</f>
        <v>5.7818254403052159E-4</v>
      </c>
      <c r="AN89" s="767"/>
      <c r="AO89" s="764"/>
      <c r="AP89" s="771"/>
      <c r="AQ89" s="768"/>
      <c r="AR89" s="764">
        <f>BT46*(1+AS103)</f>
        <v>5.7818254403052159E-4</v>
      </c>
      <c r="AS89" s="768">
        <f>AR89*H86</f>
        <v>1.3755358741803168E-2</v>
      </c>
      <c r="AT89" s="792"/>
      <c r="AU89" s="768"/>
    </row>
    <row r="90" spans="3:47" ht="13.5" thickBot="1">
      <c r="C90" s="606"/>
      <c r="D90" s="606"/>
      <c r="E90" s="606"/>
      <c r="F90" s="716" t="s">
        <v>936</v>
      </c>
      <c r="G90" s="606"/>
      <c r="H90" s="608"/>
      <c r="I90" s="608"/>
      <c r="J90" s="608"/>
      <c r="K90" s="608"/>
      <c r="L90" s="608"/>
      <c r="M90" s="608"/>
      <c r="N90" s="608"/>
      <c r="O90" s="608"/>
      <c r="P90" s="608"/>
      <c r="Q90" s="608"/>
      <c r="R90" s="608"/>
      <c r="S90" s="608"/>
      <c r="T90" s="608"/>
      <c r="U90" s="608"/>
      <c r="V90" s="608"/>
      <c r="W90" s="608"/>
      <c r="X90" s="608"/>
      <c r="Y90" s="608"/>
      <c r="Z90" s="608"/>
      <c r="AA90" s="608"/>
      <c r="AB90" s="608"/>
      <c r="AC90" s="608"/>
      <c r="AD90" s="608"/>
      <c r="AE90" s="608"/>
      <c r="AF90" s="608"/>
      <c r="AG90" s="608"/>
      <c r="AH90" s="608"/>
      <c r="AI90" s="608"/>
      <c r="AJ90" s="606"/>
      <c r="AK90" s="606"/>
      <c r="AL90" s="715">
        <f>AT90</f>
        <v>6.8772844959848073E-5</v>
      </c>
      <c r="AN90" s="789"/>
      <c r="AO90" s="769"/>
      <c r="AP90" s="790"/>
      <c r="AQ90" s="770"/>
      <c r="AR90" s="769"/>
      <c r="AS90" s="770"/>
      <c r="AT90" s="791">
        <f>BU46*(1+AU103)</f>
        <v>6.8772844959848073E-5</v>
      </c>
      <c r="AU90" s="770">
        <f>AT90*H86</f>
        <v>1.6361530867441444E-3</v>
      </c>
    </row>
    <row r="91" spans="3:47">
      <c r="C91" s="602" t="str">
        <f>AY22</f>
        <v>R-BLD_Apt_F</v>
      </c>
      <c r="D91" s="603" t="str">
        <f>AZ22</f>
        <v>Residential Building Apartment _ F</v>
      </c>
      <c r="E91" s="603">
        <v>2018</v>
      </c>
      <c r="F91" s="602" t="str">
        <f>COMM!O21</f>
        <v>RSDSH_Apt-F</v>
      </c>
      <c r="G91" s="603" t="s">
        <v>933</v>
      </c>
      <c r="H91" s="605">
        <f>BG15/1000</f>
        <v>8.010799397286851</v>
      </c>
      <c r="I91" s="605">
        <f>DwellingStocks!I41/1000</f>
        <v>6.9319694957514028E-2</v>
      </c>
      <c r="J91" s="605">
        <f>DwellingStocks!L41/1000</f>
        <v>4.1345521230291489</v>
      </c>
      <c r="K91" s="605">
        <f>DwellingStocks!O41/1000</f>
        <v>0.30040570250773829</v>
      </c>
      <c r="L91" s="605">
        <f>DwellingStocks!R41/1000</f>
        <v>7.1250404064197026E-2</v>
      </c>
      <c r="M91" s="605">
        <f>DwellingStocks!U41/1000</f>
        <v>5.2336783396614545E-2</v>
      </c>
      <c r="N91" s="605">
        <f>DwellingStocks!X41/1000</f>
        <v>2.9877742301367013E-2</v>
      </c>
      <c r="O91" s="605">
        <f>DwellingStocks!AA41/1000</f>
        <v>0.11338843394910056</v>
      </c>
      <c r="P91" s="605">
        <f>DwellingStocks!AD41/1000</f>
        <v>0.12242946176715254</v>
      </c>
      <c r="Q91" s="605">
        <f>DwellingStocks!AG41/1000</f>
        <v>9.3046576554907723E-2</v>
      </c>
      <c r="R91" s="605">
        <f>DwellingStocks!AJ41/1000</f>
        <v>0.15281705224212502</v>
      </c>
      <c r="S91" s="605">
        <f>DwellingStocks!AM41/1000</f>
        <v>0.16236610528460496</v>
      </c>
      <c r="T91" s="605">
        <f>DwellingStocks!AP41/1000</f>
        <v>0.1520006953525892</v>
      </c>
      <c r="U91" s="605">
        <f>DwellingStocks!AS41/1000</f>
        <v>0.12215389118921291</v>
      </c>
      <c r="V91" s="605">
        <f>DwellingStocks!AV41/1000</f>
        <v>0.74218637223344819</v>
      </c>
      <c r="W91" s="605">
        <f>DwellingStocks!AY41/1000</f>
        <v>0.12405761854838453</v>
      </c>
      <c r="X91" s="605">
        <f>DwellingStocks!BB41/1000</f>
        <v>0.26922920279309398</v>
      </c>
      <c r="Y91" s="605">
        <f>DwellingStocks!BE41/1000</f>
        <v>0.18914234791719151</v>
      </c>
      <c r="Z91" s="605">
        <f>DwellingStocks!BH41/1000</f>
        <v>0.1461446409222989</v>
      </c>
      <c r="AA91" s="605">
        <f>DwellingStocks!BK41/1000</f>
        <v>0.47208420932670014</v>
      </c>
      <c r="AB91" s="605">
        <f>DwellingStocks!BN41/1000</f>
        <v>2.5518049460303505E-2</v>
      </c>
      <c r="AC91" s="605">
        <f>DwellingStocks!BQ41/1000</f>
        <v>0.1197980189532255</v>
      </c>
      <c r="AD91" s="605">
        <f>DwellingStocks!BT41/1000</f>
        <v>3.3270459332903575E-2</v>
      </c>
      <c r="AE91" s="605">
        <f>DwellingStocks!BW41/1000</f>
        <v>6.4961020640404266E-2</v>
      </c>
      <c r="AF91" s="605">
        <f>DwellingStocks!BZ41/1000</f>
        <v>7.0470499829528299E-2</v>
      </c>
      <c r="AG91" s="605">
        <f>DwellingStocks!CC41/1000</f>
        <v>0.11308091127388045</v>
      </c>
      <c r="AH91" s="605">
        <f>DwellingStocks!CF41/1000</f>
        <v>6.4911379459214755E-2</v>
      </c>
      <c r="AI91" s="605">
        <v>1</v>
      </c>
      <c r="AJ91" s="603">
        <f>BP33</f>
        <v>87.56</v>
      </c>
      <c r="AK91" s="603">
        <v>1</v>
      </c>
      <c r="AL91" s="707">
        <f>AN91</f>
        <v>2.0667534119407107E-2</v>
      </c>
      <c r="AN91" s="785">
        <f>ABS(BR47*DwellingStocks!W25*(1+$AO$103))</f>
        <v>2.0667534119407107E-2</v>
      </c>
      <c r="AO91" s="786">
        <f>AN91*H91</f>
        <v>0.16556346986715187</v>
      </c>
      <c r="AP91" s="771"/>
      <c r="AQ91" s="768"/>
      <c r="AR91" s="764"/>
      <c r="AS91" s="768"/>
      <c r="AT91" s="792"/>
      <c r="AU91" s="768"/>
    </row>
    <row r="92" spans="3:47" ht="15">
      <c r="C92" s="439"/>
      <c r="D92" s="438"/>
      <c r="E92" s="438"/>
      <c r="F92" s="388" t="s">
        <v>1280</v>
      </c>
      <c r="G92" s="438"/>
      <c r="H92" s="709"/>
      <c r="I92" s="709"/>
      <c r="J92" s="709"/>
      <c r="K92" s="709"/>
      <c r="L92" s="709"/>
      <c r="M92" s="709"/>
      <c r="N92" s="709"/>
      <c r="O92" s="709"/>
      <c r="P92" s="709"/>
      <c r="Q92" s="709"/>
      <c r="R92" s="709"/>
      <c r="S92" s="709"/>
      <c r="T92" s="709"/>
      <c r="U92" s="709"/>
      <c r="V92" s="709"/>
      <c r="W92" s="709"/>
      <c r="X92" s="709"/>
      <c r="Y92" s="709"/>
      <c r="Z92" s="709"/>
      <c r="AA92" s="709"/>
      <c r="AB92" s="709"/>
      <c r="AC92" s="709"/>
      <c r="AD92" s="709"/>
      <c r="AE92" s="709"/>
      <c r="AF92" s="709"/>
      <c r="AG92" s="709"/>
      <c r="AH92" s="709"/>
      <c r="AI92" s="709"/>
      <c r="AJ92" s="438"/>
      <c r="AK92" s="438"/>
      <c r="AL92" s="710"/>
      <c r="AN92" s="767"/>
      <c r="AO92" s="764"/>
      <c r="AP92" s="771"/>
      <c r="AQ92" s="768"/>
      <c r="AR92" s="764"/>
      <c r="AS92" s="768"/>
      <c r="AT92" s="792"/>
      <c r="AU92" s="768"/>
    </row>
    <row r="93" spans="3:47">
      <c r="C93" s="290"/>
      <c r="D93" s="290"/>
      <c r="E93" s="290"/>
      <c r="F93" s="372" t="s">
        <v>934</v>
      </c>
      <c r="G93" s="290"/>
      <c r="H93" s="713"/>
      <c r="I93" s="713"/>
      <c r="J93" s="713"/>
      <c r="K93" s="713"/>
      <c r="L93" s="713"/>
      <c r="M93" s="713"/>
      <c r="N93" s="713"/>
      <c r="O93" s="713"/>
      <c r="P93" s="713"/>
      <c r="Q93" s="713"/>
      <c r="R93" s="713"/>
      <c r="S93" s="713"/>
      <c r="T93" s="713"/>
      <c r="U93" s="713"/>
      <c r="V93" s="713"/>
      <c r="W93" s="713"/>
      <c r="X93" s="713"/>
      <c r="Y93" s="713"/>
      <c r="Z93" s="713"/>
      <c r="AA93" s="713"/>
      <c r="AB93" s="713"/>
      <c r="AC93" s="713"/>
      <c r="AD93" s="713"/>
      <c r="AE93" s="713"/>
      <c r="AF93" s="713"/>
      <c r="AG93" s="713"/>
      <c r="AH93" s="713"/>
      <c r="AI93" s="713"/>
      <c r="AJ93" s="290"/>
      <c r="AK93" s="290"/>
      <c r="AL93" s="714">
        <f>AP93</f>
        <v>1.0587812543709432E-2</v>
      </c>
      <c r="AN93" s="767"/>
      <c r="AO93" s="764"/>
      <c r="AP93" s="771">
        <f>BS47*(1+AQ103)</f>
        <v>1.0587812543709432E-2</v>
      </c>
      <c r="AQ93" s="768">
        <f>AP93*H91</f>
        <v>8.4816842343733684E-2</v>
      </c>
      <c r="AR93" s="764"/>
      <c r="AS93" s="768"/>
      <c r="AT93" s="792"/>
      <c r="AU93" s="768"/>
    </row>
    <row r="94" spans="3:47">
      <c r="C94" s="439"/>
      <c r="D94" s="438"/>
      <c r="E94" s="438"/>
      <c r="F94" s="711" t="s">
        <v>935</v>
      </c>
      <c r="G94" s="438"/>
      <c r="H94" s="709"/>
      <c r="I94" s="709"/>
      <c r="J94" s="709"/>
      <c r="K94" s="709"/>
      <c r="L94" s="709"/>
      <c r="M94" s="709"/>
      <c r="N94" s="709"/>
      <c r="O94" s="709"/>
      <c r="P94" s="709"/>
      <c r="Q94" s="709"/>
      <c r="R94" s="709"/>
      <c r="S94" s="709"/>
      <c r="T94" s="709"/>
      <c r="U94" s="709"/>
      <c r="V94" s="709"/>
      <c r="W94" s="709"/>
      <c r="X94" s="709"/>
      <c r="Y94" s="709"/>
      <c r="Z94" s="709"/>
      <c r="AA94" s="709"/>
      <c r="AB94" s="709"/>
      <c r="AC94" s="709"/>
      <c r="AD94" s="709"/>
      <c r="AE94" s="709"/>
      <c r="AF94" s="709"/>
      <c r="AG94" s="709"/>
      <c r="AH94" s="709"/>
      <c r="AI94" s="709"/>
      <c r="AJ94" s="438"/>
      <c r="AK94" s="438"/>
      <c r="AL94" s="710">
        <f>AR94</f>
        <v>5.4383545961847826E-4</v>
      </c>
      <c r="AN94" s="767"/>
      <c r="AO94" s="764"/>
      <c r="AP94" s="771"/>
      <c r="AQ94" s="768"/>
      <c r="AR94" s="764">
        <f>BT47*(1+AS103)</f>
        <v>5.4383545961847826E-4</v>
      </c>
      <c r="AS94" s="768">
        <f>AR94*H91</f>
        <v>4.356556772134923E-3</v>
      </c>
      <c r="AT94" s="792"/>
      <c r="AU94" s="768"/>
    </row>
    <row r="95" spans="3:47" ht="13.5" thickBot="1">
      <c r="C95" s="606"/>
      <c r="D95" s="606"/>
      <c r="E95" s="606"/>
      <c r="F95" s="716" t="s">
        <v>936</v>
      </c>
      <c r="G95" s="606"/>
      <c r="H95" s="608"/>
      <c r="I95" s="608"/>
      <c r="J95" s="608"/>
      <c r="K95" s="608"/>
      <c r="L95" s="608"/>
      <c r="M95" s="608"/>
      <c r="N95" s="608"/>
      <c r="O95" s="608"/>
      <c r="P95" s="608"/>
      <c r="Q95" s="608"/>
      <c r="R95" s="608"/>
      <c r="S95" s="608"/>
      <c r="T95" s="608"/>
      <c r="U95" s="608"/>
      <c r="V95" s="608"/>
      <c r="W95" s="608"/>
      <c r="X95" s="608"/>
      <c r="Y95" s="608"/>
      <c r="Z95" s="608"/>
      <c r="AA95" s="608"/>
      <c r="AB95" s="608"/>
      <c r="AC95" s="608"/>
      <c r="AD95" s="608"/>
      <c r="AE95" s="608"/>
      <c r="AF95" s="608"/>
      <c r="AG95" s="608"/>
      <c r="AH95" s="608"/>
      <c r="AI95" s="608"/>
      <c r="AJ95" s="606"/>
      <c r="AK95" s="606"/>
      <c r="AL95" s="715">
        <f>AT95</f>
        <v>8.4437648170822656E-5</v>
      </c>
      <c r="AN95" s="767"/>
      <c r="AO95" s="764"/>
      <c r="AP95" s="771"/>
      <c r="AQ95" s="768"/>
      <c r="AR95" s="764"/>
      <c r="AS95" s="768"/>
      <c r="AT95" s="792">
        <f>BU47*(1+AU103)</f>
        <v>8.4437648170822656E-5</v>
      </c>
      <c r="AU95" s="768">
        <f>AT95*H91</f>
        <v>6.7641306107514532E-4</v>
      </c>
    </row>
    <row r="96" spans="3:47">
      <c r="C96" s="602" t="str">
        <f>AY23</f>
        <v>R-BLD_Apt_G</v>
      </c>
      <c r="D96" s="603" t="str">
        <f>AZ23</f>
        <v>Residential Building Apartment _ G</v>
      </c>
      <c r="E96" s="603">
        <v>2018</v>
      </c>
      <c r="F96" s="602" t="str">
        <f>COMM!O24</f>
        <v>RSDSH_Apt-G</v>
      </c>
      <c r="G96" s="603" t="s">
        <v>933</v>
      </c>
      <c r="H96" s="605">
        <f>BG16/1000</f>
        <v>8.6581263084211155</v>
      </c>
      <c r="I96" s="605">
        <f>DwellingStocks!I42/1000</f>
        <v>7.8651192355640928E-2</v>
      </c>
      <c r="J96" s="605">
        <f>DwellingStocks!L42/1000</f>
        <v>3.9209529144305266</v>
      </c>
      <c r="K96" s="605">
        <f>DwellingStocks!O42/1000</f>
        <v>0.25499553817517318</v>
      </c>
      <c r="L96" s="605">
        <f>DwellingStocks!R42/1000</f>
        <v>0.11101807144886515</v>
      </c>
      <c r="M96" s="605">
        <f>DwellingStocks!U42/1000</f>
        <v>8.014069957606601E-2</v>
      </c>
      <c r="N96" s="605">
        <f>DwellingStocks!X42/1000</f>
        <v>4.0633729529859136E-2</v>
      </c>
      <c r="O96" s="605">
        <f>DwellingStocks!AA42/1000</f>
        <v>0.12978194247186209</v>
      </c>
      <c r="P96" s="605">
        <f>DwellingStocks!AD42/1000</f>
        <v>0.13292341563290846</v>
      </c>
      <c r="Q96" s="605">
        <f>DwellingStocks!AG42/1000</f>
        <v>9.4623637174482425E-2</v>
      </c>
      <c r="R96" s="605">
        <f>DwellingStocks!AJ42/1000</f>
        <v>0.11959595392861957</v>
      </c>
      <c r="S96" s="605">
        <f>DwellingStocks!AM42/1000</f>
        <v>0.19188721533635131</v>
      </c>
      <c r="T96" s="605">
        <f>DwellingStocks!AP42/1000</f>
        <v>0.26136704932579358</v>
      </c>
      <c r="U96" s="605">
        <f>DwellingStocks!AS42/1000</f>
        <v>0.18644541286774602</v>
      </c>
      <c r="V96" s="605">
        <f>DwellingStocks!AV42/1000</f>
        <v>1.0711467075246925</v>
      </c>
      <c r="W96" s="605">
        <f>DwellingStocks!AY42/1000</f>
        <v>0.1904723032258025</v>
      </c>
      <c r="X96" s="605">
        <f>DwellingStocks!BB42/1000</f>
        <v>0.31955241826843866</v>
      </c>
      <c r="Y96" s="605">
        <f>DwellingStocks!BE42/1000</f>
        <v>0.31086762132924545</v>
      </c>
      <c r="Z96" s="605">
        <f>DwellingStocks!BH42/1000</f>
        <v>0.17654272623413705</v>
      </c>
      <c r="AA96" s="605">
        <f>DwellingStocks!BK42/1000</f>
        <v>0.34573225918337741</v>
      </c>
      <c r="AB96" s="605">
        <f>DwellingStocks!BN42/1000</f>
        <v>2.4497327481891363E-2</v>
      </c>
      <c r="AC96" s="605">
        <f>DwellingStocks!BQ42/1000</f>
        <v>0.13219091746562814</v>
      </c>
      <c r="AD96" s="605">
        <f>DwellingStocks!BT42/1000</f>
        <v>5.6303854255682975E-2</v>
      </c>
      <c r="AE96" s="605">
        <f>DwellingStocks!BW42/1000</f>
        <v>4.3892581513786666E-2</v>
      </c>
      <c r="AF96" s="605">
        <f>DwellingStocks!BZ42/1000</f>
        <v>8.4564599795433945E-2</v>
      </c>
      <c r="AG96" s="605">
        <f>DwellingStocks!CC42/1000</f>
        <v>0.1370677712410672</v>
      </c>
      <c r="AH96" s="605">
        <f>DwellingStocks!CF42/1000</f>
        <v>0.16227844864803692</v>
      </c>
      <c r="AI96" s="605">
        <v>1</v>
      </c>
      <c r="AJ96" s="603">
        <f>BP34</f>
        <v>66.400000000000006</v>
      </c>
      <c r="AK96" s="603">
        <v>1</v>
      </c>
      <c r="AL96" s="707">
        <f>AN96</f>
        <v>2.497409406685069E-2</v>
      </c>
      <c r="AN96" s="785">
        <f>ABS(BR48*DwellingStocks!W26*(1+$AO$103))</f>
        <v>2.497409406685069E-2</v>
      </c>
      <c r="AO96" s="786">
        <f>AN96*H96</f>
        <v>0.21622886086918366</v>
      </c>
      <c r="AP96" s="787"/>
      <c r="AQ96" s="788"/>
      <c r="AR96" s="786"/>
      <c r="AS96" s="788"/>
      <c r="AT96" s="793"/>
      <c r="AU96" s="788"/>
    </row>
    <row r="97" spans="3:47" ht="15">
      <c r="C97" s="439"/>
      <c r="D97" s="438"/>
      <c r="E97" s="438"/>
      <c r="F97" s="388" t="s">
        <v>1280</v>
      </c>
      <c r="G97" s="438"/>
      <c r="H97" s="709"/>
      <c r="I97" s="709"/>
      <c r="J97" s="709"/>
      <c r="K97" s="709"/>
      <c r="L97" s="709"/>
      <c r="M97" s="709"/>
      <c r="N97" s="709"/>
      <c r="O97" s="709"/>
      <c r="P97" s="709"/>
      <c r="Q97" s="709"/>
      <c r="R97" s="709"/>
      <c r="S97" s="709"/>
      <c r="T97" s="709"/>
      <c r="U97" s="709"/>
      <c r="V97" s="709"/>
      <c r="W97" s="709"/>
      <c r="X97" s="709"/>
      <c r="Y97" s="709"/>
      <c r="Z97" s="709"/>
      <c r="AA97" s="709"/>
      <c r="AB97" s="709"/>
      <c r="AC97" s="709"/>
      <c r="AD97" s="709"/>
      <c r="AE97" s="709"/>
      <c r="AF97" s="709"/>
      <c r="AG97" s="709"/>
      <c r="AH97" s="709"/>
      <c r="AI97" s="709"/>
      <c r="AJ97" s="438"/>
      <c r="AK97" s="438"/>
      <c r="AL97" s="710"/>
      <c r="AN97" s="317"/>
      <c r="AP97" s="317"/>
      <c r="AQ97" s="336"/>
      <c r="AR97" s="764"/>
      <c r="AS97" s="768"/>
      <c r="AT97" s="792"/>
      <c r="AU97" s="336"/>
    </row>
    <row r="98" spans="3:47">
      <c r="C98" s="290"/>
      <c r="D98" s="290"/>
      <c r="E98" s="290"/>
      <c r="F98" s="372" t="s">
        <v>934</v>
      </c>
      <c r="G98" s="290"/>
      <c r="H98" s="713"/>
      <c r="I98" s="713"/>
      <c r="J98" s="713"/>
      <c r="K98" s="713"/>
      <c r="L98" s="713"/>
      <c r="M98" s="713"/>
      <c r="N98" s="713"/>
      <c r="O98" s="713"/>
      <c r="P98" s="713"/>
      <c r="Q98" s="713"/>
      <c r="R98" s="713"/>
      <c r="S98" s="713"/>
      <c r="T98" s="713"/>
      <c r="U98" s="713"/>
      <c r="V98" s="713"/>
      <c r="W98" s="713"/>
      <c r="X98" s="713"/>
      <c r="Y98" s="713"/>
      <c r="Z98" s="713"/>
      <c r="AA98" s="713"/>
      <c r="AB98" s="713"/>
      <c r="AC98" s="713"/>
      <c r="AD98" s="713"/>
      <c r="AE98" s="713"/>
      <c r="AF98" s="713"/>
      <c r="AG98" s="713"/>
      <c r="AH98" s="713"/>
      <c r="AI98" s="713"/>
      <c r="AJ98" s="290"/>
      <c r="AK98" s="290"/>
      <c r="AL98" s="714">
        <f>AP98</f>
        <v>1.0110928179691394E-2</v>
      </c>
      <c r="AN98" s="317"/>
      <c r="AP98" s="771">
        <f>BS48*(1+AQ103)</f>
        <v>1.0110928179691394E-2</v>
      </c>
      <c r="AQ98" s="768">
        <f>AP98*H96</f>
        <v>8.7541693275142482E-2</v>
      </c>
      <c r="AR98" s="764"/>
      <c r="AS98" s="768"/>
      <c r="AT98" s="792"/>
      <c r="AU98" s="336"/>
    </row>
    <row r="99" spans="3:47">
      <c r="C99" s="439"/>
      <c r="D99" s="438"/>
      <c r="E99" s="438"/>
      <c r="F99" s="711" t="s">
        <v>935</v>
      </c>
      <c r="G99" s="438"/>
      <c r="H99" s="709"/>
      <c r="I99" s="709"/>
      <c r="J99" s="709"/>
      <c r="K99" s="709"/>
      <c r="L99" s="709"/>
      <c r="M99" s="709"/>
      <c r="N99" s="709"/>
      <c r="O99" s="709"/>
      <c r="P99" s="709"/>
      <c r="Q99" s="709"/>
      <c r="R99" s="709"/>
      <c r="S99" s="709"/>
      <c r="T99" s="709"/>
      <c r="U99" s="709"/>
      <c r="V99" s="709"/>
      <c r="W99" s="709"/>
      <c r="X99" s="709"/>
      <c r="Y99" s="709"/>
      <c r="Z99" s="709"/>
      <c r="AA99" s="709"/>
      <c r="AB99" s="709"/>
      <c r="AC99" s="709"/>
      <c r="AD99" s="709"/>
      <c r="AE99" s="709"/>
      <c r="AF99" s="709"/>
      <c r="AG99" s="709"/>
      <c r="AH99" s="709"/>
      <c r="AI99" s="709"/>
      <c r="AJ99" s="438"/>
      <c r="AK99" s="438"/>
      <c r="AL99" s="710">
        <f>AR99</f>
        <v>5.2468348221493071E-4</v>
      </c>
      <c r="AN99" s="317"/>
      <c r="AP99" s="772"/>
      <c r="AQ99" s="773"/>
      <c r="AR99" s="764">
        <f>BT48*(1+AS103)</f>
        <v>5.2468348221493071E-4</v>
      </c>
      <c r="AS99" s="768">
        <f>AR99*H96</f>
        <v>4.5427758609590937E-3</v>
      </c>
      <c r="AT99" s="792"/>
      <c r="AU99" s="336"/>
    </row>
    <row r="100" spans="3:47" ht="13.5" thickBot="1">
      <c r="C100" s="606"/>
      <c r="D100" s="606"/>
      <c r="E100" s="606"/>
      <c r="F100" s="716" t="s">
        <v>936</v>
      </c>
      <c r="G100" s="606"/>
      <c r="H100" s="608"/>
      <c r="I100" s="608"/>
      <c r="J100" s="608"/>
      <c r="K100" s="608"/>
      <c r="L100" s="608"/>
      <c r="M100" s="608"/>
      <c r="N100" s="608"/>
      <c r="O100" s="608"/>
      <c r="P100" s="608"/>
      <c r="Q100" s="608"/>
      <c r="R100" s="608"/>
      <c r="S100" s="608"/>
      <c r="T100" s="608"/>
      <c r="U100" s="608"/>
      <c r="V100" s="608"/>
      <c r="W100" s="608"/>
      <c r="X100" s="608"/>
      <c r="Y100" s="608"/>
      <c r="Z100" s="608"/>
      <c r="AA100" s="608"/>
      <c r="AB100" s="608"/>
      <c r="AC100" s="608"/>
      <c r="AD100" s="608"/>
      <c r="AE100" s="608"/>
      <c r="AF100" s="608"/>
      <c r="AG100" s="608"/>
      <c r="AH100" s="608"/>
      <c r="AI100" s="608"/>
      <c r="AJ100" s="606"/>
      <c r="AK100" s="606"/>
      <c r="AL100" s="715">
        <f>AT100</f>
        <v>7.1060131583978265E-5</v>
      </c>
      <c r="AN100" s="328"/>
      <c r="AO100" s="760"/>
      <c r="AP100" s="774"/>
      <c r="AQ100" s="775"/>
      <c r="AR100" s="769"/>
      <c r="AS100" s="770"/>
      <c r="AT100" s="791">
        <f>BU48*(1+AU103)</f>
        <v>7.1060131583978265E-5</v>
      </c>
      <c r="AU100" s="770">
        <f>AT100*H96</f>
        <v>6.1524759474710841E-4</v>
      </c>
    </row>
    <row r="101" spans="3:47">
      <c r="C101" s="372" t="s">
        <v>252</v>
      </c>
      <c r="D101" s="290"/>
      <c r="E101" s="290"/>
      <c r="F101" s="372"/>
      <c r="G101" s="290"/>
      <c r="H101" s="713"/>
      <c r="I101" s="713"/>
      <c r="J101" s="713"/>
      <c r="K101" s="713"/>
      <c r="L101" s="713"/>
      <c r="M101" s="713"/>
      <c r="N101" s="713"/>
      <c r="O101" s="713"/>
      <c r="P101" s="713"/>
      <c r="Q101" s="713"/>
      <c r="R101" s="713"/>
      <c r="S101" s="713"/>
      <c r="T101" s="713"/>
      <c r="U101" s="713"/>
      <c r="V101" s="713"/>
      <c r="W101" s="713"/>
      <c r="X101" s="713"/>
      <c r="Y101" s="713"/>
      <c r="Z101" s="713"/>
      <c r="AA101" s="713"/>
      <c r="AB101" s="713"/>
      <c r="AC101" s="713"/>
      <c r="AD101" s="713"/>
      <c r="AE101" s="713"/>
      <c r="AF101" s="713"/>
      <c r="AG101" s="713"/>
      <c r="AH101" s="713"/>
      <c r="AI101" s="713"/>
      <c r="AJ101" s="290"/>
      <c r="AK101" s="290"/>
      <c r="AL101" s="714"/>
      <c r="AN101" s="326" t="s">
        <v>927</v>
      </c>
      <c r="AO101" s="316">
        <f>'SHWLP-Apt'!AC27</f>
        <v>2.5192733611890632</v>
      </c>
      <c r="AP101" s="320"/>
      <c r="AQ101" s="321">
        <f>'SHWLP-Apt'!AC54</f>
        <v>2.4212759575908409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2" t="s">
        <v>252</v>
      </c>
      <c r="D102" s="290"/>
      <c r="E102" s="290"/>
      <c r="F102" s="372"/>
      <c r="G102" s="290"/>
      <c r="H102" s="713"/>
      <c r="I102" s="713"/>
      <c r="J102" s="713"/>
      <c r="K102" s="713"/>
      <c r="L102" s="713"/>
      <c r="M102" s="713"/>
      <c r="N102" s="713"/>
      <c r="O102" s="713"/>
      <c r="P102" s="713"/>
      <c r="Q102" s="713"/>
      <c r="R102" s="713"/>
      <c r="S102" s="713"/>
      <c r="T102" s="713"/>
      <c r="U102" s="713"/>
      <c r="V102" s="713"/>
      <c r="W102" s="713"/>
      <c r="X102" s="713"/>
      <c r="Y102" s="713"/>
      <c r="Z102" s="713"/>
      <c r="AA102" s="713"/>
      <c r="AB102" s="713"/>
      <c r="AC102" s="713"/>
      <c r="AD102" s="713"/>
      <c r="AE102" s="713"/>
      <c r="AF102" s="713"/>
      <c r="AG102" s="713"/>
      <c r="AH102" s="713"/>
      <c r="AI102" s="713"/>
      <c r="AJ102" s="290"/>
      <c r="AK102" s="290"/>
      <c r="AL102" s="714"/>
      <c r="AN102" s="761" t="s">
        <v>919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2" t="s">
        <v>252</v>
      </c>
      <c r="D103" s="290"/>
      <c r="E103" s="290"/>
      <c r="F103" s="372"/>
      <c r="G103" s="290"/>
      <c r="H103" s="713"/>
      <c r="I103" s="713"/>
      <c r="J103" s="713"/>
      <c r="K103" s="713"/>
      <c r="L103" s="713"/>
      <c r="M103" s="713"/>
      <c r="N103" s="713"/>
      <c r="O103" s="713"/>
      <c r="P103" s="713"/>
      <c r="Q103" s="713"/>
      <c r="R103" s="713"/>
      <c r="S103" s="713"/>
      <c r="T103" s="713"/>
      <c r="U103" s="713"/>
      <c r="V103" s="713"/>
      <c r="W103" s="713"/>
      <c r="X103" s="713"/>
      <c r="Y103" s="713"/>
      <c r="Z103" s="713"/>
      <c r="AA103" s="713"/>
      <c r="AB103" s="713"/>
      <c r="AC103" s="713"/>
      <c r="AD103" s="713"/>
      <c r="AE103" s="713"/>
      <c r="AF103" s="713"/>
      <c r="AG103" s="713"/>
      <c r="AH103" s="713"/>
      <c r="AI103" s="713"/>
      <c r="AJ103" s="290"/>
      <c r="AK103" s="290"/>
      <c r="AL103" s="714"/>
      <c r="AN103" s="762" t="s">
        <v>920</v>
      </c>
      <c r="AO103" s="763">
        <f>((AO101-AO102)/AO102)</f>
        <v>0.3444696502295308</v>
      </c>
      <c r="AP103" s="317"/>
      <c r="AQ103" s="763">
        <f>((AQ101-AQ102)/AQ102)</f>
        <v>0.17697485103954069</v>
      </c>
      <c r="AR103" s="317"/>
      <c r="AS103" s="763">
        <f>((AS101-AS102)/AS102)</f>
        <v>-0.64658229573587223</v>
      </c>
      <c r="AT103" s="317"/>
      <c r="AU103" s="763">
        <f>((AU101-AU102)/AU102)</f>
        <v>-0.48204825952434244</v>
      </c>
    </row>
    <row r="104" spans="3:47">
      <c r="C104" s="372" t="s">
        <v>252</v>
      </c>
      <c r="D104" s="290"/>
      <c r="E104" s="290"/>
      <c r="F104" s="372"/>
      <c r="G104" s="290"/>
      <c r="H104" s="713"/>
      <c r="I104" s="713"/>
      <c r="J104" s="713"/>
      <c r="K104" s="713"/>
      <c r="L104" s="713"/>
      <c r="M104" s="713"/>
      <c r="N104" s="713"/>
      <c r="O104" s="713"/>
      <c r="P104" s="713"/>
      <c r="Q104" s="713"/>
      <c r="R104" s="713"/>
      <c r="S104" s="713"/>
      <c r="T104" s="713"/>
      <c r="U104" s="713"/>
      <c r="V104" s="713"/>
      <c r="W104" s="713"/>
      <c r="X104" s="713"/>
      <c r="Y104" s="713"/>
      <c r="Z104" s="713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290"/>
      <c r="AK104" s="290"/>
      <c r="AL104" s="714"/>
      <c r="AN104" s="761" t="s">
        <v>921</v>
      </c>
      <c r="AO104" s="764">
        <f>SUM(AO56:AO96)</f>
        <v>2.5192733611890632</v>
      </c>
      <c r="AP104" s="317"/>
      <c r="AQ104" s="768">
        <f>SUM(AQ56:AQ100)</f>
        <v>2.4212759575908409</v>
      </c>
      <c r="AR104" s="317"/>
      <c r="AS104" s="768">
        <f>SUM(AS56:AS100)</f>
        <v>0.1373550986903391</v>
      </c>
      <c r="AT104" s="317"/>
      <c r="AU104" s="768">
        <f>SUM(AU56:AU100)</f>
        <v>4.2454837931852542E-2</v>
      </c>
    </row>
    <row r="105" spans="3:47" ht="13.5" thickBot="1">
      <c r="C105" s="372" t="s">
        <v>252</v>
      </c>
      <c r="D105" s="290"/>
      <c r="E105" s="290"/>
      <c r="F105" s="372"/>
      <c r="G105" s="290"/>
      <c r="H105" s="713"/>
      <c r="I105" s="713"/>
      <c r="J105" s="713"/>
      <c r="K105" s="713"/>
      <c r="L105" s="713"/>
      <c r="M105" s="713"/>
      <c r="N105" s="713"/>
      <c r="O105" s="713"/>
      <c r="P105" s="713"/>
      <c r="Q105" s="713"/>
      <c r="R105" s="713"/>
      <c r="S105" s="713"/>
      <c r="T105" s="713"/>
      <c r="U105" s="713"/>
      <c r="V105" s="713"/>
      <c r="W105" s="713"/>
      <c r="X105" s="713"/>
      <c r="Y105" s="713"/>
      <c r="Z105" s="713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290"/>
      <c r="AK105" s="290"/>
      <c r="AL105" s="714"/>
      <c r="AN105" s="765" t="s">
        <v>922</v>
      </c>
      <c r="AO105" s="766">
        <f>((AO101-AO104)/AO104)</f>
        <v>0</v>
      </c>
      <c r="AP105" s="328"/>
      <c r="AQ105" s="777">
        <f>((AQ101-AQ104)/AQ104)</f>
        <v>0</v>
      </c>
      <c r="AR105" s="328"/>
      <c r="AS105" s="777">
        <f>((AS101-AS104)/AS104)</f>
        <v>2.0207168048564845E-16</v>
      </c>
      <c r="AT105" s="328"/>
      <c r="AU105" s="777">
        <f>((AU101-AU104)/AU104)</f>
        <v>3.2688354222646519E-16</v>
      </c>
    </row>
    <row r="106" spans="3:47">
      <c r="C106" s="602" t="str">
        <f>AY24</f>
        <v>R-BLD_Det_A</v>
      </c>
      <c r="D106" s="603" t="str">
        <f>AZ24</f>
        <v>Residential Building Detached _ A</v>
      </c>
      <c r="E106" s="603">
        <v>2018</v>
      </c>
      <c r="F106" s="602" t="str">
        <f>COMM!O11</f>
        <v>RSDSH_Det-AB</v>
      </c>
      <c r="G106" s="603" t="s">
        <v>937</v>
      </c>
      <c r="H106" s="605">
        <f>BI8/1000</f>
        <v>37.364451209178156</v>
      </c>
      <c r="I106" s="605">
        <f>DwellingStocks!K34/1000</f>
        <v>0.47186271023077675</v>
      </c>
      <c r="J106" s="605">
        <f>DwellingStocks!N34/1000</f>
        <v>5.6840158084525259</v>
      </c>
      <c r="K106" s="605">
        <f>DwellingStocks!Q34/1000</f>
        <v>2.5019451434121076</v>
      </c>
      <c r="L106" s="605">
        <f>DwellingStocks!T34/1000</f>
        <v>1.0753594871171821</v>
      </c>
      <c r="M106" s="605">
        <f>DwellingStocks!W34/1000</f>
        <v>0.58013586730971045</v>
      </c>
      <c r="N106" s="605">
        <f>DwellingStocks!Z34/1000</f>
        <v>0.1927775924290504</v>
      </c>
      <c r="O106" s="605">
        <f>DwellingStocks!AC34/1000</f>
        <v>1.2535593006061714</v>
      </c>
      <c r="P106" s="605">
        <f>DwellingStocks!AF34/1000</f>
        <v>3.0851721089169395</v>
      </c>
      <c r="Q106" s="605">
        <f>DwellingStocks!AI34/1000</f>
        <v>0.52551358690336702</v>
      </c>
      <c r="R106" s="605">
        <f>DwellingStocks!AL34/1000</f>
        <v>0.5779383118570991</v>
      </c>
      <c r="S106" s="605">
        <f>DwellingStocks!AO34/1000</f>
        <v>1.5383444077400852</v>
      </c>
      <c r="T106" s="605">
        <f>DwellingStocks!AR34/1000</f>
        <v>1.6026222316292691</v>
      </c>
      <c r="U106" s="605">
        <f>DwellingStocks!AU34/1000</f>
        <v>0.81116295791941484</v>
      </c>
      <c r="V106" s="605">
        <f>DwellingStocks!AX34/1000</f>
        <v>5.3643308783452941</v>
      </c>
      <c r="W106" s="605">
        <f>DwellingStocks!BA34/1000</f>
        <v>1.355416331673154</v>
      </c>
      <c r="X106" s="605">
        <f>DwellingStocks!BD34/1000</f>
        <v>1.1729935073658804</v>
      </c>
      <c r="Y106" s="605">
        <f>DwellingStocks!BG34/1000</f>
        <v>1.0044898081821196</v>
      </c>
      <c r="Z106" s="605">
        <f>DwellingStocks!BJ34/1000</f>
        <v>1.0195610081359703</v>
      </c>
      <c r="AA106" s="605">
        <f>DwellingStocks!BM34/1000</f>
        <v>2.6172747273644483</v>
      </c>
      <c r="AB106" s="605">
        <f>DwellingStocks!BP34/1000</f>
        <v>3.2548855887212125E-2</v>
      </c>
      <c r="AC106" s="605">
        <f>DwellingStocks!BS34/1000</f>
        <v>1.3352338722249208</v>
      </c>
      <c r="AD106" s="605">
        <f>DwellingStocks!BV34/1000</f>
        <v>0.41411948867046905</v>
      </c>
      <c r="AE106" s="605">
        <f>DwellingStocks!BY34/1000</f>
        <v>0.57288829107204087</v>
      </c>
      <c r="AF106" s="605">
        <f>DwellingStocks!CB34/1000</f>
        <v>0.55280668901212782</v>
      </c>
      <c r="AG106" s="605">
        <f>DwellingStocks!CE34/1000</f>
        <v>1.4385044916382623</v>
      </c>
      <c r="AH106" s="605">
        <f>DwellingStocks!CH34/1000</f>
        <v>0.58387374508255463</v>
      </c>
      <c r="AI106" s="605">
        <v>1</v>
      </c>
      <c r="AJ106" s="603">
        <f>BP26</f>
        <v>10000000</v>
      </c>
      <c r="AK106" s="603">
        <v>1</v>
      </c>
      <c r="AL106" s="707">
        <f>AN106</f>
        <v>7.6112338476816126E-3</v>
      </c>
      <c r="AM106" s="1196"/>
      <c r="AN106" s="785">
        <f>ABS(BR69*DwellingStocks!Y18*(1+AO153))</f>
        <v>7.6112338476816126E-3</v>
      </c>
      <c r="AO106" s="786">
        <f>AN106*H106</f>
        <v>0.28438957574334495</v>
      </c>
      <c r="AP106" s="787"/>
      <c r="AQ106" s="788"/>
      <c r="AR106" s="787"/>
      <c r="AS106" s="788"/>
      <c r="AT106" s="786"/>
      <c r="AU106" s="788"/>
    </row>
    <row r="107" spans="3:47">
      <c r="C107" s="439"/>
      <c r="D107" s="438"/>
      <c r="E107" s="438"/>
      <c r="F107" s="711" t="s">
        <v>1279</v>
      </c>
      <c r="G107" s="438"/>
      <c r="H107" s="709"/>
      <c r="I107" s="709"/>
      <c r="J107" s="709"/>
      <c r="K107" s="709"/>
      <c r="L107" s="709"/>
      <c r="M107" s="709"/>
      <c r="N107" s="709"/>
      <c r="O107" s="709"/>
      <c r="P107" s="709"/>
      <c r="Q107" s="709"/>
      <c r="R107" s="709"/>
      <c r="S107" s="709"/>
      <c r="T107" s="709"/>
      <c r="U107" s="709"/>
      <c r="V107" s="709"/>
      <c r="W107" s="709"/>
      <c r="X107" s="709"/>
      <c r="Y107" s="709"/>
      <c r="Z107" s="709"/>
      <c r="AA107" s="709"/>
      <c r="AB107" s="709"/>
      <c r="AC107" s="709"/>
      <c r="AD107" s="709"/>
      <c r="AE107" s="709"/>
      <c r="AF107" s="709"/>
      <c r="AG107" s="709"/>
      <c r="AH107" s="709"/>
      <c r="AI107" s="709"/>
      <c r="AJ107" s="438"/>
      <c r="AK107" s="438"/>
      <c r="AL107" s="710"/>
      <c r="AM107" s="1196"/>
      <c r="AN107" s="767"/>
      <c r="AO107" s="764"/>
      <c r="AP107" s="771"/>
      <c r="AQ107" s="768"/>
      <c r="AR107" s="771"/>
      <c r="AS107" s="768"/>
      <c r="AT107" s="764"/>
      <c r="AU107" s="768"/>
    </row>
    <row r="108" spans="3:47">
      <c r="C108" s="290"/>
      <c r="D108" s="290"/>
      <c r="E108" s="290"/>
      <c r="F108" s="372" t="s">
        <v>938</v>
      </c>
      <c r="G108" s="290"/>
      <c r="H108" s="713"/>
      <c r="I108" s="713"/>
      <c r="J108" s="713"/>
      <c r="K108" s="713"/>
      <c r="L108" s="713"/>
      <c r="M108" s="713"/>
      <c r="N108" s="713"/>
      <c r="O108" s="713"/>
      <c r="P108" s="713"/>
      <c r="Q108" s="713"/>
      <c r="R108" s="713"/>
      <c r="S108" s="713"/>
      <c r="T108" s="713"/>
      <c r="U108" s="713"/>
      <c r="V108" s="713"/>
      <c r="W108" s="713"/>
      <c r="X108" s="713"/>
      <c r="Y108" s="713"/>
      <c r="Z108" s="713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290"/>
      <c r="AK108" s="290"/>
      <c r="AL108" s="714">
        <f>AP108</f>
        <v>7.4342931851627426E-3</v>
      </c>
      <c r="AM108" s="1220"/>
      <c r="AN108" s="767"/>
      <c r="AO108" s="764"/>
      <c r="AP108" s="771">
        <f>BS69*(1+AQ153)</f>
        <v>7.4342931851627426E-3</v>
      </c>
      <c r="AQ108" s="768">
        <f>AP108*H106</f>
        <v>0.27777828499173896</v>
      </c>
      <c r="AR108" s="771"/>
      <c r="AS108" s="768"/>
      <c r="AT108" s="764"/>
      <c r="AU108" s="768"/>
    </row>
    <row r="109" spans="3:47">
      <c r="C109" s="439"/>
      <c r="D109" s="438"/>
      <c r="E109" s="438"/>
      <c r="F109" s="711" t="s">
        <v>939</v>
      </c>
      <c r="G109" s="438"/>
      <c r="H109" s="709"/>
      <c r="I109" s="709"/>
      <c r="J109" s="709"/>
      <c r="K109" s="709"/>
      <c r="L109" s="709"/>
      <c r="M109" s="709"/>
      <c r="N109" s="709"/>
      <c r="O109" s="709"/>
      <c r="P109" s="709"/>
      <c r="Q109" s="709"/>
      <c r="R109" s="709"/>
      <c r="S109" s="709"/>
      <c r="T109" s="709"/>
      <c r="U109" s="709"/>
      <c r="V109" s="709"/>
      <c r="W109" s="709"/>
      <c r="X109" s="709"/>
      <c r="Y109" s="709"/>
      <c r="Z109" s="709"/>
      <c r="AA109" s="709"/>
      <c r="AB109" s="709"/>
      <c r="AC109" s="709"/>
      <c r="AD109" s="709"/>
      <c r="AE109" s="709"/>
      <c r="AF109" s="709"/>
      <c r="AG109" s="709"/>
      <c r="AH109" s="709"/>
      <c r="AI109" s="709"/>
      <c r="AJ109" s="438"/>
      <c r="AK109" s="438"/>
      <c r="AL109" s="710">
        <f>AR109</f>
        <v>1.3168480593725436E-3</v>
      </c>
      <c r="AM109" s="1220"/>
      <c r="AN109" s="767"/>
      <c r="AO109" s="764"/>
      <c r="AP109" s="771"/>
      <c r="AQ109" s="768"/>
      <c r="AR109" s="771">
        <f>BT69*(1+AS153)</f>
        <v>1.3168480593725436E-3</v>
      </c>
      <c r="AS109" s="768">
        <f>AR109*H106</f>
        <v>4.9203305064326346E-2</v>
      </c>
      <c r="AT109" s="764"/>
      <c r="AU109" s="768"/>
    </row>
    <row r="110" spans="3:47" ht="13.5" thickBot="1">
      <c r="C110" s="606"/>
      <c r="D110" s="606"/>
      <c r="E110" s="606"/>
      <c r="F110" s="716" t="s">
        <v>940</v>
      </c>
      <c r="G110" s="606"/>
      <c r="H110" s="608"/>
      <c r="I110" s="608"/>
      <c r="J110" s="608"/>
      <c r="K110" s="608"/>
      <c r="L110" s="608"/>
      <c r="M110" s="608"/>
      <c r="N110" s="608"/>
      <c r="O110" s="608"/>
      <c r="P110" s="608"/>
      <c r="Q110" s="608"/>
      <c r="R110" s="608"/>
      <c r="S110" s="608"/>
      <c r="T110" s="608"/>
      <c r="U110" s="608"/>
      <c r="V110" s="608"/>
      <c r="W110" s="608"/>
      <c r="X110" s="608"/>
      <c r="Y110" s="608"/>
      <c r="Z110" s="608"/>
      <c r="AA110" s="608"/>
      <c r="AB110" s="608"/>
      <c r="AC110" s="608"/>
      <c r="AD110" s="608"/>
      <c r="AE110" s="608"/>
      <c r="AF110" s="608"/>
      <c r="AG110" s="608"/>
      <c r="AH110" s="608"/>
      <c r="AI110" s="608"/>
      <c r="AJ110" s="606"/>
      <c r="AK110" s="606"/>
      <c r="AL110" s="715">
        <f>AT110</f>
        <v>9.405300836598067E-4</v>
      </c>
      <c r="AM110" s="1220"/>
      <c r="AN110" s="789"/>
      <c r="AO110" s="769"/>
      <c r="AP110" s="790"/>
      <c r="AQ110" s="770"/>
      <c r="AR110" s="790"/>
      <c r="AS110" s="770"/>
      <c r="AT110" s="791">
        <f>BU69*(1+AU153)</f>
        <v>9.405300836598067E-4</v>
      </c>
      <c r="AU110" s="770">
        <f>AT110*H106</f>
        <v>3.5142390421671096E-2</v>
      </c>
    </row>
    <row r="111" spans="3:47">
      <c r="C111" s="602" t="str">
        <f>AY25</f>
        <v>R-BLD_Det_B1</v>
      </c>
      <c r="D111" s="603" t="str">
        <f>AZ25</f>
        <v>Residential Building Detached _ B1</v>
      </c>
      <c r="E111" s="603">
        <v>2018</v>
      </c>
      <c r="F111" s="602" t="str">
        <f>COMM!O11</f>
        <v>RSDSH_Det-AB</v>
      </c>
      <c r="G111" s="603" t="s">
        <v>937</v>
      </c>
      <c r="H111" s="605">
        <f>BI9/1000</f>
        <v>8.1867925913057995</v>
      </c>
      <c r="I111" s="605">
        <f>DwellingStocks!K35/1000</f>
        <v>0.12375780764357298</v>
      </c>
      <c r="J111" s="605">
        <f>DwellingStocks!N35/1000</f>
        <v>0.8466673768432933</v>
      </c>
      <c r="K111" s="605">
        <f>DwellingStocks!Q35/1000</f>
        <v>0.3674832015911404</v>
      </c>
      <c r="L111" s="605">
        <f>DwellingStocks!T35/1000</f>
        <v>0.21285039161267719</v>
      </c>
      <c r="M111" s="605">
        <f>DwellingStocks!W35/1000</f>
        <v>0.12866823477069239</v>
      </c>
      <c r="N111" s="605">
        <f>DwellingStocks!Z35/1000</f>
        <v>0.10949576034253809</v>
      </c>
      <c r="O111" s="605">
        <f>DwellingStocks!AC35/1000</f>
        <v>0.28973384612615904</v>
      </c>
      <c r="P111" s="605">
        <f>DwellingStocks!AF35/1000</f>
        <v>0.35566139766064575</v>
      </c>
      <c r="Q111" s="605">
        <f>DwellingStocks!AI35/1000</f>
        <v>0.14859516248169818</v>
      </c>
      <c r="R111" s="605">
        <f>DwellingStocks!AL35/1000</f>
        <v>0.13925904889812826</v>
      </c>
      <c r="S111" s="605">
        <f>DwellingStocks!AO35/1000</f>
        <v>0.28710307092951454</v>
      </c>
      <c r="T111" s="605">
        <f>DwellingStocks!AR35/1000</f>
        <v>0.23319134962091179</v>
      </c>
      <c r="U111" s="605">
        <f>DwellingStocks!AU35/1000</f>
        <v>0.19272717299827924</v>
      </c>
      <c r="V111" s="605">
        <f>DwellingStocks!AX35/1000</f>
        <v>1.2448498339622822</v>
      </c>
      <c r="W111" s="605">
        <f>DwellingStocks!BA35/1000</f>
        <v>0.63390151287867169</v>
      </c>
      <c r="X111" s="605">
        <f>DwellingStocks!BD35/1000</f>
        <v>0.27055002609827489</v>
      </c>
      <c r="Y111" s="605">
        <f>DwellingStocks!BG35/1000</f>
        <v>0.38142936725340382</v>
      </c>
      <c r="Z111" s="605">
        <f>DwellingStocks!BJ35/1000</f>
        <v>0.26643764216236093</v>
      </c>
      <c r="AA111" s="605">
        <f>DwellingStocks!BM35/1000</f>
        <v>0.59940483730921779</v>
      </c>
      <c r="AB111" s="605">
        <f>DwellingStocks!BP35/1000</f>
        <v>7.5112744355104899E-2</v>
      </c>
      <c r="AC111" s="605">
        <f>DwellingStocks!BS35/1000</f>
        <v>0.2999443049200215</v>
      </c>
      <c r="AD111" s="605">
        <f>DwellingStocks!BV35/1000</f>
        <v>8.1804609103641762E-2</v>
      </c>
      <c r="AE111" s="605">
        <f>DwellingStocks!BY35/1000</f>
        <v>0.17978583084080257</v>
      </c>
      <c r="AF111" s="605">
        <f>DwellingStocks!CB35/1000</f>
        <v>0.15747913172361708</v>
      </c>
      <c r="AG111" s="605">
        <f>DwellingStocks!CE35/1000</f>
        <v>0.3534699153088367</v>
      </c>
      <c r="AH111" s="605">
        <f>DwellingStocks!CH35/1000</f>
        <v>0.20742901387031404</v>
      </c>
      <c r="AI111" s="605">
        <v>1</v>
      </c>
      <c r="AJ111" s="603">
        <f>BP27</f>
        <v>10000000</v>
      </c>
      <c r="AK111" s="603">
        <v>1</v>
      </c>
      <c r="AL111" s="707">
        <f>AN111</f>
        <v>3.1075068539025679E-2</v>
      </c>
      <c r="AM111" s="1220"/>
      <c r="AN111" s="785">
        <f>ABS(BR70*DwellingStocks!Y19*(1+AO153))</f>
        <v>3.1075068539025679E-2</v>
      </c>
      <c r="AO111" s="786">
        <f>AN111*H111</f>
        <v>0.25440514088961536</v>
      </c>
      <c r="AP111" s="787"/>
      <c r="AQ111" s="788"/>
      <c r="AR111" s="787"/>
      <c r="AS111" s="788"/>
      <c r="AT111" s="786"/>
      <c r="AU111" s="788"/>
    </row>
    <row r="112" spans="3:47">
      <c r="C112" s="439"/>
      <c r="D112" s="438"/>
      <c r="E112" s="438"/>
      <c r="F112" s="711" t="s">
        <v>1279</v>
      </c>
      <c r="G112" s="438"/>
      <c r="H112" s="709"/>
      <c r="I112" s="709"/>
      <c r="J112" s="709"/>
      <c r="K112" s="709"/>
      <c r="L112" s="709"/>
      <c r="M112" s="709"/>
      <c r="N112" s="709"/>
      <c r="O112" s="709"/>
      <c r="P112" s="709"/>
      <c r="Q112" s="709"/>
      <c r="R112" s="709"/>
      <c r="S112" s="709"/>
      <c r="T112" s="709"/>
      <c r="U112" s="709"/>
      <c r="V112" s="709"/>
      <c r="W112" s="709"/>
      <c r="X112" s="709"/>
      <c r="Y112" s="709"/>
      <c r="Z112" s="709"/>
      <c r="AA112" s="709"/>
      <c r="AB112" s="709"/>
      <c r="AC112" s="709"/>
      <c r="AD112" s="709"/>
      <c r="AE112" s="709"/>
      <c r="AF112" s="709"/>
      <c r="AG112" s="709"/>
      <c r="AH112" s="709"/>
      <c r="AI112" s="709"/>
      <c r="AJ112" s="438"/>
      <c r="AK112" s="438"/>
      <c r="AL112" s="710"/>
      <c r="AM112" s="1220"/>
      <c r="AN112" s="767"/>
      <c r="AO112" s="764"/>
      <c r="AP112" s="771"/>
      <c r="AQ112" s="768"/>
      <c r="AR112" s="771"/>
      <c r="AS112" s="768"/>
      <c r="AT112" s="764"/>
      <c r="AU112" s="768"/>
    </row>
    <row r="113" spans="3:47">
      <c r="C113" s="290"/>
      <c r="D113" s="290"/>
      <c r="E113" s="290"/>
      <c r="F113" s="372" t="s">
        <v>938</v>
      </c>
      <c r="G113" s="290"/>
      <c r="H113" s="713"/>
      <c r="I113" s="713"/>
      <c r="J113" s="713"/>
      <c r="K113" s="713"/>
      <c r="L113" s="713"/>
      <c r="M113" s="713"/>
      <c r="N113" s="713"/>
      <c r="O113" s="713"/>
      <c r="P113" s="713"/>
      <c r="Q113" s="713"/>
      <c r="R113" s="713"/>
      <c r="S113" s="713"/>
      <c r="T113" s="713"/>
      <c r="U113" s="713"/>
      <c r="V113" s="713"/>
      <c r="W113" s="713"/>
      <c r="X113" s="713"/>
      <c r="Y113" s="713"/>
      <c r="Z113" s="713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290"/>
      <c r="AK113" s="290"/>
      <c r="AL113" s="714">
        <f>AP113</f>
        <v>9.9161033628552015E-3</v>
      </c>
      <c r="AM113" s="1220"/>
      <c r="AN113" s="767"/>
      <c r="AO113" s="764"/>
      <c r="AP113" s="771">
        <f>BS70*(1+AQ153)</f>
        <v>9.9161033628552015E-3</v>
      </c>
      <c r="AQ113" s="768">
        <f>AP113*H111</f>
        <v>8.1181081545645489E-2</v>
      </c>
      <c r="AR113" s="771"/>
      <c r="AS113" s="768"/>
      <c r="AT113" s="764"/>
      <c r="AU113" s="768"/>
    </row>
    <row r="114" spans="3:47">
      <c r="C114" s="439"/>
      <c r="D114" s="438"/>
      <c r="E114" s="438"/>
      <c r="F114" s="711" t="s">
        <v>939</v>
      </c>
      <c r="G114" s="438"/>
      <c r="H114" s="709"/>
      <c r="I114" s="709"/>
      <c r="J114" s="709"/>
      <c r="K114" s="709"/>
      <c r="L114" s="709"/>
      <c r="M114" s="709"/>
      <c r="N114" s="709"/>
      <c r="O114" s="709"/>
      <c r="P114" s="709"/>
      <c r="Q114" s="709"/>
      <c r="R114" s="709"/>
      <c r="S114" s="709"/>
      <c r="T114" s="709"/>
      <c r="U114" s="709"/>
      <c r="V114" s="709"/>
      <c r="W114" s="709"/>
      <c r="X114" s="709"/>
      <c r="Y114" s="709"/>
      <c r="Z114" s="709"/>
      <c r="AA114" s="709"/>
      <c r="AB114" s="709"/>
      <c r="AC114" s="709"/>
      <c r="AD114" s="709"/>
      <c r="AE114" s="709"/>
      <c r="AF114" s="709"/>
      <c r="AG114" s="709"/>
      <c r="AH114" s="709"/>
      <c r="AI114" s="709"/>
      <c r="AJ114" s="438"/>
      <c r="AK114" s="438"/>
      <c r="AL114" s="710">
        <f>AR114</f>
        <v>1.7576729702872126E-3</v>
      </c>
      <c r="AM114" s="1220"/>
      <c r="AN114" s="767"/>
      <c r="AO114" s="764"/>
      <c r="AP114" s="771"/>
      <c r="AQ114" s="768"/>
      <c r="AR114" s="771">
        <f>BT70*(1+AS153)</f>
        <v>1.7576729702872126E-3</v>
      </c>
      <c r="AS114" s="768">
        <f>AR114*H111</f>
        <v>1.4389704051085811E-2</v>
      </c>
      <c r="AT114" s="764"/>
      <c r="AU114" s="768"/>
    </row>
    <row r="115" spans="3:47" ht="13.5" thickBot="1">
      <c r="C115" s="606"/>
      <c r="D115" s="606"/>
      <c r="E115" s="606"/>
      <c r="F115" s="716" t="s">
        <v>940</v>
      </c>
      <c r="G115" s="606"/>
      <c r="H115" s="608"/>
      <c r="I115" s="608"/>
      <c r="J115" s="608"/>
      <c r="K115" s="608"/>
      <c r="L115" s="608"/>
      <c r="M115" s="608"/>
      <c r="N115" s="608"/>
      <c r="O115" s="608"/>
      <c r="P115" s="608"/>
      <c r="Q115" s="608"/>
      <c r="R115" s="608"/>
      <c r="S115" s="608"/>
      <c r="T115" s="608"/>
      <c r="U115" s="608"/>
      <c r="V115" s="608"/>
      <c r="W115" s="608"/>
      <c r="X115" s="608"/>
      <c r="Y115" s="608"/>
      <c r="Z115" s="608"/>
      <c r="AA115" s="608"/>
      <c r="AB115" s="608"/>
      <c r="AC115" s="608"/>
      <c r="AD115" s="608"/>
      <c r="AE115" s="608"/>
      <c r="AF115" s="608"/>
      <c r="AG115" s="608"/>
      <c r="AH115" s="608"/>
      <c r="AI115" s="608"/>
      <c r="AJ115" s="606"/>
      <c r="AK115" s="606"/>
      <c r="AL115" s="715">
        <f>AT115</f>
        <v>6.7465510259679372E-4</v>
      </c>
      <c r="AM115" s="1220"/>
      <c r="AN115" s="789"/>
      <c r="AO115" s="769"/>
      <c r="AP115" s="790"/>
      <c r="AQ115" s="770"/>
      <c r="AR115" s="790"/>
      <c r="AS115" s="770"/>
      <c r="AT115" s="791">
        <f>BU70*(1+AU153)</f>
        <v>6.7465510259679372E-4</v>
      </c>
      <c r="AU115" s="770">
        <f>AT115*H111</f>
        <v>5.5232613956260846E-3</v>
      </c>
    </row>
    <row r="116" spans="3:47">
      <c r="C116" s="602" t="str">
        <f>AY26</f>
        <v>R-BLD_Det_B2</v>
      </c>
      <c r="D116" s="603" t="str">
        <f>AZ26</f>
        <v>Residential Building Detached _ B2</v>
      </c>
      <c r="E116" s="603">
        <v>2018</v>
      </c>
      <c r="F116" s="602" t="str">
        <f>COMM!O11</f>
        <v>RSDSH_Det-AB</v>
      </c>
      <c r="G116" s="603" t="s">
        <v>937</v>
      </c>
      <c r="H116" s="605">
        <f>BI10/1000</f>
        <v>18.974694526816247</v>
      </c>
      <c r="I116" s="605">
        <f>DwellingStocks!K36/1000</f>
        <v>0.23488726756841405</v>
      </c>
      <c r="J116" s="605">
        <f>DwellingStocks!N36/1000</f>
        <v>1.8016294181665427</v>
      </c>
      <c r="K116" s="605">
        <f>DwellingStocks!Q36/1000</f>
        <v>0.94338971154740525</v>
      </c>
      <c r="L116" s="605">
        <f>DwellingStocks!T36/1000</f>
        <v>0.43965818595405454</v>
      </c>
      <c r="M116" s="605">
        <f>DwellingStocks!W36/1000</f>
        <v>0.38002013525297518</v>
      </c>
      <c r="N116" s="605">
        <f>DwellingStocks!Z36/1000</f>
        <v>0.22700340558818871</v>
      </c>
      <c r="O116" s="605">
        <f>DwellingStocks!AC36/1000</f>
        <v>0.66902179014585805</v>
      </c>
      <c r="P116" s="605">
        <f>DwellingStocks!AF36/1000</f>
        <v>0.91286425399565752</v>
      </c>
      <c r="Q116" s="605">
        <f>DwellingStocks!AI36/1000</f>
        <v>0.29388821024158085</v>
      </c>
      <c r="R116" s="605">
        <f>DwellingStocks!AL36/1000</f>
        <v>0.34388459013619427</v>
      </c>
      <c r="S116" s="605">
        <f>DwellingStocks!AO36/1000</f>
        <v>0.80995744400440284</v>
      </c>
      <c r="T116" s="605">
        <f>DwellingStocks!AR36/1000</f>
        <v>0.61310984057632978</v>
      </c>
      <c r="U116" s="605">
        <f>DwellingStocks!AU36/1000</f>
        <v>0.59547754734083713</v>
      </c>
      <c r="V116" s="605">
        <f>DwellingStocks!AX36/1000</f>
        <v>3.0535594395442418</v>
      </c>
      <c r="W116" s="605">
        <f>DwellingStocks!BA36/1000</f>
        <v>1.250124497509731</v>
      </c>
      <c r="X116" s="605">
        <f>DwellingStocks!BD36/1000</f>
        <v>0.62308490858996646</v>
      </c>
      <c r="Y116" s="605">
        <f>DwellingStocks!BG36/1000</f>
        <v>0.72818333748377084</v>
      </c>
      <c r="Z116" s="605">
        <f>DwellingStocks!BJ36/1000</f>
        <v>0.51134496980655131</v>
      </c>
      <c r="AA116" s="605">
        <f>DwellingStocks!BM36/1000</f>
        <v>1.4395962331956424</v>
      </c>
      <c r="AB116" s="605">
        <f>DwellingStocks!BP36/1000</f>
        <v>0.22283447492014455</v>
      </c>
      <c r="AC116" s="605">
        <f>DwellingStocks!BS36/1000</f>
        <v>0.6133996145661702</v>
      </c>
      <c r="AD116" s="605">
        <f>DwellingStocks!BV36/1000</f>
        <v>0.28339453868047326</v>
      </c>
      <c r="AE116" s="605">
        <f>DwellingStocks!BY36/1000</f>
        <v>0.30053750827119236</v>
      </c>
      <c r="AF116" s="605">
        <f>DwellingStocks!CB36/1000</f>
        <v>0.49415865471893639</v>
      </c>
      <c r="AG116" s="605">
        <f>DwellingStocks!CE36/1000</f>
        <v>0.82476313572061888</v>
      </c>
      <c r="AH116" s="605">
        <f>DwellingStocks!CH36/1000</f>
        <v>0.36492141329036731</v>
      </c>
      <c r="AI116" s="605">
        <v>1</v>
      </c>
      <c r="AJ116" s="603">
        <f>BP28</f>
        <v>10000000</v>
      </c>
      <c r="AK116" s="603">
        <v>1</v>
      </c>
      <c r="AL116" s="707">
        <f>AN116</f>
        <v>4.9624708263812219E-2</v>
      </c>
      <c r="AM116" s="1220"/>
      <c r="AN116" s="785">
        <f>ABS(BR71*DwellingStocks!Y20*(1+AO153))</f>
        <v>4.9624708263812219E-2</v>
      </c>
      <c r="AO116" s="786">
        <f>AN116*H116</f>
        <v>0.94161368028821069</v>
      </c>
      <c r="AP116" s="787"/>
      <c r="AQ116" s="788"/>
      <c r="AR116" s="787"/>
      <c r="AS116" s="788"/>
      <c r="AT116" s="786"/>
      <c r="AU116" s="788"/>
    </row>
    <row r="117" spans="3:47">
      <c r="C117" s="439"/>
      <c r="D117" s="438"/>
      <c r="E117" s="438"/>
      <c r="F117" s="711" t="s">
        <v>1279</v>
      </c>
      <c r="G117" s="438"/>
      <c r="H117" s="709"/>
      <c r="I117" s="709"/>
      <c r="J117" s="709"/>
      <c r="K117" s="709"/>
      <c r="L117" s="709"/>
      <c r="M117" s="709"/>
      <c r="N117" s="709"/>
      <c r="O117" s="709"/>
      <c r="P117" s="709"/>
      <c r="Q117" s="709"/>
      <c r="R117" s="709"/>
      <c r="S117" s="709"/>
      <c r="T117" s="709"/>
      <c r="U117" s="709"/>
      <c r="V117" s="709"/>
      <c r="W117" s="709"/>
      <c r="X117" s="709"/>
      <c r="Y117" s="709"/>
      <c r="Z117" s="709"/>
      <c r="AA117" s="709"/>
      <c r="AB117" s="709"/>
      <c r="AC117" s="709"/>
      <c r="AD117" s="709"/>
      <c r="AE117" s="709"/>
      <c r="AF117" s="709"/>
      <c r="AG117" s="709"/>
      <c r="AH117" s="709"/>
      <c r="AI117" s="709"/>
      <c r="AJ117" s="438"/>
      <c r="AK117" s="438"/>
      <c r="AL117" s="710"/>
      <c r="AM117" s="1220"/>
      <c r="AN117" s="767"/>
      <c r="AO117" s="764"/>
      <c r="AP117" s="771"/>
      <c r="AQ117" s="768"/>
      <c r="AR117" s="771"/>
      <c r="AS117" s="768"/>
      <c r="AT117" s="764"/>
      <c r="AU117" s="768"/>
    </row>
    <row r="118" spans="3:47">
      <c r="C118" s="290"/>
      <c r="D118" s="290"/>
      <c r="E118" s="290"/>
      <c r="F118" s="372" t="s">
        <v>938</v>
      </c>
      <c r="G118" s="290"/>
      <c r="H118" s="713"/>
      <c r="I118" s="713"/>
      <c r="J118" s="713"/>
      <c r="K118" s="713"/>
      <c r="L118" s="713"/>
      <c r="M118" s="713"/>
      <c r="N118" s="713"/>
      <c r="O118" s="713"/>
      <c r="P118" s="713"/>
      <c r="Q118" s="713"/>
      <c r="R118" s="713"/>
      <c r="S118" s="713"/>
      <c r="T118" s="713"/>
      <c r="U118" s="713"/>
      <c r="V118" s="713"/>
      <c r="W118" s="713"/>
      <c r="X118" s="713"/>
      <c r="Y118" s="713"/>
      <c r="Z118" s="713"/>
      <c r="AA118" s="713"/>
      <c r="AB118" s="713"/>
      <c r="AC118" s="713"/>
      <c r="AD118" s="713"/>
      <c r="AE118" s="713"/>
      <c r="AF118" s="713"/>
      <c r="AG118" s="713"/>
      <c r="AH118" s="713"/>
      <c r="AI118" s="713"/>
      <c r="AJ118" s="290"/>
      <c r="AK118" s="290"/>
      <c r="AL118" s="714">
        <f>AP118</f>
        <v>1.3073528408994334E-2</v>
      </c>
      <c r="AM118" s="1220"/>
      <c r="AN118" s="767"/>
      <c r="AO118" s="764"/>
      <c r="AP118" s="771">
        <f>BS71*(1+AQ153)</f>
        <v>1.3073528408994334E-2</v>
      </c>
      <c r="AQ118" s="768">
        <f>AP118*H116</f>
        <v>0.24806620794832152</v>
      </c>
      <c r="AR118" s="771"/>
      <c r="AS118" s="768"/>
      <c r="AT118" s="764"/>
      <c r="AU118" s="768"/>
    </row>
    <row r="119" spans="3:47">
      <c r="C119" s="439"/>
      <c r="D119" s="438"/>
      <c r="E119" s="438"/>
      <c r="F119" s="711" t="s">
        <v>939</v>
      </c>
      <c r="G119" s="438"/>
      <c r="H119" s="709"/>
      <c r="I119" s="709"/>
      <c r="J119" s="709"/>
      <c r="K119" s="709"/>
      <c r="L119" s="709"/>
      <c r="M119" s="709"/>
      <c r="N119" s="709"/>
      <c r="O119" s="709"/>
      <c r="P119" s="709"/>
      <c r="Q119" s="709"/>
      <c r="R119" s="709"/>
      <c r="S119" s="709"/>
      <c r="T119" s="709"/>
      <c r="U119" s="709"/>
      <c r="V119" s="709"/>
      <c r="W119" s="709"/>
      <c r="X119" s="709"/>
      <c r="Y119" s="709"/>
      <c r="Z119" s="709"/>
      <c r="AA119" s="709"/>
      <c r="AB119" s="709"/>
      <c r="AC119" s="709"/>
      <c r="AD119" s="709"/>
      <c r="AE119" s="709"/>
      <c r="AF119" s="709"/>
      <c r="AG119" s="709"/>
      <c r="AH119" s="709"/>
      <c r="AI119" s="709"/>
      <c r="AJ119" s="438"/>
      <c r="AK119" s="438"/>
      <c r="AL119" s="710">
        <f>AR119</f>
        <v>1.9927027228886255E-3</v>
      </c>
      <c r="AM119" s="1220"/>
      <c r="AN119" s="767"/>
      <c r="AO119" s="764"/>
      <c r="AP119" s="771"/>
      <c r="AQ119" s="768"/>
      <c r="AR119" s="771">
        <f>BT71*(1+AS153)</f>
        <v>1.9927027228886255E-3</v>
      </c>
      <c r="AS119" s="768">
        <f>AR119*H116</f>
        <v>3.7810925449566636E-2</v>
      </c>
      <c r="AT119" s="764"/>
      <c r="AU119" s="768"/>
    </row>
    <row r="120" spans="3:47" ht="13.5" thickBot="1">
      <c r="C120" s="606"/>
      <c r="D120" s="606"/>
      <c r="E120" s="606"/>
      <c r="F120" s="716" t="s">
        <v>940</v>
      </c>
      <c r="G120" s="606"/>
      <c r="H120" s="608"/>
      <c r="I120" s="608"/>
      <c r="J120" s="608"/>
      <c r="K120" s="608"/>
      <c r="L120" s="608"/>
      <c r="M120" s="608"/>
      <c r="N120" s="608"/>
      <c r="O120" s="608"/>
      <c r="P120" s="608"/>
      <c r="Q120" s="608"/>
      <c r="R120" s="608"/>
      <c r="S120" s="608"/>
      <c r="T120" s="608"/>
      <c r="U120" s="608"/>
      <c r="V120" s="608"/>
      <c r="W120" s="608"/>
      <c r="X120" s="608"/>
      <c r="Y120" s="608"/>
      <c r="Z120" s="608"/>
      <c r="AA120" s="608"/>
      <c r="AB120" s="608"/>
      <c r="AC120" s="608"/>
      <c r="AD120" s="608"/>
      <c r="AE120" s="608"/>
      <c r="AF120" s="608"/>
      <c r="AG120" s="608"/>
      <c r="AH120" s="608"/>
      <c r="AI120" s="608"/>
      <c r="AJ120" s="606"/>
      <c r="AK120" s="606"/>
      <c r="AL120" s="715">
        <f>AT120</f>
        <v>5.313869191251291E-4</v>
      </c>
      <c r="AM120" s="1220"/>
      <c r="AN120" s="789"/>
      <c r="AO120" s="769"/>
      <c r="AP120" s="790"/>
      <c r="AQ120" s="770"/>
      <c r="AR120" s="790"/>
      <c r="AS120" s="770"/>
      <c r="AT120" s="791">
        <f>BU71*(1+AU153)</f>
        <v>5.313869191251291E-4</v>
      </c>
      <c r="AU120" s="770">
        <f>AT120*H116</f>
        <v>1.0082904465945335E-2</v>
      </c>
    </row>
    <row r="121" spans="3:47">
      <c r="C121" s="602" t="str">
        <f>AY27</f>
        <v>R-BLD_Det_B3</v>
      </c>
      <c r="D121" s="603" t="str">
        <f>AZ27</f>
        <v>Residential Building Detached _ B3</v>
      </c>
      <c r="E121" s="603">
        <v>2018</v>
      </c>
      <c r="F121" s="602" t="str">
        <f>COMM!O11</f>
        <v>RSDSH_Det-AB</v>
      </c>
      <c r="G121" s="603" t="s">
        <v>937</v>
      </c>
      <c r="H121" s="605">
        <f>BI11/1000</f>
        <v>54.54908889887416</v>
      </c>
      <c r="I121" s="605">
        <f>DwellingStocks!K37/1000</f>
        <v>0.73496983723019882</v>
      </c>
      <c r="J121" s="605">
        <f>DwellingStocks!N37/1000</f>
        <v>3.9010691636529646</v>
      </c>
      <c r="K121" s="605">
        <f>DwellingStocks!Q37/1000</f>
        <v>2.835653958546561</v>
      </c>
      <c r="L121" s="605">
        <f>DwellingStocks!T37/1000</f>
        <v>1.2771023496760632</v>
      </c>
      <c r="M121" s="605">
        <f>DwellingStocks!W37/1000</f>
        <v>1.1999060963499453</v>
      </c>
      <c r="N121" s="605">
        <f>DwellingStocks!Z37/1000</f>
        <v>0.69169272996871622</v>
      </c>
      <c r="O121" s="605">
        <f>DwellingStocks!AC37/1000</f>
        <v>1.6093398180280287</v>
      </c>
      <c r="P121" s="605">
        <f>DwellingStocks!AF37/1000</f>
        <v>2.7267373820649508</v>
      </c>
      <c r="Q121" s="605">
        <f>DwellingStocks!AI37/1000</f>
        <v>0.89487308961200462</v>
      </c>
      <c r="R121" s="605">
        <f>DwellingStocks!AL37/1000</f>
        <v>1.1282824982154473</v>
      </c>
      <c r="S121" s="605">
        <f>DwellingStocks!AO37/1000</f>
        <v>2.2081260577180553</v>
      </c>
      <c r="T121" s="605">
        <f>DwellingStocks!AR37/1000</f>
        <v>1.6297193198225519</v>
      </c>
      <c r="U121" s="605">
        <f>DwellingStocks!AU37/1000</f>
        <v>1.7493697241382269</v>
      </c>
      <c r="V121" s="605">
        <f>DwellingStocks!AX37/1000</f>
        <v>9.13343871613902</v>
      </c>
      <c r="W121" s="605">
        <f>DwellingStocks!BA37/1000</f>
        <v>2.8714980882193215</v>
      </c>
      <c r="X121" s="605">
        <f>DwellingStocks!BD37/1000</f>
        <v>2.1370719233217268</v>
      </c>
      <c r="Y121" s="605">
        <f>DwellingStocks!BG37/1000</f>
        <v>2.0698544684520375</v>
      </c>
      <c r="Z121" s="605">
        <f>DwellingStocks!BJ37/1000</f>
        <v>1.501739437642398</v>
      </c>
      <c r="AA121" s="605">
        <f>DwellingStocks!BM37/1000</f>
        <v>4.5032209572205328</v>
      </c>
      <c r="AB121" s="605">
        <f>DwellingStocks!BP37/1000</f>
        <v>0.58337564782464801</v>
      </c>
      <c r="AC121" s="605">
        <f>DwellingStocks!BS37/1000</f>
        <v>1.8888384607125681</v>
      </c>
      <c r="AD121" s="605">
        <f>DwellingStocks!BV37/1000</f>
        <v>1.1102054092637097</v>
      </c>
      <c r="AE121" s="605">
        <f>DwellingStocks!BY37/1000</f>
        <v>1.01163071980571</v>
      </c>
      <c r="AF121" s="605">
        <f>DwellingStocks!CB37/1000</f>
        <v>1.5313487981400005</v>
      </c>
      <c r="AG121" s="605">
        <f>DwellingStocks!CE37/1000</f>
        <v>2.5214187292030346</v>
      </c>
      <c r="AH121" s="605">
        <f>DwellingStocks!CH37/1000</f>
        <v>1.0986055179057372</v>
      </c>
      <c r="AI121" s="605">
        <v>1</v>
      </c>
      <c r="AJ121" s="603">
        <f>BP29</f>
        <v>2114</v>
      </c>
      <c r="AK121" s="603">
        <v>1</v>
      </c>
      <c r="AL121" s="707">
        <f>AN121</f>
        <v>5.7350545892960458E-2</v>
      </c>
      <c r="AM121" s="1220"/>
      <c r="AN121" s="785">
        <f>ABS(BR72*DwellingStocks!Y21*(1+AO153))</f>
        <v>5.7350545892960458E-2</v>
      </c>
      <c r="AO121" s="786">
        <f>AN121*H121</f>
        <v>3.1284200263140622</v>
      </c>
      <c r="AP121" s="787"/>
      <c r="AQ121" s="788"/>
      <c r="AR121" s="787"/>
      <c r="AS121" s="788"/>
      <c r="AT121" s="786"/>
      <c r="AU121" s="788"/>
    </row>
    <row r="122" spans="3:47">
      <c r="C122" s="439"/>
      <c r="D122" s="438"/>
      <c r="E122" s="438"/>
      <c r="F122" s="711" t="s">
        <v>1279</v>
      </c>
      <c r="G122" s="438"/>
      <c r="H122" s="709"/>
      <c r="I122" s="709"/>
      <c r="J122" s="709"/>
      <c r="K122" s="709"/>
      <c r="L122" s="709"/>
      <c r="M122" s="709"/>
      <c r="N122" s="709"/>
      <c r="O122" s="709"/>
      <c r="P122" s="709"/>
      <c r="Q122" s="709"/>
      <c r="R122" s="709"/>
      <c r="S122" s="709"/>
      <c r="T122" s="709"/>
      <c r="U122" s="709"/>
      <c r="V122" s="709"/>
      <c r="W122" s="709"/>
      <c r="X122" s="709"/>
      <c r="Y122" s="709"/>
      <c r="Z122" s="709"/>
      <c r="AA122" s="709"/>
      <c r="AB122" s="709"/>
      <c r="AC122" s="709"/>
      <c r="AD122" s="709"/>
      <c r="AE122" s="709"/>
      <c r="AF122" s="709"/>
      <c r="AG122" s="709"/>
      <c r="AH122" s="709"/>
      <c r="AI122" s="709"/>
      <c r="AJ122" s="438"/>
      <c r="AK122" s="438"/>
      <c r="AL122" s="710"/>
      <c r="AM122" s="1220"/>
      <c r="AN122" s="767"/>
      <c r="AO122" s="764"/>
      <c r="AP122" s="771"/>
      <c r="AQ122" s="768"/>
      <c r="AR122" s="771"/>
      <c r="AS122" s="768"/>
      <c r="AT122" s="764"/>
      <c r="AU122" s="768"/>
    </row>
    <row r="123" spans="3:47">
      <c r="C123" s="290"/>
      <c r="D123" s="290"/>
      <c r="E123" s="290"/>
      <c r="F123" s="372" t="s">
        <v>938</v>
      </c>
      <c r="G123" s="290"/>
      <c r="H123" s="713"/>
      <c r="I123" s="713"/>
      <c r="J123" s="713"/>
      <c r="K123" s="713"/>
      <c r="L123" s="713"/>
      <c r="M123" s="713"/>
      <c r="N123" s="713"/>
      <c r="O123" s="713"/>
      <c r="P123" s="713"/>
      <c r="Q123" s="713"/>
      <c r="R123" s="713"/>
      <c r="S123" s="713"/>
      <c r="T123" s="713"/>
      <c r="U123" s="713"/>
      <c r="V123" s="713"/>
      <c r="W123" s="713"/>
      <c r="X123" s="713"/>
      <c r="Y123" s="713"/>
      <c r="Z123" s="713"/>
      <c r="AA123" s="713"/>
      <c r="AB123" s="713"/>
      <c r="AC123" s="713"/>
      <c r="AD123" s="713"/>
      <c r="AE123" s="713"/>
      <c r="AF123" s="713"/>
      <c r="AG123" s="713"/>
      <c r="AH123" s="713"/>
      <c r="AI123" s="713"/>
      <c r="AJ123" s="290"/>
      <c r="AK123" s="290"/>
      <c r="AL123" s="714">
        <f>AP123</f>
        <v>1.4782271312316643E-2</v>
      </c>
      <c r="AM123" s="1220"/>
      <c r="AN123" s="767"/>
      <c r="AO123" s="764"/>
      <c r="AP123" s="771">
        <f>BS72*(1+AQ153)</f>
        <v>1.4782271312316643E-2</v>
      </c>
      <c r="AQ123" s="768">
        <f>AP123*H121</f>
        <v>0.80635943194283777</v>
      </c>
      <c r="AR123" s="771"/>
      <c r="AS123" s="768"/>
      <c r="AT123" s="764"/>
      <c r="AU123" s="768"/>
    </row>
    <row r="124" spans="3:47">
      <c r="C124" s="439"/>
      <c r="D124" s="438"/>
      <c r="E124" s="438"/>
      <c r="F124" s="711" t="s">
        <v>939</v>
      </c>
      <c r="G124" s="438"/>
      <c r="H124" s="709"/>
      <c r="I124" s="709"/>
      <c r="J124" s="709"/>
      <c r="K124" s="709"/>
      <c r="L124" s="709"/>
      <c r="M124" s="709"/>
      <c r="N124" s="709"/>
      <c r="O124" s="709"/>
      <c r="P124" s="709"/>
      <c r="Q124" s="709"/>
      <c r="R124" s="709"/>
      <c r="S124" s="709"/>
      <c r="T124" s="709"/>
      <c r="U124" s="709"/>
      <c r="V124" s="709"/>
      <c r="W124" s="709"/>
      <c r="X124" s="709"/>
      <c r="Y124" s="709"/>
      <c r="Z124" s="709"/>
      <c r="AA124" s="709"/>
      <c r="AB124" s="709"/>
      <c r="AC124" s="709"/>
      <c r="AD124" s="709"/>
      <c r="AE124" s="709"/>
      <c r="AF124" s="709"/>
      <c r="AG124" s="709"/>
      <c r="AH124" s="709"/>
      <c r="AI124" s="709"/>
      <c r="AJ124" s="438"/>
      <c r="AK124" s="438"/>
      <c r="AL124" s="710">
        <f>AR124</f>
        <v>1.9499848061019702E-3</v>
      </c>
      <c r="AM124" s="1220"/>
      <c r="AN124" s="767"/>
      <c r="AO124" s="764"/>
      <c r="AP124" s="771"/>
      <c r="AQ124" s="768"/>
      <c r="AR124" s="771">
        <f>BT72*(1+AS153)</f>
        <v>1.9499848061019702E-3</v>
      </c>
      <c r="AS124" s="768">
        <f>AR124*H121</f>
        <v>0.10636989453951026</v>
      </c>
      <c r="AT124" s="764"/>
      <c r="AU124" s="768"/>
    </row>
    <row r="125" spans="3:47" ht="13.5" thickBot="1">
      <c r="C125" s="606"/>
      <c r="D125" s="606"/>
      <c r="E125" s="606"/>
      <c r="F125" s="716" t="s">
        <v>940</v>
      </c>
      <c r="G125" s="606"/>
      <c r="H125" s="608"/>
      <c r="I125" s="608"/>
      <c r="J125" s="608"/>
      <c r="K125" s="608"/>
      <c r="L125" s="608"/>
      <c r="M125" s="608"/>
      <c r="N125" s="608"/>
      <c r="O125" s="608"/>
      <c r="P125" s="608"/>
      <c r="Q125" s="608"/>
      <c r="R125" s="608"/>
      <c r="S125" s="608"/>
      <c r="T125" s="608"/>
      <c r="U125" s="608"/>
      <c r="V125" s="608"/>
      <c r="W125" s="608"/>
      <c r="X125" s="608"/>
      <c r="Y125" s="608"/>
      <c r="Z125" s="608"/>
      <c r="AA125" s="608"/>
      <c r="AB125" s="608"/>
      <c r="AC125" s="608"/>
      <c r="AD125" s="608"/>
      <c r="AE125" s="608"/>
      <c r="AF125" s="608"/>
      <c r="AG125" s="608"/>
      <c r="AH125" s="608"/>
      <c r="AI125" s="608"/>
      <c r="AJ125" s="606"/>
      <c r="AK125" s="606"/>
      <c r="AL125" s="715">
        <f>AT125</f>
        <v>5.313869191251291E-4</v>
      </c>
      <c r="AM125" s="1220"/>
      <c r="AN125" s="789"/>
      <c r="AO125" s="769"/>
      <c r="AP125" s="790"/>
      <c r="AQ125" s="770"/>
      <c r="AR125" s="790"/>
      <c r="AS125" s="770"/>
      <c r="AT125" s="791">
        <f>BU71*(1+AU153)</f>
        <v>5.313869191251291E-4</v>
      </c>
      <c r="AU125" s="770">
        <f>AT125*H121</f>
        <v>2.8986672291055521E-2</v>
      </c>
    </row>
    <row r="126" spans="3:47">
      <c r="C126" s="602" t="str">
        <f>AY28</f>
        <v>R-BLD_Det_C</v>
      </c>
      <c r="D126" s="603" t="str">
        <f>AZ28</f>
        <v>Residential Building Detached _ C</v>
      </c>
      <c r="E126" s="603">
        <v>2018</v>
      </c>
      <c r="F126" s="602" t="str">
        <f>COMM!O14</f>
        <v>RSDSH_Det-C</v>
      </c>
      <c r="G126" s="603" t="s">
        <v>937</v>
      </c>
      <c r="H126" s="605">
        <f>BI12/1000</f>
        <v>264.76540185365621</v>
      </c>
      <c r="I126" s="605">
        <f>DwellingStocks!K38/1000</f>
        <v>3.8491203846694946</v>
      </c>
      <c r="J126" s="605">
        <f>DwellingStocks!N38/1000</f>
        <v>17.917844486683649</v>
      </c>
      <c r="K126" s="605">
        <f>DwellingStocks!Q38/1000</f>
        <v>12.209218011072815</v>
      </c>
      <c r="L126" s="605">
        <f>DwellingStocks!T38/1000</f>
        <v>7.3206577312032248</v>
      </c>
      <c r="M126" s="605">
        <f>DwellingStocks!W38/1000</f>
        <v>6.229936390525153</v>
      </c>
      <c r="N126" s="605">
        <f>DwellingStocks!Z38/1000</f>
        <v>3.3436266328989679</v>
      </c>
      <c r="O126" s="605">
        <f>DwellingStocks!AC38/1000</f>
        <v>7.2749534818222834</v>
      </c>
      <c r="P126" s="605">
        <f>DwellingStocks!AF38/1000</f>
        <v>13.29580858254714</v>
      </c>
      <c r="Q126" s="605">
        <f>DwellingStocks!AI38/1000</f>
        <v>5.6400119448609001</v>
      </c>
      <c r="R126" s="605">
        <f>DwellingStocks!AL38/1000</f>
        <v>5.9455087815282512</v>
      </c>
      <c r="S126" s="605">
        <f>DwellingStocks!AO38/1000</f>
        <v>13.500846847612294</v>
      </c>
      <c r="T126" s="605">
        <f>DwellingStocks!AR38/1000</f>
        <v>7.6009899466321915</v>
      </c>
      <c r="U126" s="605">
        <f>DwellingStocks!AU38/1000</f>
        <v>9.9971043839876632</v>
      </c>
      <c r="V126" s="605">
        <f>DwellingStocks!AX38/1000</f>
        <v>32.856408527906019</v>
      </c>
      <c r="W126" s="605">
        <f>DwellingStocks!BA38/1000</f>
        <v>12.839662515837317</v>
      </c>
      <c r="X126" s="605">
        <f>DwellingStocks!BD38/1000</f>
        <v>11.450551609613855</v>
      </c>
      <c r="Y126" s="605">
        <f>DwellingStocks!BG38/1000</f>
        <v>11.709614840856242</v>
      </c>
      <c r="Z126" s="605">
        <f>DwellingStocks!BJ38/1000</f>
        <v>7.4952407416381339</v>
      </c>
      <c r="AA126" s="605">
        <f>DwellingStocks!BM38/1000</f>
        <v>20.653851295830012</v>
      </c>
      <c r="AB126" s="605">
        <f>DwellingStocks!BP38/1000</f>
        <v>3.2924419608987652</v>
      </c>
      <c r="AC126" s="605">
        <f>DwellingStocks!BS38/1000</f>
        <v>11.89238635993707</v>
      </c>
      <c r="AD126" s="605">
        <f>DwellingStocks!BV38/1000</f>
        <v>6.4099754419067878</v>
      </c>
      <c r="AE126" s="605">
        <f>DwellingStocks!BY38/1000</f>
        <v>4.6932151961278157</v>
      </c>
      <c r="AF126" s="605">
        <f>DwellingStocks!CB38/1000</f>
        <v>7.0702699829017046</v>
      </c>
      <c r="AG126" s="605">
        <f>DwellingStocks!CE38/1000</f>
        <v>15.493764621037341</v>
      </c>
      <c r="AH126" s="605">
        <f>DwellingStocks!CH38/1000</f>
        <v>4.7823911531211287</v>
      </c>
      <c r="AI126" s="605">
        <v>1</v>
      </c>
      <c r="AJ126" s="603">
        <f>BP30</f>
        <v>2640</v>
      </c>
      <c r="AK126" s="603">
        <v>1</v>
      </c>
      <c r="AL126" s="707">
        <f>AN126</f>
        <v>4.2289436352509556E-2</v>
      </c>
      <c r="AM126" s="1220"/>
      <c r="AN126" s="785">
        <f>ABS(BR73*DwellingStocks!Y22*(1+AO153))</f>
        <v>4.2289436352509556E-2</v>
      </c>
      <c r="AO126" s="786">
        <f>AN126*H126</f>
        <v>11.19677961003681</v>
      </c>
      <c r="AP126" s="787"/>
      <c r="AQ126" s="788"/>
      <c r="AR126" s="787"/>
      <c r="AS126" s="788"/>
      <c r="AT126" s="786"/>
      <c r="AU126" s="788"/>
    </row>
    <row r="127" spans="3:47">
      <c r="C127" s="439"/>
      <c r="D127" s="438"/>
      <c r="E127" s="438"/>
      <c r="F127" s="711" t="s">
        <v>1279</v>
      </c>
      <c r="G127" s="438"/>
      <c r="H127" s="709"/>
      <c r="I127" s="709"/>
      <c r="J127" s="709"/>
      <c r="K127" s="709"/>
      <c r="L127" s="709"/>
      <c r="M127" s="709"/>
      <c r="N127" s="709"/>
      <c r="O127" s="709"/>
      <c r="P127" s="709"/>
      <c r="Q127" s="709"/>
      <c r="R127" s="709"/>
      <c r="S127" s="709"/>
      <c r="T127" s="709"/>
      <c r="U127" s="709"/>
      <c r="V127" s="709"/>
      <c r="W127" s="709"/>
      <c r="X127" s="709"/>
      <c r="Y127" s="709"/>
      <c r="Z127" s="709"/>
      <c r="AA127" s="709"/>
      <c r="AB127" s="709"/>
      <c r="AC127" s="709"/>
      <c r="AD127" s="709"/>
      <c r="AE127" s="709"/>
      <c r="AF127" s="709"/>
      <c r="AG127" s="709"/>
      <c r="AH127" s="709"/>
      <c r="AI127" s="709"/>
      <c r="AJ127" s="438"/>
      <c r="AK127" s="438"/>
      <c r="AL127" s="710"/>
      <c r="AM127" s="1220"/>
      <c r="AN127" s="767"/>
      <c r="AO127" s="764"/>
      <c r="AP127" s="771"/>
      <c r="AQ127" s="768"/>
      <c r="AR127" s="771"/>
      <c r="AS127" s="768"/>
      <c r="AT127" s="764"/>
      <c r="AU127" s="768"/>
    </row>
    <row r="128" spans="3:47">
      <c r="C128" s="290"/>
      <c r="D128" s="290"/>
      <c r="E128" s="290"/>
      <c r="F128" s="372" t="s">
        <v>938</v>
      </c>
      <c r="G128" s="290"/>
      <c r="H128" s="713"/>
      <c r="I128" s="713"/>
      <c r="J128" s="713"/>
      <c r="K128" s="713"/>
      <c r="L128" s="713"/>
      <c r="M128" s="713"/>
      <c r="N128" s="713"/>
      <c r="O128" s="713"/>
      <c r="P128" s="713"/>
      <c r="Q128" s="713"/>
      <c r="R128" s="713"/>
      <c r="S128" s="713"/>
      <c r="T128" s="713"/>
      <c r="U128" s="713"/>
      <c r="V128" s="713"/>
      <c r="W128" s="713"/>
      <c r="X128" s="713"/>
      <c r="Y128" s="713"/>
      <c r="Z128" s="713"/>
      <c r="AA128" s="713"/>
      <c r="AB128" s="713"/>
      <c r="AC128" s="713"/>
      <c r="AD128" s="713"/>
      <c r="AE128" s="713"/>
      <c r="AF128" s="713"/>
      <c r="AG128" s="713"/>
      <c r="AH128" s="713"/>
      <c r="AI128" s="713"/>
      <c r="AJ128" s="290"/>
      <c r="AK128" s="290"/>
      <c r="AL128" s="714">
        <f>AP128</f>
        <v>1.5767575965249324E-2</v>
      </c>
      <c r="AM128" s="1220"/>
      <c r="AN128" s="767"/>
      <c r="AO128" s="764"/>
      <c r="AP128" s="771">
        <f>BS73*(1+AQ153)</f>
        <v>1.5767575965249324E-2</v>
      </c>
      <c r="AQ128" s="768">
        <f>AP128*H126</f>
        <v>4.1747085866972888</v>
      </c>
      <c r="AR128" s="771"/>
      <c r="AS128" s="768"/>
      <c r="AT128" s="764"/>
      <c r="AU128" s="768"/>
    </row>
    <row r="129" spans="3:47">
      <c r="C129" s="439"/>
      <c r="D129" s="438"/>
      <c r="E129" s="438"/>
      <c r="F129" s="711" t="s">
        <v>939</v>
      </c>
      <c r="G129" s="438"/>
      <c r="H129" s="709"/>
      <c r="I129" s="709"/>
      <c r="J129" s="709"/>
      <c r="K129" s="709"/>
      <c r="L129" s="709"/>
      <c r="M129" s="709"/>
      <c r="N129" s="709"/>
      <c r="O129" s="709"/>
      <c r="P129" s="709"/>
      <c r="Q129" s="709"/>
      <c r="R129" s="709"/>
      <c r="S129" s="709"/>
      <c r="T129" s="709"/>
      <c r="U129" s="709"/>
      <c r="V129" s="709"/>
      <c r="W129" s="709"/>
      <c r="X129" s="709"/>
      <c r="Y129" s="709"/>
      <c r="Z129" s="709"/>
      <c r="AA129" s="709"/>
      <c r="AB129" s="709"/>
      <c r="AC129" s="709"/>
      <c r="AD129" s="709"/>
      <c r="AE129" s="709"/>
      <c r="AF129" s="709"/>
      <c r="AG129" s="709"/>
      <c r="AH129" s="709"/>
      <c r="AI129" s="709"/>
      <c r="AJ129" s="438"/>
      <c r="AK129" s="438"/>
      <c r="AL129" s="710">
        <f>AR129</f>
        <v>1.693275464803517E-3</v>
      </c>
      <c r="AM129" s="1220"/>
      <c r="AN129" s="767"/>
      <c r="AO129" s="764"/>
      <c r="AP129" s="771"/>
      <c r="AQ129" s="768"/>
      <c r="AR129" s="771">
        <f>BT73*(1+AS153)</f>
        <v>1.693275464803517E-3</v>
      </c>
      <c r="AS129" s="768">
        <f>AR129*H126</f>
        <v>0.44832075888763967</v>
      </c>
      <c r="AT129" s="764"/>
      <c r="AU129" s="768"/>
    </row>
    <row r="130" spans="3:47" ht="13.5" thickBot="1">
      <c r="C130" s="606"/>
      <c r="D130" s="606"/>
      <c r="E130" s="606"/>
      <c r="F130" s="716" t="s">
        <v>940</v>
      </c>
      <c r="G130" s="606"/>
      <c r="H130" s="608"/>
      <c r="I130" s="608"/>
      <c r="J130" s="608"/>
      <c r="K130" s="608"/>
      <c r="L130" s="608"/>
      <c r="M130" s="608"/>
      <c r="N130" s="608"/>
      <c r="O130" s="608"/>
      <c r="P130" s="608"/>
      <c r="Q130" s="608"/>
      <c r="R130" s="608"/>
      <c r="S130" s="608"/>
      <c r="T130" s="608"/>
      <c r="U130" s="608"/>
      <c r="V130" s="608"/>
      <c r="W130" s="608"/>
      <c r="X130" s="608"/>
      <c r="Y130" s="608"/>
      <c r="Z130" s="608"/>
      <c r="AA130" s="608"/>
      <c r="AB130" s="608"/>
      <c r="AC130" s="608"/>
      <c r="AD130" s="608"/>
      <c r="AE130" s="608"/>
      <c r="AF130" s="608"/>
      <c r="AG130" s="608"/>
      <c r="AH130" s="608"/>
      <c r="AI130" s="608"/>
      <c r="AJ130" s="606"/>
      <c r="AK130" s="606"/>
      <c r="AL130" s="715">
        <f>AT130</f>
        <v>4.6160717610503279E-4</v>
      </c>
      <c r="AM130" s="1220"/>
      <c r="AN130" s="789"/>
      <c r="AO130" s="769"/>
      <c r="AP130" s="790"/>
      <c r="AQ130" s="770"/>
      <c r="AR130" s="790"/>
      <c r="AS130" s="770"/>
      <c r="AT130" s="791">
        <f>BU72*(1+AU153)</f>
        <v>4.6160717610503279E-4</v>
      </c>
      <c r="AU130" s="770">
        <f>AT130*H126</f>
        <v>0.12221760947998046</v>
      </c>
    </row>
    <row r="131" spans="3:47">
      <c r="C131" s="602" t="str">
        <f>AY29</f>
        <v>R-BLD_Det_D</v>
      </c>
      <c r="D131" s="603" t="str">
        <f>AZ29</f>
        <v>Residential Building Detached _ D</v>
      </c>
      <c r="E131" s="603">
        <v>2018</v>
      </c>
      <c r="F131" s="602" t="str">
        <f>COMM!O17</f>
        <v>RSDSH_Det-D</v>
      </c>
      <c r="G131" s="603" t="s">
        <v>937</v>
      </c>
      <c r="H131" s="605">
        <f>BI13/1000</f>
        <v>166.9841975480154</v>
      </c>
      <c r="I131" s="605">
        <f>DwellingStocks!K39/1000</f>
        <v>2.6115423082337648</v>
      </c>
      <c r="J131" s="605">
        <f>DwellingStocks!N39/1000</f>
        <v>12.702471895023944</v>
      </c>
      <c r="K131" s="605">
        <f>DwellingStocks!Q39/1000</f>
        <v>6.3102899019493588</v>
      </c>
      <c r="L131" s="605">
        <f>DwellingStocks!T39/1000</f>
        <v>5.0979413466577279</v>
      </c>
      <c r="M131" s="605">
        <f>DwellingStocks!W39/1000</f>
        <v>3.686494540406815</v>
      </c>
      <c r="N131" s="605">
        <f>DwellingStocks!Z39/1000</f>
        <v>2.1418438974320866</v>
      </c>
      <c r="O131" s="605">
        <f>DwellingStocks!AC39/1000</f>
        <v>3.9114069227031467</v>
      </c>
      <c r="P131" s="605">
        <f>DwellingStocks!AF39/1000</f>
        <v>7.2228902174916136</v>
      </c>
      <c r="Q131" s="605">
        <f>DwellingStocks!AI39/1000</f>
        <v>3.922912289516832</v>
      </c>
      <c r="R131" s="605">
        <f>DwellingStocks!AL39/1000</f>
        <v>3.8623070908684958</v>
      </c>
      <c r="S131" s="605">
        <f>DwellingStocks!AO39/1000</f>
        <v>8.3983483675153927</v>
      </c>
      <c r="T131" s="605">
        <f>DwellingStocks!AR39/1000</f>
        <v>5.2612160678515822</v>
      </c>
      <c r="U131" s="605">
        <f>DwellingStocks!AU39/1000</f>
        <v>5.9696006405620849</v>
      </c>
      <c r="V131" s="605">
        <f>DwellingStocks!AX39/1000</f>
        <v>18.236913869534966</v>
      </c>
      <c r="W131" s="605">
        <f>DwellingStocks!BA39/1000</f>
        <v>8.574086200091994</v>
      </c>
      <c r="X131" s="605">
        <f>DwellingStocks!BD39/1000</f>
        <v>8.5072952650901996</v>
      </c>
      <c r="Y131" s="605">
        <f>DwellingStocks!BG39/1000</f>
        <v>8.554153711759902</v>
      </c>
      <c r="Z131" s="605">
        <f>DwellingStocks!BJ39/1000</f>
        <v>4.7770385337190975</v>
      </c>
      <c r="AA131" s="605">
        <f>DwellingStocks!BM39/1000</f>
        <v>12.382576852789567</v>
      </c>
      <c r="AB131" s="605">
        <f>DwellingStocks!BP39/1000</f>
        <v>1.8853298833131329</v>
      </c>
      <c r="AC131" s="605">
        <f>DwellingStocks!BS39/1000</f>
        <v>8.5794880010907058</v>
      </c>
      <c r="AD131" s="605">
        <f>DwellingStocks!BV39/1000</f>
        <v>3.9850531006202639</v>
      </c>
      <c r="AE131" s="605">
        <f>DwellingStocks!BY39/1000</f>
        <v>3.3703134856126571</v>
      </c>
      <c r="AF131" s="605">
        <f>DwellingStocks!CB39/1000</f>
        <v>3.7469172720446822</v>
      </c>
      <c r="AG131" s="605">
        <f>DwellingStocks!CE39/1000</f>
        <v>9.7056947578551398</v>
      </c>
      <c r="AH131" s="605">
        <f>DwellingStocks!CH39/1000</f>
        <v>3.5800711282802351</v>
      </c>
      <c r="AI131" s="605">
        <v>1</v>
      </c>
      <c r="AJ131" s="603">
        <f>BP31</f>
        <v>1651</v>
      </c>
      <c r="AK131" s="603">
        <v>1</v>
      </c>
      <c r="AL131" s="707">
        <f>AN131</f>
        <v>4.954362024013631E-2</v>
      </c>
      <c r="AM131" s="1220"/>
      <c r="AN131" s="785">
        <f>ABS(BR74*DwellingStocks!Y23*(1+AO153))</f>
        <v>4.954362024013631E-2</v>
      </c>
      <c r="AO131" s="786">
        <f>AN131*H131</f>
        <v>8.2730016694227757</v>
      </c>
      <c r="AP131" s="787"/>
      <c r="AQ131" s="788"/>
      <c r="AR131" s="787"/>
      <c r="AS131" s="788"/>
      <c r="AT131" s="786"/>
      <c r="AU131" s="788"/>
    </row>
    <row r="132" spans="3:47">
      <c r="C132" s="439"/>
      <c r="D132" s="438"/>
      <c r="E132" s="438"/>
      <c r="F132" s="711" t="s">
        <v>1279</v>
      </c>
      <c r="G132" s="438"/>
      <c r="H132" s="709"/>
      <c r="I132" s="709"/>
      <c r="J132" s="709"/>
      <c r="K132" s="709"/>
      <c r="L132" s="709"/>
      <c r="M132" s="709"/>
      <c r="N132" s="709"/>
      <c r="O132" s="709"/>
      <c r="P132" s="709"/>
      <c r="Q132" s="709"/>
      <c r="R132" s="709"/>
      <c r="S132" s="709"/>
      <c r="T132" s="709"/>
      <c r="U132" s="709"/>
      <c r="V132" s="709"/>
      <c r="W132" s="709"/>
      <c r="X132" s="709"/>
      <c r="Y132" s="709"/>
      <c r="Z132" s="709"/>
      <c r="AA132" s="709"/>
      <c r="AB132" s="709"/>
      <c r="AC132" s="709"/>
      <c r="AD132" s="709"/>
      <c r="AE132" s="709"/>
      <c r="AF132" s="709"/>
      <c r="AG132" s="709"/>
      <c r="AH132" s="709"/>
      <c r="AI132" s="709"/>
      <c r="AJ132" s="438"/>
      <c r="AK132" s="438"/>
      <c r="AL132" s="710"/>
      <c r="AM132" s="1220"/>
      <c r="AN132" s="767"/>
      <c r="AO132" s="764"/>
      <c r="AP132" s="771"/>
      <c r="AQ132" s="768"/>
      <c r="AR132" s="771"/>
      <c r="AS132" s="768"/>
      <c r="AT132" s="764"/>
      <c r="AU132" s="768"/>
    </row>
    <row r="133" spans="3:47">
      <c r="C133" s="290"/>
      <c r="D133" s="290"/>
      <c r="E133" s="290"/>
      <c r="F133" s="372" t="s">
        <v>938</v>
      </c>
      <c r="G133" s="290"/>
      <c r="H133" s="713"/>
      <c r="I133" s="713"/>
      <c r="J133" s="713"/>
      <c r="K133" s="713"/>
      <c r="L133" s="713"/>
      <c r="M133" s="713"/>
      <c r="N133" s="713"/>
      <c r="O133" s="713"/>
      <c r="P133" s="713"/>
      <c r="Q133" s="713"/>
      <c r="R133" s="713"/>
      <c r="S133" s="713"/>
      <c r="T133" s="713"/>
      <c r="U133" s="713"/>
      <c r="V133" s="713"/>
      <c r="W133" s="713"/>
      <c r="X133" s="713"/>
      <c r="Y133" s="713"/>
      <c r="Z133" s="713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290"/>
      <c r="AK133" s="290"/>
      <c r="AL133" s="714">
        <f>AP133</f>
        <v>1.5950798442923898E-2</v>
      </c>
      <c r="AM133" s="1220"/>
      <c r="AN133" s="767"/>
      <c r="AO133" s="764"/>
      <c r="AP133" s="771">
        <f>BS74*(1+AQ153)</f>
        <v>1.5950798442923898E-2</v>
      </c>
      <c r="AQ133" s="768">
        <f>AP133*H131</f>
        <v>2.6635312782417806</v>
      </c>
      <c r="AR133" s="771"/>
      <c r="AS133" s="768"/>
      <c r="AT133" s="764"/>
      <c r="AU133" s="768"/>
    </row>
    <row r="134" spans="3:47">
      <c r="C134" s="439"/>
      <c r="D134" s="438"/>
      <c r="E134" s="438"/>
      <c r="F134" s="711" t="s">
        <v>939</v>
      </c>
      <c r="G134" s="438"/>
      <c r="H134" s="709"/>
      <c r="I134" s="709"/>
      <c r="J134" s="709"/>
      <c r="K134" s="709"/>
      <c r="L134" s="709"/>
      <c r="M134" s="709"/>
      <c r="N134" s="709"/>
      <c r="O134" s="709"/>
      <c r="P134" s="709"/>
      <c r="Q134" s="709"/>
      <c r="R134" s="709"/>
      <c r="S134" s="709"/>
      <c r="T134" s="709"/>
      <c r="U134" s="709"/>
      <c r="V134" s="709"/>
      <c r="W134" s="709"/>
      <c r="X134" s="709"/>
      <c r="Y134" s="709"/>
      <c r="Z134" s="709"/>
      <c r="AA134" s="709"/>
      <c r="AB134" s="709"/>
      <c r="AC134" s="709"/>
      <c r="AD134" s="709"/>
      <c r="AE134" s="709"/>
      <c r="AF134" s="709"/>
      <c r="AG134" s="709"/>
      <c r="AH134" s="709"/>
      <c r="AI134" s="709"/>
      <c r="AJ134" s="438"/>
      <c r="AK134" s="438"/>
      <c r="AL134" s="710">
        <f>AR134</f>
        <v>1.3848133824046998E-3</v>
      </c>
      <c r="AM134" s="1220"/>
      <c r="AN134" s="767"/>
      <c r="AO134" s="764"/>
      <c r="AP134" s="771"/>
      <c r="AQ134" s="768"/>
      <c r="AR134" s="771">
        <f>BT74*(1+AS153)</f>
        <v>1.3848133824046998E-3</v>
      </c>
      <c r="AS134" s="768">
        <f>AR134*H131</f>
        <v>0.2312419514146018</v>
      </c>
      <c r="AT134" s="764"/>
      <c r="AU134" s="768"/>
    </row>
    <row r="135" spans="3:47" ht="13.5" thickBot="1">
      <c r="C135" s="606"/>
      <c r="D135" s="606"/>
      <c r="E135" s="606"/>
      <c r="F135" s="716" t="s">
        <v>940</v>
      </c>
      <c r="G135" s="606"/>
      <c r="H135" s="608"/>
      <c r="I135" s="608"/>
      <c r="J135" s="608"/>
      <c r="K135" s="608"/>
      <c r="L135" s="608"/>
      <c r="M135" s="608"/>
      <c r="N135" s="608"/>
      <c r="O135" s="608"/>
      <c r="P135" s="608"/>
      <c r="Q135" s="608"/>
      <c r="R135" s="608"/>
      <c r="S135" s="608"/>
      <c r="T135" s="608"/>
      <c r="U135" s="608"/>
      <c r="V135" s="608"/>
      <c r="W135" s="608"/>
      <c r="X135" s="608"/>
      <c r="Y135" s="608"/>
      <c r="Z135" s="608"/>
      <c r="AA135" s="608"/>
      <c r="AB135" s="608"/>
      <c r="AC135" s="608"/>
      <c r="AD135" s="608"/>
      <c r="AE135" s="608"/>
      <c r="AF135" s="608"/>
      <c r="AG135" s="608"/>
      <c r="AH135" s="608"/>
      <c r="AI135" s="608"/>
      <c r="AJ135" s="606"/>
      <c r="AK135" s="606"/>
      <c r="AL135" s="715">
        <f>AT135</f>
        <v>4.2755133328489976E-4</v>
      </c>
      <c r="AM135" s="1220"/>
      <c r="AN135" s="789"/>
      <c r="AO135" s="769"/>
      <c r="AP135" s="790"/>
      <c r="AQ135" s="770"/>
      <c r="AR135" s="790"/>
      <c r="AS135" s="770"/>
      <c r="AT135" s="791">
        <f>BU73*(1+AU153)</f>
        <v>4.2755133328489976E-4</v>
      </c>
      <c r="AU135" s="770">
        <f>AT135*H131</f>
        <v>7.1394316299163069E-2</v>
      </c>
    </row>
    <row r="136" spans="3:47">
      <c r="C136" s="602" t="str">
        <f>AY30</f>
        <v>R-BLD_Det_E</v>
      </c>
      <c r="D136" s="603" t="str">
        <f>AZ30</f>
        <v>Residential Building Detached _ E</v>
      </c>
      <c r="E136" s="603">
        <v>2018</v>
      </c>
      <c r="F136" s="602" t="str">
        <f>COMM!O20</f>
        <v>RSDSH_Det-E</v>
      </c>
      <c r="G136" s="603" t="s">
        <v>937</v>
      </c>
      <c r="H136" s="605">
        <f>BI14/1000</f>
        <v>74.836881491341003</v>
      </c>
      <c r="I136" s="605">
        <f>DwellingStocks!K40/1000</f>
        <v>1.0961405819859322</v>
      </c>
      <c r="J136" s="605">
        <f>DwellingStocks!N40/1000</f>
        <v>6.5321372620409894</v>
      </c>
      <c r="K136" s="605">
        <f>DwellingStocks!Q40/1000</f>
        <v>2.3886408103424128</v>
      </c>
      <c r="L136" s="605">
        <f>DwellingStocks!T40/1000</f>
        <v>2.2436524886385483</v>
      </c>
      <c r="M136" s="605">
        <f>DwellingStocks!W40/1000</f>
        <v>1.5320496791301048</v>
      </c>
      <c r="N136" s="605">
        <f>DwellingStocks!Z40/1000</f>
        <v>1.0709219487160433</v>
      </c>
      <c r="O136" s="605">
        <f>DwellingStocks!AC40/1000</f>
        <v>1.7225994124228001</v>
      </c>
      <c r="P136" s="605">
        <f>DwellingStocks!AF40/1000</f>
        <v>2.8423273363046606</v>
      </c>
      <c r="Q136" s="605">
        <f>DwellingStocks!AI40/1000</f>
        <v>1.743516573118592</v>
      </c>
      <c r="R136" s="605">
        <f>DwellingStocks!AL40/1000</f>
        <v>1.7762633788026563</v>
      </c>
      <c r="S136" s="605">
        <f>DwellingStocks!AO40/1000</f>
        <v>3.3121890865770824</v>
      </c>
      <c r="T136" s="605">
        <f>DwellingStocks!AR40/1000</f>
        <v>2.3450141338282702</v>
      </c>
      <c r="U136" s="605">
        <f>DwellingStocks!AU40/1000</f>
        <v>2.9007910397433312</v>
      </c>
      <c r="V136" s="605">
        <f>DwellingStocks!AX40/1000</f>
        <v>7.8014221541968842</v>
      </c>
      <c r="W136" s="605">
        <f>DwellingStocks!BA40/1000</f>
        <v>3.9524138153590482</v>
      </c>
      <c r="X136" s="605">
        <f>DwellingStocks!BD40/1000</f>
        <v>3.4570281112557346</v>
      </c>
      <c r="Y136" s="605">
        <f>DwellingStocks!BG40/1000</f>
        <v>4.2037250544850657</v>
      </c>
      <c r="Z136" s="605">
        <f>DwellingStocks!BJ40/1000</f>
        <v>1.5824781170855375</v>
      </c>
      <c r="AA136" s="605">
        <f>DwellingStocks!BM40/1000</f>
        <v>5.5816373525503646</v>
      </c>
      <c r="AB136" s="605">
        <f>DwellingStocks!BP40/1000</f>
        <v>1.0891347931490212</v>
      </c>
      <c r="AC136" s="605">
        <f>DwellingStocks!BS40/1000</f>
        <v>4.0478970159476777</v>
      </c>
      <c r="AD136" s="605">
        <f>DwellingStocks!BV40/1000</f>
        <v>2.0188208889505881</v>
      </c>
      <c r="AE136" s="605">
        <f>DwellingStocks!BY40/1000</f>
        <v>1.6636897779298148</v>
      </c>
      <c r="AF136" s="605">
        <f>DwellingStocks!CB40/1000</f>
        <v>1.8137251722651071</v>
      </c>
      <c r="AG136" s="605">
        <f>DwellingStocks!CE40/1000</f>
        <v>4.4861223417946521</v>
      </c>
      <c r="AH136" s="605">
        <f>DwellingStocks!CH40/1000</f>
        <v>1.6325431647200641</v>
      </c>
      <c r="AI136" s="605">
        <v>1</v>
      </c>
      <c r="AJ136" s="603">
        <f>BP32</f>
        <v>282</v>
      </c>
      <c r="AK136" s="603">
        <v>1</v>
      </c>
      <c r="AL136" s="707">
        <f>AN136</f>
        <v>6.2234591699865838E-2</v>
      </c>
      <c r="AM136" s="1220"/>
      <c r="AN136" s="785">
        <f>ABS(BR75*DwellingStocks!Y24*(1+AO153))</f>
        <v>6.2234591699865838E-2</v>
      </c>
      <c r="AO136" s="786">
        <f>AN136*H136</f>
        <v>4.6574427637048545</v>
      </c>
      <c r="AP136" s="787"/>
      <c r="AQ136" s="788"/>
      <c r="AR136" s="787"/>
      <c r="AS136" s="788"/>
      <c r="AT136" s="786"/>
      <c r="AU136" s="788"/>
    </row>
    <row r="137" spans="3:47">
      <c r="C137" s="439"/>
      <c r="D137" s="438"/>
      <c r="E137" s="438"/>
      <c r="F137" s="711" t="s">
        <v>1279</v>
      </c>
      <c r="G137" s="438"/>
      <c r="H137" s="709"/>
      <c r="I137" s="709"/>
      <c r="J137" s="709"/>
      <c r="K137" s="709"/>
      <c r="L137" s="709"/>
      <c r="M137" s="709"/>
      <c r="N137" s="709"/>
      <c r="O137" s="709"/>
      <c r="P137" s="709"/>
      <c r="Q137" s="709"/>
      <c r="R137" s="709"/>
      <c r="S137" s="709"/>
      <c r="T137" s="709"/>
      <c r="U137" s="709"/>
      <c r="V137" s="709"/>
      <c r="W137" s="709"/>
      <c r="X137" s="709"/>
      <c r="Y137" s="709"/>
      <c r="Z137" s="709"/>
      <c r="AA137" s="709"/>
      <c r="AB137" s="709"/>
      <c r="AC137" s="709"/>
      <c r="AD137" s="709"/>
      <c r="AE137" s="709"/>
      <c r="AF137" s="709"/>
      <c r="AG137" s="709"/>
      <c r="AH137" s="709"/>
      <c r="AI137" s="709"/>
      <c r="AJ137" s="438"/>
      <c r="AK137" s="438"/>
      <c r="AL137" s="710"/>
      <c r="AM137" s="1220"/>
      <c r="AN137" s="767"/>
      <c r="AO137" s="764"/>
      <c r="AP137" s="771"/>
      <c r="AQ137" s="768"/>
      <c r="AR137" s="771"/>
      <c r="AS137" s="768"/>
      <c r="AT137" s="764"/>
      <c r="AU137" s="768"/>
    </row>
    <row r="138" spans="3:47">
      <c r="C138" s="290"/>
      <c r="D138" s="290"/>
      <c r="E138" s="290"/>
      <c r="F138" s="372" t="s">
        <v>938</v>
      </c>
      <c r="G138" s="290"/>
      <c r="H138" s="713"/>
      <c r="I138" s="713"/>
      <c r="J138" s="713"/>
      <c r="K138" s="713"/>
      <c r="L138" s="713"/>
      <c r="M138" s="713"/>
      <c r="N138" s="713"/>
      <c r="O138" s="713"/>
      <c r="P138" s="713"/>
      <c r="Q138" s="713"/>
      <c r="R138" s="713"/>
      <c r="S138" s="713"/>
      <c r="T138" s="713"/>
      <c r="U138" s="713"/>
      <c r="V138" s="713"/>
      <c r="W138" s="713"/>
      <c r="X138" s="713"/>
      <c r="Y138" s="713"/>
      <c r="Z138" s="713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290"/>
      <c r="AK138" s="290"/>
      <c r="AL138" s="714">
        <f>AP138</f>
        <v>1.6004218124912494E-2</v>
      </c>
      <c r="AM138" s="1220"/>
      <c r="AN138" s="767"/>
      <c r="AO138" s="764"/>
      <c r="AP138" s="771">
        <f>BS75*(1+AQ153)</f>
        <v>1.6004218124912494E-2</v>
      </c>
      <c r="AQ138" s="768">
        <f>AP138*H136</f>
        <v>1.1977057751756481</v>
      </c>
      <c r="AR138" s="771"/>
      <c r="AS138" s="768"/>
      <c r="AT138" s="764"/>
      <c r="AU138" s="768"/>
    </row>
    <row r="139" spans="3:47">
      <c r="C139" s="439"/>
      <c r="D139" s="438"/>
      <c r="E139" s="438"/>
      <c r="F139" s="711" t="s">
        <v>939</v>
      </c>
      <c r="G139" s="438"/>
      <c r="H139" s="709"/>
      <c r="I139" s="709"/>
      <c r="J139" s="709"/>
      <c r="K139" s="709"/>
      <c r="L139" s="709"/>
      <c r="M139" s="709"/>
      <c r="N139" s="709"/>
      <c r="O139" s="709"/>
      <c r="P139" s="709"/>
      <c r="Q139" s="709"/>
      <c r="R139" s="709"/>
      <c r="S139" s="709"/>
      <c r="T139" s="709"/>
      <c r="U139" s="709"/>
      <c r="V139" s="709"/>
      <c r="W139" s="709"/>
      <c r="X139" s="709"/>
      <c r="Y139" s="709"/>
      <c r="Z139" s="709"/>
      <c r="AA139" s="709"/>
      <c r="AB139" s="709"/>
      <c r="AC139" s="709"/>
      <c r="AD139" s="709"/>
      <c r="AE139" s="709"/>
      <c r="AF139" s="709"/>
      <c r="AG139" s="709"/>
      <c r="AH139" s="709"/>
      <c r="AI139" s="709"/>
      <c r="AJ139" s="438"/>
      <c r="AK139" s="438"/>
      <c r="AL139" s="710">
        <f>AR139</f>
        <v>1.2789100833930488E-3</v>
      </c>
      <c r="AM139" s="1220"/>
      <c r="AN139" s="767"/>
      <c r="AO139" s="764"/>
      <c r="AP139" s="771"/>
      <c r="AQ139" s="768"/>
      <c r="AR139" s="771">
        <f>BT75*(1+AS153)</f>
        <v>1.2789100833930488E-3</v>
      </c>
      <c r="AS139" s="768">
        <f>AR139*H136</f>
        <v>9.5709642348966631E-2</v>
      </c>
      <c r="AT139" s="764"/>
      <c r="AU139" s="768"/>
    </row>
    <row r="140" spans="3:47" ht="13.5" thickBot="1">
      <c r="C140" s="606"/>
      <c r="D140" s="606"/>
      <c r="E140" s="606"/>
      <c r="F140" s="716" t="s">
        <v>940</v>
      </c>
      <c r="G140" s="606"/>
      <c r="H140" s="608"/>
      <c r="I140" s="608"/>
      <c r="J140" s="608"/>
      <c r="K140" s="608"/>
      <c r="L140" s="608"/>
      <c r="M140" s="608"/>
      <c r="N140" s="608"/>
      <c r="O140" s="608"/>
      <c r="P140" s="608"/>
      <c r="Q140" s="608"/>
      <c r="R140" s="608"/>
      <c r="S140" s="608"/>
      <c r="T140" s="608"/>
      <c r="U140" s="608"/>
      <c r="V140" s="608"/>
      <c r="W140" s="608"/>
      <c r="X140" s="608"/>
      <c r="Y140" s="608"/>
      <c r="Z140" s="608"/>
      <c r="AA140" s="608"/>
      <c r="AB140" s="608"/>
      <c r="AC140" s="608"/>
      <c r="AD140" s="608"/>
      <c r="AE140" s="608"/>
      <c r="AF140" s="608"/>
      <c r="AG140" s="608"/>
      <c r="AH140" s="608"/>
      <c r="AI140" s="608"/>
      <c r="AJ140" s="606"/>
      <c r="AK140" s="606"/>
      <c r="AL140" s="715">
        <f>AT140</f>
        <v>4.1532800906285427E-4</v>
      </c>
      <c r="AM140" s="1220"/>
      <c r="AN140" s="789"/>
      <c r="AO140" s="769"/>
      <c r="AP140" s="790"/>
      <c r="AQ140" s="770"/>
      <c r="AR140" s="790"/>
      <c r="AS140" s="770"/>
      <c r="AT140" s="791">
        <f>BU74*(1+AU153)</f>
        <v>4.1532800906285427E-4</v>
      </c>
      <c r="AU140" s="770">
        <f>AT140*H136</f>
        <v>3.1081852994271429E-2</v>
      </c>
    </row>
    <row r="141" spans="3:47">
      <c r="C141" s="602" t="str">
        <f>AY31</f>
        <v>R-BLD_Det_F</v>
      </c>
      <c r="D141" s="603" t="str">
        <f>AZ31</f>
        <v>Residential Building Detached _ F</v>
      </c>
      <c r="E141" s="603">
        <v>2018</v>
      </c>
      <c r="F141" s="602" t="str">
        <f>COMM!O23</f>
        <v>RSDSH_Det-F</v>
      </c>
      <c r="G141" s="603" t="s">
        <v>937</v>
      </c>
      <c r="H141" s="887">
        <f>BI15/1000</f>
        <v>37.368747662299228</v>
      </c>
      <c r="I141" s="605">
        <f>DwellingStocks!K41/1000</f>
        <v>0.58848100369290834</v>
      </c>
      <c r="J141" s="605">
        <f>DwellingStocks!N41/1000</f>
        <v>3.1823863902859828</v>
      </c>
      <c r="K141" s="605">
        <f>DwellingStocks!Q41/1000</f>
        <v>0.99549553863868645</v>
      </c>
      <c r="L141" s="605">
        <f>DwellingStocks!T41/1000</f>
        <v>1.0677413087455609</v>
      </c>
      <c r="M141" s="605">
        <f>DwellingStocks!W41/1000</f>
        <v>0.92162363510170375</v>
      </c>
      <c r="N141" s="605">
        <f>DwellingStocks!Z41/1000</f>
        <v>0.75044655259154147</v>
      </c>
      <c r="O141" s="605">
        <f>DwellingStocks!AC41/1000</f>
        <v>0.77174560831785999</v>
      </c>
      <c r="P141" s="605">
        <f>DwellingStocks!AF41/1000</f>
        <v>1.4018986757790453</v>
      </c>
      <c r="Q141" s="605">
        <f>DwellingStocks!AI41/1000</f>
        <v>1.0434682520937029</v>
      </c>
      <c r="R141" s="605">
        <f>DwellingStocks!AL41/1000</f>
        <v>1.0060755777538246</v>
      </c>
      <c r="S141" s="605">
        <f>DwellingStocks!AO41/1000</f>
        <v>1.4518545538061631</v>
      </c>
      <c r="T141" s="605">
        <f>DwellingStocks!AR41/1000</f>
        <v>1.2498008288671338</v>
      </c>
      <c r="U141" s="605">
        <f>DwellingStocks!AU41/1000</f>
        <v>1.3021438483345276</v>
      </c>
      <c r="V141" s="605">
        <f>DwellingStocks!AX41/1000</f>
        <v>3.6419348534082525</v>
      </c>
      <c r="W141" s="605">
        <f>DwellingStocks!BA41/1000</f>
        <v>1.7274447601952647</v>
      </c>
      <c r="X141" s="605">
        <f>DwellingStocks!BD41/1000</f>
        <v>1.8255294690267436</v>
      </c>
      <c r="Y141" s="605">
        <f>DwellingStocks!BG41/1000</f>
        <v>2.3179169240783768</v>
      </c>
      <c r="Z141" s="605">
        <f>DwellingStocks!BJ41/1000</f>
        <v>0.85583000209728066</v>
      </c>
      <c r="AA141" s="605">
        <f>DwellingStocks!BM41/1000</f>
        <v>2.6255981121450778</v>
      </c>
      <c r="AB141" s="605">
        <f>DwellingStocks!BP41/1000</f>
        <v>0.59339068040532872</v>
      </c>
      <c r="AC141" s="605">
        <f>DwellingStocks!BS41/1000</f>
        <v>2.0725881249878966</v>
      </c>
      <c r="AD141" s="605">
        <f>DwellingStocks!BV41/1000</f>
        <v>1.1657156797268953</v>
      </c>
      <c r="AE141" s="605">
        <f>DwellingStocks!BY41/1000</f>
        <v>1.0196808316344026</v>
      </c>
      <c r="AF141" s="605">
        <f>DwellingStocks!CB41/1000</f>
        <v>0.92315353079361739</v>
      </c>
      <c r="AG141" s="605">
        <f>DwellingStocks!CE41/1000</f>
        <v>2.1561664833839034</v>
      </c>
      <c r="AH141" s="605">
        <f>DwellingStocks!CH41/1000</f>
        <v>0.71063643640755736</v>
      </c>
      <c r="AI141" s="605">
        <v>1</v>
      </c>
      <c r="AJ141" s="603">
        <f>BP33</f>
        <v>87.56</v>
      </c>
      <c r="AK141" s="603">
        <v>1</v>
      </c>
      <c r="AL141" s="707">
        <f>AN141</f>
        <v>7.6045597890621042E-2</v>
      </c>
      <c r="AM141" s="1220"/>
      <c r="AN141" s="785">
        <f>ABS(BR76*DwellingStocks!Y25*(1+AO153))</f>
        <v>7.6045597890621042E-2</v>
      </c>
      <c r="AO141" s="786">
        <f>AN141*H141</f>
        <v>2.841728758403292</v>
      </c>
      <c r="AP141" s="787"/>
      <c r="AQ141" s="788"/>
      <c r="AR141" s="787"/>
      <c r="AS141" s="788"/>
      <c r="AT141" s="786"/>
      <c r="AU141" s="788"/>
    </row>
    <row r="142" spans="3:47">
      <c r="C142" s="439"/>
      <c r="D142" s="438"/>
      <c r="E142" s="438"/>
      <c r="F142" s="711" t="s">
        <v>1279</v>
      </c>
      <c r="G142" s="438"/>
      <c r="H142" s="709"/>
      <c r="I142" s="709"/>
      <c r="J142" s="709"/>
      <c r="K142" s="709"/>
      <c r="L142" s="709"/>
      <c r="M142" s="709"/>
      <c r="N142" s="709"/>
      <c r="O142" s="709"/>
      <c r="P142" s="709"/>
      <c r="Q142" s="709"/>
      <c r="R142" s="709"/>
      <c r="S142" s="709"/>
      <c r="T142" s="709"/>
      <c r="U142" s="709"/>
      <c r="V142" s="709"/>
      <c r="W142" s="709"/>
      <c r="X142" s="709"/>
      <c r="Y142" s="709"/>
      <c r="Z142" s="709"/>
      <c r="AA142" s="709"/>
      <c r="AB142" s="709"/>
      <c r="AC142" s="709"/>
      <c r="AD142" s="709"/>
      <c r="AE142" s="709"/>
      <c r="AF142" s="709"/>
      <c r="AG142" s="709"/>
      <c r="AH142" s="709"/>
      <c r="AI142" s="709"/>
      <c r="AJ142" s="438"/>
      <c r="AK142" s="438"/>
      <c r="AL142" s="710"/>
      <c r="AM142" s="1220"/>
      <c r="AN142" s="767"/>
      <c r="AO142" s="764"/>
      <c r="AP142" s="771"/>
      <c r="AQ142" s="768"/>
      <c r="AR142" s="771"/>
      <c r="AS142" s="768"/>
      <c r="AT142" s="764"/>
      <c r="AU142" s="768"/>
    </row>
    <row r="143" spans="3:47">
      <c r="C143" s="290"/>
      <c r="D143" s="290"/>
      <c r="E143" s="290"/>
      <c r="F143" s="372" t="s">
        <v>938</v>
      </c>
      <c r="G143" s="290"/>
      <c r="H143" s="713"/>
      <c r="I143" s="713"/>
      <c r="J143" s="713"/>
      <c r="K143" s="713"/>
      <c r="L143" s="713"/>
      <c r="M143" s="713"/>
      <c r="N143" s="713"/>
      <c r="O143" s="713"/>
      <c r="P143" s="713"/>
      <c r="Q143" s="713"/>
      <c r="R143" s="713"/>
      <c r="S143" s="713"/>
      <c r="T143" s="713"/>
      <c r="U143" s="713"/>
      <c r="V143" s="713"/>
      <c r="W143" s="713"/>
      <c r="X143" s="713"/>
      <c r="Y143" s="713"/>
      <c r="Z143" s="713"/>
      <c r="AA143" s="713"/>
      <c r="AB143" s="713"/>
      <c r="AC143" s="713"/>
      <c r="AD143" s="713"/>
      <c r="AE143" s="713"/>
      <c r="AF143" s="713"/>
      <c r="AG143" s="713"/>
      <c r="AH143" s="713"/>
      <c r="AI143" s="713"/>
      <c r="AJ143" s="290"/>
      <c r="AK143" s="290"/>
      <c r="AL143" s="714">
        <f>AP143</f>
        <v>1.6093112644016239E-2</v>
      </c>
      <c r="AM143" s="1220"/>
      <c r="AN143" s="767"/>
      <c r="AO143" s="764"/>
      <c r="AP143" s="771">
        <f>BS76*(1+AQ153)</f>
        <v>1.6093112644016239E-2</v>
      </c>
      <c r="AQ143" s="768">
        <f>AP143*H141</f>
        <v>0.60137946549519994</v>
      </c>
      <c r="AR143" s="771"/>
      <c r="AS143" s="768"/>
      <c r="AT143" s="764"/>
      <c r="AU143" s="768"/>
    </row>
    <row r="144" spans="3:47">
      <c r="C144" s="439"/>
      <c r="D144" s="438"/>
      <c r="E144" s="438"/>
      <c r="F144" s="711" t="s">
        <v>939</v>
      </c>
      <c r="G144" s="438"/>
      <c r="H144" s="709"/>
      <c r="I144" s="709"/>
      <c r="J144" s="709"/>
      <c r="K144" s="709"/>
      <c r="L144" s="709"/>
      <c r="M144" s="709"/>
      <c r="N144" s="709"/>
      <c r="O144" s="709"/>
      <c r="P144" s="709"/>
      <c r="Q144" s="709"/>
      <c r="R144" s="709"/>
      <c r="S144" s="709"/>
      <c r="T144" s="709"/>
      <c r="U144" s="709"/>
      <c r="V144" s="709"/>
      <c r="W144" s="709"/>
      <c r="X144" s="709"/>
      <c r="Y144" s="709"/>
      <c r="Z144" s="709"/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438"/>
      <c r="AK144" s="438"/>
      <c r="AL144" s="710">
        <f>AR144</f>
        <v>1.2176203942551346E-3</v>
      </c>
      <c r="AM144" s="1220"/>
      <c r="AN144" s="767"/>
      <c r="AO144" s="764"/>
      <c r="AP144" s="771"/>
      <c r="AQ144" s="768"/>
      <c r="AR144" s="771">
        <f>BT76*(1+AS153)</f>
        <v>1.2176203942551346E-3</v>
      </c>
      <c r="AS144" s="768">
        <f>AR144*H141</f>
        <v>4.5500949261389423E-2</v>
      </c>
      <c r="AT144" s="764"/>
      <c r="AU144" s="768"/>
    </row>
    <row r="145" spans="3:47" ht="13.5" thickBot="1">
      <c r="C145" s="606"/>
      <c r="D145" s="606"/>
      <c r="E145" s="606"/>
      <c r="F145" s="716" t="s">
        <v>940</v>
      </c>
      <c r="G145" s="606"/>
      <c r="H145" s="608"/>
      <c r="I145" s="608"/>
      <c r="J145" s="608"/>
      <c r="K145" s="608"/>
      <c r="L145" s="608"/>
      <c r="M145" s="608"/>
      <c r="N145" s="608"/>
      <c r="O145" s="608"/>
      <c r="P145" s="608"/>
      <c r="Q145" s="608"/>
      <c r="R145" s="608"/>
      <c r="S145" s="608"/>
      <c r="T145" s="608"/>
      <c r="U145" s="608"/>
      <c r="V145" s="608"/>
      <c r="W145" s="608"/>
      <c r="X145" s="608"/>
      <c r="Y145" s="608"/>
      <c r="Z145" s="608"/>
      <c r="AA145" s="608"/>
      <c r="AB145" s="608"/>
      <c r="AC145" s="608"/>
      <c r="AD145" s="608"/>
      <c r="AE145" s="608"/>
      <c r="AF145" s="608"/>
      <c r="AG145" s="608"/>
      <c r="AH145" s="608"/>
      <c r="AI145" s="608"/>
      <c r="AJ145" s="606"/>
      <c r="AK145" s="606"/>
      <c r="AL145" s="715">
        <f>AT145</f>
        <v>3.8808918097353731E-4</v>
      </c>
      <c r="AM145" s="1220"/>
      <c r="AN145" s="789"/>
      <c r="AO145" s="769"/>
      <c r="AP145" s="790"/>
      <c r="AQ145" s="770"/>
      <c r="AR145" s="790"/>
      <c r="AS145" s="770"/>
      <c r="AT145" s="791">
        <f>BU75*(1+AU153)</f>
        <v>3.8808918097353731E-4</v>
      </c>
      <c r="AU145" s="770">
        <f>AT145*H141</f>
        <v>1.4502406674268494E-2</v>
      </c>
    </row>
    <row r="146" spans="3:47">
      <c r="C146" s="602" t="str">
        <f>AY32</f>
        <v>R-BLD_Det_G</v>
      </c>
      <c r="D146" s="603" t="str">
        <f>AZ32</f>
        <v>Residential Building Detached _ G</v>
      </c>
      <c r="E146" s="603">
        <v>2018</v>
      </c>
      <c r="F146" s="602" t="str">
        <f>COMM!O26</f>
        <v>RSDSH_Det-G</v>
      </c>
      <c r="G146" s="603" t="s">
        <v>937</v>
      </c>
      <c r="H146" s="605">
        <f>BI16/1000</f>
        <v>66.469176419880768</v>
      </c>
      <c r="I146" s="605">
        <f>DwellingStocks!K42/1000</f>
        <v>1.1062432601609178</v>
      </c>
      <c r="J146" s="605">
        <f>DwellingStocks!N42/1000</f>
        <v>3.5909526244603631</v>
      </c>
      <c r="K146" s="605">
        <f>DwellingStocks!Q42/1000</f>
        <v>1.7524012374383486</v>
      </c>
      <c r="L146" s="605">
        <f>DwellingStocks!T42/1000</f>
        <v>2.1564187215841719</v>
      </c>
      <c r="M146" s="605">
        <f>DwellingStocks!W42/1000</f>
        <v>1.6367796376643893</v>
      </c>
      <c r="N146" s="605">
        <f>DwellingStocks!Z42/1000</f>
        <v>1.1911002222627314</v>
      </c>
      <c r="O146" s="605">
        <f>DwellingStocks!AC42/1000</f>
        <v>1.3643830208486398</v>
      </c>
      <c r="P146" s="605">
        <f>DwellingStocks!AF42/1000</f>
        <v>2.4807382486830041</v>
      </c>
      <c r="Q146" s="605">
        <f>DwellingStocks!AI42/1000</f>
        <v>1.7534229172840388</v>
      </c>
      <c r="R146" s="605">
        <f>DwellingStocks!AL42/1000</f>
        <v>2.043413390974576</v>
      </c>
      <c r="S146" s="605">
        <f>DwellingStocks!AO42/1000</f>
        <v>2.3715180493039574</v>
      </c>
      <c r="T146" s="605">
        <f>DwellingStocks!AR42/1000</f>
        <v>1.9939170456349871</v>
      </c>
      <c r="U146" s="605">
        <f>DwellingStocks!AU42/1000</f>
        <v>2.7031221443604805</v>
      </c>
      <c r="V146" s="605">
        <f>DwellingStocks!AX42/1000</f>
        <v>7.3737603950457284</v>
      </c>
      <c r="W146" s="605">
        <f>DwellingStocks!BA42/1000</f>
        <v>3.1720330684287315</v>
      </c>
      <c r="X146" s="605">
        <f>DwellingStocks!BD42/1000</f>
        <v>3.306722541201137</v>
      </c>
      <c r="Y146" s="605">
        <f>DwellingStocks!BG42/1000</f>
        <v>3.9956726723468456</v>
      </c>
      <c r="Z146" s="605">
        <f>DwellingStocks!BJ42/1000</f>
        <v>1.1330328015187268</v>
      </c>
      <c r="AA146" s="605">
        <f>DwellingStocks!BM42/1000</f>
        <v>4.9694247195721477</v>
      </c>
      <c r="AB146" s="605">
        <f>DwellingStocks!BP42/1000</f>
        <v>1.3269918169401864</v>
      </c>
      <c r="AC146" s="605">
        <f>DwellingStocks!BS42/1000</f>
        <v>3.9695331885361407</v>
      </c>
      <c r="AD146" s="605">
        <f>DwellingStocks!BV42/1000</f>
        <v>2.6119043049519908</v>
      </c>
      <c r="AE146" s="605">
        <f>DwellingStocks!BY42/1000</f>
        <v>1.6824733721967644</v>
      </c>
      <c r="AF146" s="605">
        <f>DwellingStocks!CB42/1000</f>
        <v>1.8300161169261711</v>
      </c>
      <c r="AG146" s="605">
        <f>DwellingStocks!CE42/1000</f>
        <v>3.758563432783963</v>
      </c>
      <c r="AH146" s="605">
        <f>DwellingStocks!CH42/1000</f>
        <v>1.1946374687716235</v>
      </c>
      <c r="AI146" s="605">
        <v>1</v>
      </c>
      <c r="AJ146" s="603">
        <f>BP34</f>
        <v>66.400000000000006</v>
      </c>
      <c r="AK146" s="603">
        <v>1</v>
      </c>
      <c r="AL146" s="707">
        <f>AN146</f>
        <v>7.9930503050006221E-2</v>
      </c>
      <c r="AM146" s="1220"/>
      <c r="AN146" s="785">
        <f>ABS(BR77*DwellingStocks!Y26*(1+AO153))</f>
        <v>7.9930503050006221E-2</v>
      </c>
      <c r="AO146" s="786">
        <f>AN146*H146</f>
        <v>5.3129147085606814</v>
      </c>
      <c r="AP146" s="787"/>
      <c r="AQ146" s="788"/>
      <c r="AR146" s="787"/>
      <c r="AS146" s="788"/>
      <c r="AT146" s="786"/>
      <c r="AU146" s="788"/>
    </row>
    <row r="147" spans="3:47">
      <c r="C147" s="439"/>
      <c r="D147" s="438"/>
      <c r="E147" s="438"/>
      <c r="F147" s="711" t="s">
        <v>1279</v>
      </c>
      <c r="G147" s="438"/>
      <c r="H147" s="709"/>
      <c r="I147" s="709"/>
      <c r="J147" s="709"/>
      <c r="K147" s="709"/>
      <c r="L147" s="709"/>
      <c r="M147" s="709"/>
      <c r="N147" s="709"/>
      <c r="O147" s="709"/>
      <c r="P147" s="709"/>
      <c r="Q147" s="709"/>
      <c r="R147" s="709"/>
      <c r="S147" s="709"/>
      <c r="T147" s="709"/>
      <c r="U147" s="709"/>
      <c r="V147" s="709"/>
      <c r="W147" s="709"/>
      <c r="X147" s="709"/>
      <c r="Y147" s="709"/>
      <c r="Z147" s="709"/>
      <c r="AA147" s="709"/>
      <c r="AB147" s="709"/>
      <c r="AC147" s="709"/>
      <c r="AD147" s="709"/>
      <c r="AE147" s="709"/>
      <c r="AF147" s="709"/>
      <c r="AG147" s="709"/>
      <c r="AH147" s="709"/>
      <c r="AI147" s="709"/>
      <c r="AJ147" s="438"/>
      <c r="AK147" s="438"/>
      <c r="AL147" s="710"/>
      <c r="AM147" s="1220"/>
      <c r="AN147" s="767"/>
      <c r="AO147" s="764"/>
      <c r="AP147" s="771"/>
      <c r="AQ147" s="768"/>
      <c r="AR147" s="771"/>
      <c r="AS147" s="768"/>
      <c r="AT147" s="764"/>
      <c r="AU147" s="768"/>
    </row>
    <row r="148" spans="3:47">
      <c r="C148" s="290"/>
      <c r="D148" s="290"/>
      <c r="E148" s="290"/>
      <c r="F148" s="372" t="s">
        <v>938</v>
      </c>
      <c r="G148" s="290"/>
      <c r="H148" s="713"/>
      <c r="I148" s="713"/>
      <c r="J148" s="713"/>
      <c r="K148" s="713"/>
      <c r="L148" s="713"/>
      <c r="M148" s="713"/>
      <c r="N148" s="713"/>
      <c r="O148" s="713"/>
      <c r="P148" s="713"/>
      <c r="Q148" s="713"/>
      <c r="R148" s="713"/>
      <c r="S148" s="713"/>
      <c r="T148" s="713"/>
      <c r="U148" s="713"/>
      <c r="V148" s="713"/>
      <c r="W148" s="713"/>
      <c r="X148" s="713"/>
      <c r="Y148" s="713"/>
      <c r="Z148" s="713"/>
      <c r="AA148" s="713"/>
      <c r="AB148" s="713"/>
      <c r="AC148" s="713"/>
      <c r="AD148" s="713"/>
      <c r="AE148" s="713"/>
      <c r="AF148" s="713"/>
      <c r="AG148" s="713"/>
      <c r="AH148" s="713"/>
      <c r="AI148" s="713"/>
      <c r="AJ148" s="290"/>
      <c r="AK148" s="290"/>
      <c r="AL148" s="714">
        <f>AP148</f>
        <v>1.4653720063430348E-2</v>
      </c>
      <c r="AM148" s="1220"/>
      <c r="AN148" s="767"/>
      <c r="AO148" s="764"/>
      <c r="AP148" s="771">
        <f>BS77*(1+AQ153)</f>
        <v>1.4653720063430348E-2</v>
      </c>
      <c r="AQ148" s="768">
        <f>AP148*H146</f>
        <v>0.97402070410369823</v>
      </c>
      <c r="AR148" s="771"/>
      <c r="AS148" s="768"/>
      <c r="AT148" s="764"/>
      <c r="AU148" s="768"/>
    </row>
    <row r="149" spans="3:47">
      <c r="C149" s="439"/>
      <c r="D149" s="438"/>
      <c r="E149" s="438"/>
      <c r="F149" s="711" t="s">
        <v>939</v>
      </c>
      <c r="G149" s="438"/>
      <c r="H149" s="709"/>
      <c r="I149" s="709"/>
      <c r="J149" s="709"/>
      <c r="K149" s="709"/>
      <c r="L149" s="709"/>
      <c r="M149" s="709"/>
      <c r="N149" s="709"/>
      <c r="O149" s="709"/>
      <c r="P149" s="709"/>
      <c r="Q149" s="709"/>
      <c r="R149" s="709"/>
      <c r="S149" s="709"/>
      <c r="T149" s="709"/>
      <c r="U149" s="709"/>
      <c r="V149" s="709"/>
      <c r="W149" s="709"/>
      <c r="X149" s="709"/>
      <c r="Y149" s="709"/>
      <c r="Z149" s="709"/>
      <c r="AA149" s="709"/>
      <c r="AB149" s="709"/>
      <c r="AC149" s="709"/>
      <c r="AD149" s="709"/>
      <c r="AE149" s="709"/>
      <c r="AF149" s="709"/>
      <c r="AG149" s="709"/>
      <c r="AH149" s="709"/>
      <c r="AI149" s="709"/>
      <c r="AJ149" s="438"/>
      <c r="AK149" s="438"/>
      <c r="AL149" s="710">
        <f>AR149</f>
        <v>1.0749774983151755E-3</v>
      </c>
      <c r="AM149" s="1220"/>
      <c r="AN149" s="767"/>
      <c r="AO149" s="764"/>
      <c r="AP149" s="771"/>
      <c r="AQ149" s="768"/>
      <c r="AR149" s="771">
        <f>BT77*(1+AS153)</f>
        <v>1.0749774983151755E-3</v>
      </c>
      <c r="AS149" s="768">
        <f>AR149*H146</f>
        <v>7.1452868982913489E-2</v>
      </c>
      <c r="AT149" s="764"/>
      <c r="AU149" s="768"/>
    </row>
    <row r="150" spans="3:47" ht="13.5" thickBot="1">
      <c r="C150" s="606"/>
      <c r="D150" s="606"/>
      <c r="E150" s="606"/>
      <c r="F150" s="716" t="s">
        <v>940</v>
      </c>
      <c r="G150" s="606"/>
      <c r="H150" s="608"/>
      <c r="I150" s="608"/>
      <c r="J150" s="608"/>
      <c r="K150" s="608"/>
      <c r="L150" s="608"/>
      <c r="M150" s="608"/>
      <c r="N150" s="608"/>
      <c r="O150" s="608"/>
      <c r="P150" s="608"/>
      <c r="Q150" s="608"/>
      <c r="R150" s="608"/>
      <c r="S150" s="608"/>
      <c r="T150" s="608"/>
      <c r="U150" s="608"/>
      <c r="V150" s="608"/>
      <c r="W150" s="608"/>
      <c r="X150" s="608"/>
      <c r="Y150" s="608"/>
      <c r="Z150" s="608"/>
      <c r="AA150" s="608"/>
      <c r="AB150" s="608"/>
      <c r="AC150" s="608"/>
      <c r="AD150" s="608"/>
      <c r="AE150" s="608"/>
      <c r="AF150" s="608"/>
      <c r="AG150" s="608"/>
      <c r="AH150" s="608"/>
      <c r="AI150" s="608"/>
      <c r="AJ150" s="606"/>
      <c r="AK150" s="606"/>
      <c r="AL150" s="715">
        <f>AT150</f>
        <v>3.6962374594233771E-4</v>
      </c>
      <c r="AM150" s="1220"/>
      <c r="AN150" s="789"/>
      <c r="AO150" s="769"/>
      <c r="AP150" s="790"/>
      <c r="AQ150" s="770"/>
      <c r="AR150" s="790"/>
      <c r="AS150" s="770"/>
      <c r="AT150" s="791">
        <f>BU76*(1+AU153)</f>
        <v>3.6962374594233771E-4</v>
      </c>
      <c r="AU150" s="770">
        <f>AT150*H146</f>
        <v>2.4568585978018434E-2</v>
      </c>
    </row>
    <row r="151" spans="3:47">
      <c r="AM151" s="1220"/>
      <c r="AN151" s="326" t="s">
        <v>928</v>
      </c>
      <c r="AO151" s="316">
        <f>'SHWLP-Det'!AC27</f>
        <v>36.890695933363652</v>
      </c>
      <c r="AP151" s="320"/>
      <c r="AQ151" s="321">
        <f>'SHWLP-Det'!AC54</f>
        <v>11.02473081614216</v>
      </c>
      <c r="AR151" s="320"/>
      <c r="AS151" s="321">
        <f>'SHWLP-Det'!AC59</f>
        <v>1.1000000000000001</v>
      </c>
      <c r="AT151" s="320"/>
      <c r="AU151" s="321">
        <f>'SHWLP-Det'!AC60</f>
        <v>0.34349999999999997</v>
      </c>
    </row>
    <row r="152" spans="3:47">
      <c r="AN152" s="761" t="s">
        <v>919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2" t="s">
        <v>920</v>
      </c>
      <c r="AO153" s="763">
        <f>((AO151-AO152)/AO152)</f>
        <v>0.27981717310903848</v>
      </c>
      <c r="AP153" s="317"/>
      <c r="AQ153" s="763">
        <f>((AQ151-AQ152)/AQ152)</f>
        <v>-0.17174860226852565</v>
      </c>
      <c r="AR153" s="317"/>
      <c r="AS153" s="763">
        <f>((AS151-AS152)/AS152)</f>
        <v>-0.62655745890701708</v>
      </c>
      <c r="AT153" s="317"/>
      <c r="AU153" s="763">
        <f>((AU151-AU152)/AU152)</f>
        <v>-0.48891294834908239</v>
      </c>
    </row>
    <row r="154" spans="3:47">
      <c r="C154" s="1180"/>
      <c r="AN154" s="761" t="s">
        <v>921</v>
      </c>
      <c r="AO154" s="764">
        <f>SUM(AO106:AO146)</f>
        <v>36.890695933363645</v>
      </c>
      <c r="AP154" s="317"/>
      <c r="AQ154" s="768">
        <f>SUM(AQ106:AQ150)</f>
        <v>11.02473081614216</v>
      </c>
      <c r="AR154" s="317"/>
      <c r="AS154" s="768">
        <f>SUM(AS106:AS150)</f>
        <v>1.1000000000000001</v>
      </c>
      <c r="AT154" s="317"/>
      <c r="AU154" s="768">
        <f>SUM(AU106:AU150)</f>
        <v>0.34349999999999992</v>
      </c>
    </row>
    <row r="155" spans="3:47" ht="13.5" thickBot="1">
      <c r="C155" s="1180"/>
      <c r="AN155" s="765" t="s">
        <v>922</v>
      </c>
      <c r="AO155" s="766">
        <f>((AO151-AO154)/AO154)</f>
        <v>1.9260757157944834E-16</v>
      </c>
      <c r="AP155" s="328"/>
      <c r="AQ155" s="777">
        <f>((AQ151-AQ154)/AQ154)</f>
        <v>0</v>
      </c>
      <c r="AR155" s="328"/>
      <c r="AS155" s="777">
        <f>((AS151-AS154)/AS154)</f>
        <v>0</v>
      </c>
      <c r="AT155" s="328"/>
      <c r="AU155" s="777">
        <f>((AU151-AU154)/AU154)</f>
        <v>1.6160451595708251E-16</v>
      </c>
    </row>
    <row r="156" spans="3:47">
      <c r="C156" s="1180"/>
    </row>
    <row r="157" spans="3:47">
      <c r="C157" s="1180"/>
    </row>
    <row r="158" spans="3:47">
      <c r="C158" s="1180"/>
    </row>
    <row r="159" spans="3:47">
      <c r="C159" s="1180"/>
    </row>
    <row r="160" spans="3:47">
      <c r="C160" s="1180"/>
    </row>
    <row r="164" spans="4:52" ht="15">
      <c r="AZ164" s="358"/>
    </row>
    <row r="165" spans="4:52" ht="15">
      <c r="AZ165" s="358"/>
    </row>
    <row r="166" spans="4:52" ht="15">
      <c r="AZ166" s="358"/>
    </row>
    <row r="167" spans="4:52" ht="15">
      <c r="AZ167" s="358"/>
    </row>
    <row r="173" spans="4:52" ht="15">
      <c r="D173" s="886" t="s">
        <v>1083</v>
      </c>
    </row>
    <row r="177" spans="4:31" ht="15.75" thickBot="1">
      <c r="D177" s="20" t="s">
        <v>253</v>
      </c>
      <c r="E177" s="20" t="s">
        <v>192</v>
      </c>
      <c r="F177" s="20" t="s">
        <v>655</v>
      </c>
      <c r="G177" s="20" t="s">
        <v>660</v>
      </c>
      <c r="H177" s="20" t="s">
        <v>663</v>
      </c>
      <c r="I177" s="20" t="s">
        <v>664</v>
      </c>
      <c r="J177" s="20" t="s">
        <v>665</v>
      </c>
      <c r="K177" s="20" t="s">
        <v>668</v>
      </c>
      <c r="L177" s="20" t="s">
        <v>669</v>
      </c>
      <c r="M177" s="20" t="s">
        <v>671</v>
      </c>
      <c r="N177" s="20" t="s">
        <v>673</v>
      </c>
      <c r="O177" s="20" t="s">
        <v>678</v>
      </c>
      <c r="P177" s="20" t="s">
        <v>679</v>
      </c>
      <c r="Q177" s="20" t="s">
        <v>680</v>
      </c>
      <c r="R177" s="20" t="s">
        <v>657</v>
      </c>
      <c r="S177" s="20" t="s">
        <v>658</v>
      </c>
      <c r="T177" s="20" t="s">
        <v>662</v>
      </c>
      <c r="U177" s="20" t="s">
        <v>667</v>
      </c>
      <c r="V177" s="20" t="s">
        <v>676</v>
      </c>
      <c r="W177" s="20" t="s">
        <v>677</v>
      </c>
      <c r="X177" s="20" t="s">
        <v>661</v>
      </c>
      <c r="Y177" s="20" t="s">
        <v>666</v>
      </c>
      <c r="Z177" s="20" t="s">
        <v>670</v>
      </c>
      <c r="AA177" s="20" t="s">
        <v>674</v>
      </c>
      <c r="AB177" s="20" t="s">
        <v>675</v>
      </c>
      <c r="AC177" s="20" t="s">
        <v>656</v>
      </c>
      <c r="AD177" s="20" t="s">
        <v>659</v>
      </c>
      <c r="AE177" s="20" t="s">
        <v>672</v>
      </c>
    </row>
    <row r="178" spans="4:31">
      <c r="D178" s="316" t="str">
        <f>C6</f>
        <v>R-BLD_Att_A</v>
      </c>
      <c r="E178" s="786">
        <f t="shared" ref="E178:AE178" si="16">H6*$BH$26</f>
        <v>72.528642938868245</v>
      </c>
      <c r="F178" s="786">
        <f t="shared" si="16"/>
        <v>0.64012538597490587</v>
      </c>
      <c r="G178" s="786">
        <f t="shared" si="16"/>
        <v>32.295149545010126</v>
      </c>
      <c r="H178" s="786">
        <f t="shared" si="16"/>
        <v>8.491625054733154</v>
      </c>
      <c r="I178" s="786">
        <f t="shared" si="16"/>
        <v>0.40917285393349762</v>
      </c>
      <c r="J178" s="786">
        <f t="shared" si="16"/>
        <v>0.28219639747548908</v>
      </c>
      <c r="K178" s="786">
        <f t="shared" si="16"/>
        <v>6.355919396405417E-2</v>
      </c>
      <c r="L178" s="786">
        <f t="shared" si="16"/>
        <v>2.4763318075408587</v>
      </c>
      <c r="M178" s="786">
        <f t="shared" si="16"/>
        <v>7.2436468767042816</v>
      </c>
      <c r="N178" s="786">
        <f t="shared" si="16"/>
        <v>0.21930557896366809</v>
      </c>
      <c r="O178" s="786">
        <f t="shared" si="16"/>
        <v>0.19096389842424327</v>
      </c>
      <c r="P178" s="786">
        <f t="shared" si="16"/>
        <v>1.3094827930403272</v>
      </c>
      <c r="Q178" s="786">
        <f t="shared" si="16"/>
        <v>3.8599472270267614</v>
      </c>
      <c r="R178" s="786">
        <f t="shared" si="16"/>
        <v>0.59369114083414021</v>
      </c>
      <c r="S178" s="786">
        <f t="shared" si="16"/>
        <v>6.6182713025334419</v>
      </c>
      <c r="T178" s="786">
        <f t="shared" si="16"/>
        <v>0.62857871848192959</v>
      </c>
      <c r="U178" s="786">
        <f t="shared" si="16"/>
        <v>1.8634350472929546</v>
      </c>
      <c r="V178" s="786">
        <f t="shared" si="16"/>
        <v>0.25351081690194532</v>
      </c>
      <c r="W178" s="786">
        <f t="shared" si="16"/>
        <v>1.6892604692613722</v>
      </c>
      <c r="X178" s="786">
        <f t="shared" si="16"/>
        <v>1.4826764323355131</v>
      </c>
      <c r="Y178" s="786">
        <f t="shared" si="16"/>
        <v>1.8251862083734874E-2</v>
      </c>
      <c r="Z178" s="786">
        <f t="shared" si="16"/>
        <v>0.47782606916581521</v>
      </c>
      <c r="AA178" s="786">
        <f t="shared" si="16"/>
        <v>0.14411965010180888</v>
      </c>
      <c r="AB178" s="786">
        <f t="shared" si="16"/>
        <v>0.23427944702287357</v>
      </c>
      <c r="AC178" s="786">
        <f t="shared" si="16"/>
        <v>0.20157549947154663</v>
      </c>
      <c r="AD178" s="786">
        <f t="shared" si="16"/>
        <v>0.47721507281766717</v>
      </c>
      <c r="AE178" s="786">
        <f t="shared" si="16"/>
        <v>0.36444479777211397</v>
      </c>
    </row>
    <row r="179" spans="4:31">
      <c r="D179" t="str">
        <f>C11</f>
        <v>R-BLD_Att_B1</v>
      </c>
      <c r="E179" s="764">
        <f t="shared" ref="E179:AE179" si="17">H11*$BH$27</f>
        <v>6.7274572369101442</v>
      </c>
      <c r="F179" s="764">
        <f t="shared" si="17"/>
        <v>5.7764138869705051E-2</v>
      </c>
      <c r="G179" s="764">
        <f t="shared" si="17"/>
        <v>2.0423059453862442</v>
      </c>
      <c r="H179" s="764">
        <f t="shared" si="17"/>
        <v>0.38922779303523941</v>
      </c>
      <c r="I179" s="764">
        <f t="shared" si="17"/>
        <v>0.12647997242746836</v>
      </c>
      <c r="J179" s="764">
        <f t="shared" si="17"/>
        <v>0.14856626238081996</v>
      </c>
      <c r="K179" s="764">
        <f t="shared" si="17"/>
        <v>0.15769521416157165</v>
      </c>
      <c r="L179" s="764">
        <f t="shared" si="17"/>
        <v>0.47515203337345047</v>
      </c>
      <c r="M179" s="764">
        <f t="shared" si="17"/>
        <v>0.27925560206332622</v>
      </c>
      <c r="N179" s="764">
        <f t="shared" si="17"/>
        <v>3.5940929581826681E-2</v>
      </c>
      <c r="O179" s="764">
        <f t="shared" si="17"/>
        <v>2.9544404203263624E-2</v>
      </c>
      <c r="P179" s="764">
        <f t="shared" si="17"/>
        <v>0.14310442140608448</v>
      </c>
      <c r="Q179" s="764">
        <f t="shared" si="17"/>
        <v>0.1881879388180264</v>
      </c>
      <c r="R179" s="764">
        <f t="shared" si="17"/>
        <v>8.4771663699014427E-2</v>
      </c>
      <c r="S179" s="764">
        <f t="shared" si="17"/>
        <v>1.0196405613550452</v>
      </c>
      <c r="T179" s="764">
        <f t="shared" si="17"/>
        <v>0.17674208196569424</v>
      </c>
      <c r="U179" s="764">
        <f t="shared" si="17"/>
        <v>0.23505700105517635</v>
      </c>
      <c r="V179" s="764">
        <f t="shared" si="17"/>
        <v>0.20588599718364439</v>
      </c>
      <c r="W179" s="764">
        <f t="shared" si="17"/>
        <v>0.26346556892252571</v>
      </c>
      <c r="X179" s="764">
        <f t="shared" si="17"/>
        <v>0.16081239443278592</v>
      </c>
      <c r="Y179" s="764">
        <f t="shared" si="17"/>
        <v>0</v>
      </c>
      <c r="Z179" s="764">
        <f t="shared" si="17"/>
        <v>0.13983273659454598</v>
      </c>
      <c r="AA179" s="764">
        <f t="shared" si="17"/>
        <v>1.7317051217140424E-2</v>
      </c>
      <c r="AB179" s="764">
        <f t="shared" si="17"/>
        <v>0.11574451614501438</v>
      </c>
      <c r="AC179" s="764">
        <f t="shared" si="17"/>
        <v>6.367007114718716E-2</v>
      </c>
      <c r="AD179" s="764">
        <f t="shared" si="17"/>
        <v>7.1811338227973545E-2</v>
      </c>
      <c r="AE179" s="764">
        <f t="shared" si="17"/>
        <v>9.9481599257371323E-2</v>
      </c>
    </row>
    <row r="180" spans="4:31">
      <c r="D180" t="str">
        <f>C16</f>
        <v>R-BLD_Att_B2</v>
      </c>
      <c r="E180" s="764">
        <f t="shared" ref="E180:AE180" si="18">H16*$BH$28</f>
        <v>14.58448055403824</v>
      </c>
      <c r="F180" s="764">
        <f t="shared" si="18"/>
        <v>0.21083910687442345</v>
      </c>
      <c r="G180" s="764">
        <f t="shared" si="18"/>
        <v>5.8919997429588635</v>
      </c>
      <c r="H180" s="764">
        <f t="shared" si="18"/>
        <v>0.55186288026592623</v>
      </c>
      <c r="I180" s="764">
        <f t="shared" si="18"/>
        <v>0.26658086496251027</v>
      </c>
      <c r="J180" s="764">
        <f t="shared" si="18"/>
        <v>0.21479459621323369</v>
      </c>
      <c r="K180" s="764">
        <f t="shared" si="18"/>
        <v>0.10125692698795652</v>
      </c>
      <c r="L180" s="764">
        <f t="shared" si="18"/>
        <v>0.54001920516504787</v>
      </c>
      <c r="M180" s="764">
        <f t="shared" si="18"/>
        <v>0.54454842402348613</v>
      </c>
      <c r="N180" s="764">
        <f t="shared" si="18"/>
        <v>0.13998046258185126</v>
      </c>
      <c r="O180" s="764">
        <f t="shared" si="18"/>
        <v>0.21723826620046782</v>
      </c>
      <c r="P180" s="764">
        <f t="shared" si="18"/>
        <v>0.15475245570657969</v>
      </c>
      <c r="Q180" s="764">
        <f t="shared" si="18"/>
        <v>0.30731608357439172</v>
      </c>
      <c r="R180" s="764">
        <f t="shared" si="18"/>
        <v>0.18258512181326186</v>
      </c>
      <c r="S180" s="764">
        <f t="shared" si="18"/>
        <v>2.5236103893537374</v>
      </c>
      <c r="T180" s="764">
        <f t="shared" si="18"/>
        <v>0.25901856839800019</v>
      </c>
      <c r="U180" s="764">
        <f t="shared" si="18"/>
        <v>0.48326404412742552</v>
      </c>
      <c r="V180" s="764">
        <f t="shared" si="18"/>
        <v>0.29026550422612168</v>
      </c>
      <c r="W180" s="764">
        <f t="shared" si="18"/>
        <v>0.38724133955726936</v>
      </c>
      <c r="X180" s="764">
        <f t="shared" si="18"/>
        <v>0.44302238074130235</v>
      </c>
      <c r="Y180" s="764">
        <f t="shared" si="18"/>
        <v>3.6503724167469748E-2</v>
      </c>
      <c r="Z180" s="764">
        <f t="shared" si="18"/>
        <v>0.23413853569319326</v>
      </c>
      <c r="AA180" s="764">
        <f t="shared" si="18"/>
        <v>1.8891328600516826E-2</v>
      </c>
      <c r="AB180" s="764">
        <f t="shared" si="18"/>
        <v>0.12175721828241773</v>
      </c>
      <c r="AC180" s="764">
        <f t="shared" si="18"/>
        <v>0.17703385636047164</v>
      </c>
      <c r="AD180" s="764">
        <f t="shared" si="18"/>
        <v>0.15030280094227022</v>
      </c>
      <c r="AE180" s="764">
        <f t="shared" si="18"/>
        <v>0.13565672626005182</v>
      </c>
    </row>
    <row r="181" spans="4:31">
      <c r="D181" t="str">
        <f>C21</f>
        <v>R-BLD_Att_B3</v>
      </c>
      <c r="E181" s="764">
        <f t="shared" ref="E181:AE181" si="19">H21*$BH$29</f>
        <v>48.206735717890069</v>
      </c>
      <c r="F181" s="764">
        <f t="shared" si="19"/>
        <v>0.57331005417713454</v>
      </c>
      <c r="G181" s="764">
        <f t="shared" si="19"/>
        <v>16.341657748807961</v>
      </c>
      <c r="H181" s="764">
        <f t="shared" si="19"/>
        <v>2.0070558959101983</v>
      </c>
      <c r="I181" s="764">
        <f t="shared" si="19"/>
        <v>0.95850993898169823</v>
      </c>
      <c r="J181" s="764">
        <f t="shared" si="19"/>
        <v>1.0371113495319813</v>
      </c>
      <c r="K181" s="764">
        <f t="shared" si="19"/>
        <v>0.34488265106747384</v>
      </c>
      <c r="L181" s="764">
        <f t="shared" si="19"/>
        <v>2.0484792870467881</v>
      </c>
      <c r="M181" s="764">
        <f t="shared" si="19"/>
        <v>2.0051280115064447</v>
      </c>
      <c r="N181" s="764">
        <f t="shared" si="19"/>
        <v>0.38379196341415539</v>
      </c>
      <c r="O181" s="764">
        <f t="shared" si="19"/>
        <v>0.93914557487259853</v>
      </c>
      <c r="P181" s="764">
        <f t="shared" si="19"/>
        <v>0.57133930363523888</v>
      </c>
      <c r="Q181" s="764">
        <f t="shared" si="19"/>
        <v>1.2192722528282338</v>
      </c>
      <c r="R181" s="764">
        <f t="shared" si="19"/>
        <v>0.74102031862404028</v>
      </c>
      <c r="S181" s="764">
        <f t="shared" si="19"/>
        <v>9.2656683213164062</v>
      </c>
      <c r="T181" s="764">
        <f t="shared" si="19"/>
        <v>1.0522333727262925</v>
      </c>
      <c r="U181" s="764">
        <f t="shared" si="19"/>
        <v>1.5985607618559259</v>
      </c>
      <c r="V181" s="764">
        <f t="shared" si="19"/>
        <v>1.0502301818551085</v>
      </c>
      <c r="W181" s="764">
        <f t="shared" si="19"/>
        <v>1.1814762808763064</v>
      </c>
      <c r="X181" s="764">
        <f t="shared" si="19"/>
        <v>1.3210198616697235</v>
      </c>
      <c r="Y181" s="764">
        <f t="shared" si="19"/>
        <v>0.21109797517106663</v>
      </c>
      <c r="Z181" s="764">
        <f t="shared" si="19"/>
        <v>0.51386880348014496</v>
      </c>
      <c r="AA181" s="764">
        <f t="shared" si="19"/>
        <v>0.16430919607349057</v>
      </c>
      <c r="AB181" s="764">
        <f t="shared" si="19"/>
        <v>0.6011604378634704</v>
      </c>
      <c r="AC181" s="764">
        <f t="shared" si="19"/>
        <v>0.7619321519742015</v>
      </c>
      <c r="AD181" s="764">
        <f t="shared" si="19"/>
        <v>0.78517857299985094</v>
      </c>
      <c r="AE181" s="764">
        <f t="shared" si="19"/>
        <v>0.52929544962413244</v>
      </c>
    </row>
    <row r="182" spans="4:31">
      <c r="D182" t="str">
        <f>C26</f>
        <v>R-BLD_Att_C</v>
      </c>
      <c r="E182" s="764">
        <f t="shared" ref="E182:AE182" si="20">H26*$BH$30</f>
        <v>287.89783537353549</v>
      </c>
      <c r="F182" s="764">
        <f t="shared" si="20"/>
        <v>3.896020043111891</v>
      </c>
      <c r="G182" s="764">
        <f t="shared" si="20"/>
        <v>97.569752585372257</v>
      </c>
      <c r="H182" s="764">
        <f t="shared" si="20"/>
        <v>14.003570852201795</v>
      </c>
      <c r="I182" s="764">
        <f t="shared" si="20"/>
        <v>4.982599946528194</v>
      </c>
      <c r="J182" s="764">
        <f t="shared" si="20"/>
        <v>4.9571835303694867</v>
      </c>
      <c r="K182" s="764">
        <f t="shared" si="20"/>
        <v>1.899066640194103</v>
      </c>
      <c r="L182" s="764">
        <f t="shared" si="20"/>
        <v>10.570505232717421</v>
      </c>
      <c r="M182" s="764">
        <f t="shared" si="20"/>
        <v>11.072232816627489</v>
      </c>
      <c r="N182" s="764">
        <f t="shared" si="20"/>
        <v>3.6254081537786473</v>
      </c>
      <c r="O182" s="764">
        <f t="shared" si="20"/>
        <v>4.9919287285200173</v>
      </c>
      <c r="P182" s="764">
        <f t="shared" si="20"/>
        <v>6.8367028236529688</v>
      </c>
      <c r="Q182" s="764">
        <f t="shared" si="20"/>
        <v>7.7789279402032205</v>
      </c>
      <c r="R182" s="764">
        <f t="shared" si="20"/>
        <v>5.6047670863320418</v>
      </c>
      <c r="S182" s="764">
        <f t="shared" si="20"/>
        <v>37.036563905983762</v>
      </c>
      <c r="T182" s="764">
        <f t="shared" si="20"/>
        <v>5.6923994352978431</v>
      </c>
      <c r="U182" s="764">
        <f t="shared" si="20"/>
        <v>12.817318636993734</v>
      </c>
      <c r="V182" s="764">
        <f t="shared" si="20"/>
        <v>8.114848796118098</v>
      </c>
      <c r="W182" s="764">
        <f t="shared" si="20"/>
        <v>8.4193806170913721</v>
      </c>
      <c r="X182" s="764">
        <f t="shared" si="20"/>
        <v>11.800565746766512</v>
      </c>
      <c r="Y182" s="764">
        <f t="shared" si="20"/>
        <v>1.2512274840737632</v>
      </c>
      <c r="Z182" s="764">
        <f t="shared" si="20"/>
        <v>5.1310449981954411</v>
      </c>
      <c r="AA182" s="764">
        <f t="shared" si="20"/>
        <v>2.7069814898790159</v>
      </c>
      <c r="AB182" s="764">
        <f t="shared" si="20"/>
        <v>3.4143667869109819</v>
      </c>
      <c r="AC182" s="764">
        <f t="shared" si="20"/>
        <v>3.7039748416840408</v>
      </c>
      <c r="AD182" s="764">
        <f t="shared" si="20"/>
        <v>7.5539933025540211</v>
      </c>
      <c r="AE182" s="764">
        <f t="shared" si="20"/>
        <v>2.4665029523774118</v>
      </c>
    </row>
    <row r="183" spans="4:31">
      <c r="D183" t="str">
        <f>C31</f>
        <v>R-BLD_Att_D</v>
      </c>
      <c r="E183" s="764">
        <f t="shared" ref="E183:AE183" si="21">H31*$BH$31</f>
        <v>170.37413843742618</v>
      </c>
      <c r="F183" s="764">
        <f t="shared" si="21"/>
        <v>2.0195430292010301</v>
      </c>
      <c r="G183" s="764">
        <f t="shared" si="21"/>
        <v>70.629114909617968</v>
      </c>
      <c r="H183" s="764">
        <f t="shared" si="21"/>
        <v>7.7745104050442073</v>
      </c>
      <c r="I183" s="764">
        <f t="shared" si="21"/>
        <v>2.8682081373254964</v>
      </c>
      <c r="J183" s="764">
        <f t="shared" si="21"/>
        <v>1.8149990096658113</v>
      </c>
      <c r="K183" s="764">
        <f t="shared" si="21"/>
        <v>1.1590916527792026</v>
      </c>
      <c r="L183" s="764">
        <f t="shared" si="21"/>
        <v>4.1446891820306391</v>
      </c>
      <c r="M183" s="764">
        <f t="shared" si="21"/>
        <v>3.2694589251501043</v>
      </c>
      <c r="N183" s="764">
        <f t="shared" si="21"/>
        <v>1.6890956024299544</v>
      </c>
      <c r="O183" s="764">
        <f t="shared" si="21"/>
        <v>2.755260080229462</v>
      </c>
      <c r="P183" s="764">
        <f t="shared" si="21"/>
        <v>4.8845903008841214</v>
      </c>
      <c r="Q183" s="764">
        <f t="shared" si="21"/>
        <v>4.6834512280707248</v>
      </c>
      <c r="R183" s="764">
        <f t="shared" si="21"/>
        <v>4.3086230863725783</v>
      </c>
      <c r="S183" s="764">
        <f t="shared" si="21"/>
        <v>16.697474869407401</v>
      </c>
      <c r="T183" s="764">
        <f t="shared" si="21"/>
        <v>3.8926411923031679</v>
      </c>
      <c r="U183" s="764">
        <f t="shared" si="21"/>
        <v>7.8466372782884655</v>
      </c>
      <c r="V183" s="764">
        <f t="shared" si="21"/>
        <v>5.282334962676642</v>
      </c>
      <c r="W183" s="764">
        <f t="shared" si="21"/>
        <v>5.3891707927847188</v>
      </c>
      <c r="X183" s="764">
        <f t="shared" si="21"/>
        <v>6.5198083118539083</v>
      </c>
      <c r="Y183" s="764">
        <f t="shared" si="21"/>
        <v>0.45453700824826809</v>
      </c>
      <c r="Z183" s="764">
        <f t="shared" si="21"/>
        <v>3.0517698923616976</v>
      </c>
      <c r="AA183" s="764">
        <f t="shared" si="21"/>
        <v>0.90259010595867606</v>
      </c>
      <c r="AB183" s="764">
        <f t="shared" si="21"/>
        <v>2.0497455816918948</v>
      </c>
      <c r="AC183" s="764">
        <f t="shared" si="21"/>
        <v>1.2543107218475709</v>
      </c>
      <c r="AD183" s="764">
        <f t="shared" si="21"/>
        <v>3.3981161744841302</v>
      </c>
      <c r="AE183" s="764">
        <f t="shared" si="21"/>
        <v>1.6343659967184192</v>
      </c>
    </row>
    <row r="184" spans="4:31">
      <c r="D184" t="str">
        <f>C36</f>
        <v>R-BLD_Att_E</v>
      </c>
      <c r="E184" s="764">
        <f t="shared" ref="E184:AE184" si="22">H36*$BH$32</f>
        <v>69.943154239863205</v>
      </c>
      <c r="F184" s="764">
        <f t="shared" si="22"/>
        <v>0.60304791156993331</v>
      </c>
      <c r="G184" s="764">
        <f t="shared" si="22"/>
        <v>30.901430600652439</v>
      </c>
      <c r="H184" s="764">
        <f t="shared" si="22"/>
        <v>2.0418712405690105</v>
      </c>
      <c r="I184" s="764">
        <f t="shared" si="22"/>
        <v>1.1283960340398425</v>
      </c>
      <c r="J184" s="764">
        <f t="shared" si="22"/>
        <v>1.1985849136843678</v>
      </c>
      <c r="K184" s="764">
        <f t="shared" si="22"/>
        <v>0.40074689285288456</v>
      </c>
      <c r="L184" s="764">
        <f t="shared" si="22"/>
        <v>1.4033432188801003</v>
      </c>
      <c r="M184" s="764">
        <f t="shared" si="22"/>
        <v>0.96420172718587938</v>
      </c>
      <c r="N184" s="764">
        <f t="shared" si="22"/>
        <v>1.6770607447470747</v>
      </c>
      <c r="O184" s="764">
        <f t="shared" si="22"/>
        <v>1.1453051682391817</v>
      </c>
      <c r="P184" s="764">
        <f t="shared" si="22"/>
        <v>1.7996235579327224</v>
      </c>
      <c r="Q184" s="764">
        <f t="shared" si="22"/>
        <v>2.1206734743950753</v>
      </c>
      <c r="R184" s="764">
        <f t="shared" si="22"/>
        <v>1.5623156178884927</v>
      </c>
      <c r="S184" s="764">
        <f t="shared" si="22"/>
        <v>6.9500587250068548</v>
      </c>
      <c r="T184" s="764">
        <f t="shared" si="22"/>
        <v>1.6726712101682348</v>
      </c>
      <c r="U184" s="764">
        <f t="shared" si="22"/>
        <v>2.7724979433422896</v>
      </c>
      <c r="V184" s="764">
        <f t="shared" si="22"/>
        <v>2.5037053843536157</v>
      </c>
      <c r="W184" s="764">
        <f t="shared" si="22"/>
        <v>1.7075477063512299</v>
      </c>
      <c r="X184" s="764">
        <f t="shared" si="22"/>
        <v>2.3235982675385611</v>
      </c>
      <c r="Y184" s="764">
        <f t="shared" si="22"/>
        <v>0.24030960338727281</v>
      </c>
      <c r="Z184" s="764">
        <f t="shared" si="22"/>
        <v>0.98533240163240154</v>
      </c>
      <c r="AA184" s="764">
        <f t="shared" si="22"/>
        <v>0.53157572738543224</v>
      </c>
      <c r="AB184" s="764">
        <f t="shared" si="22"/>
        <v>0.9329919575037332</v>
      </c>
      <c r="AC184" s="764">
        <f t="shared" si="22"/>
        <v>0.5585648631165091</v>
      </c>
      <c r="AD184" s="764">
        <f t="shared" si="22"/>
        <v>1.2762851028812299</v>
      </c>
      <c r="AE184" s="764">
        <f t="shared" si="22"/>
        <v>0.54141424455885134</v>
      </c>
    </row>
    <row r="185" spans="4:31">
      <c r="D185" t="str">
        <f>C41</f>
        <v>R-BLD_Att_F</v>
      </c>
      <c r="E185" s="764">
        <f t="shared" ref="E185:AE185" si="23">H41*$BH$33</f>
        <v>15.671617420013364</v>
      </c>
      <c r="F185" s="764">
        <f t="shared" si="23"/>
        <v>0.15131024899243309</v>
      </c>
      <c r="G185" s="764">
        <f t="shared" si="23"/>
        <v>7.1226426356411148</v>
      </c>
      <c r="H185" s="764">
        <f t="shared" si="23"/>
        <v>0.35918643754707735</v>
      </c>
      <c r="I185" s="764">
        <f t="shared" si="23"/>
        <v>0.25603759769259804</v>
      </c>
      <c r="J185" s="764">
        <f t="shared" si="23"/>
        <v>0.26896400137562565</v>
      </c>
      <c r="K185" s="764">
        <f t="shared" si="23"/>
        <v>9.437854366779784E-2</v>
      </c>
      <c r="L185" s="764">
        <f t="shared" si="23"/>
        <v>0.31480614146096453</v>
      </c>
      <c r="M185" s="764">
        <f t="shared" si="23"/>
        <v>0.23564125068779132</v>
      </c>
      <c r="N185" s="764">
        <f t="shared" si="23"/>
        <v>0.40331589286425346</v>
      </c>
      <c r="O185" s="764">
        <f t="shared" si="23"/>
        <v>0.25761402748396894</v>
      </c>
      <c r="P185" s="764">
        <f t="shared" si="23"/>
        <v>0.36559663843276952</v>
      </c>
      <c r="Q185" s="764">
        <f t="shared" si="23"/>
        <v>0.42490147595867672</v>
      </c>
      <c r="R185" s="764">
        <f t="shared" si="23"/>
        <v>0.28998250777435441</v>
      </c>
      <c r="S185" s="764">
        <f t="shared" si="23"/>
        <v>1.524008523975511</v>
      </c>
      <c r="T185" s="764">
        <f t="shared" si="23"/>
        <v>0.31928756650226536</v>
      </c>
      <c r="U185" s="764">
        <f t="shared" si="23"/>
        <v>0.56942497653002488</v>
      </c>
      <c r="V185" s="764">
        <f t="shared" si="23"/>
        <v>0.60174407579641942</v>
      </c>
      <c r="W185" s="764">
        <f t="shared" si="23"/>
        <v>0.37556889442924524</v>
      </c>
      <c r="X185" s="764">
        <f t="shared" si="23"/>
        <v>0.5231084448183837</v>
      </c>
      <c r="Y185" s="764">
        <f t="shared" si="23"/>
        <v>8.8948525342996368E-2</v>
      </c>
      <c r="Z185" s="764">
        <f t="shared" si="23"/>
        <v>0.25950951386565951</v>
      </c>
      <c r="AA185" s="764">
        <f t="shared" si="23"/>
        <v>0.14001536568640424</v>
      </c>
      <c r="AB185" s="764">
        <f t="shared" si="23"/>
        <v>0.19412753790366469</v>
      </c>
      <c r="AC185" s="764">
        <f t="shared" si="23"/>
        <v>0.12487255464304452</v>
      </c>
      <c r="AD185" s="764">
        <f t="shared" si="23"/>
        <v>0.28688990040117079</v>
      </c>
      <c r="AE185" s="764">
        <f t="shared" si="23"/>
        <v>0.11973414053914437</v>
      </c>
    </row>
    <row r="186" spans="4:31" ht="13.5" thickBot="1">
      <c r="D186" s="760" t="str">
        <f>C46</f>
        <v>R-BLD_Att_G</v>
      </c>
      <c r="E186" s="769">
        <f t="shared" ref="E186:AE186" si="24">H46*$BH$34</f>
        <v>8.4260020737144359</v>
      </c>
      <c r="F186" s="769">
        <f t="shared" si="24"/>
        <v>7.5688277462729991E-2</v>
      </c>
      <c r="G186" s="769">
        <f t="shared" si="24"/>
        <v>3.2218252074405931</v>
      </c>
      <c r="H186" s="769">
        <f t="shared" si="24"/>
        <v>0.20659018607298579</v>
      </c>
      <c r="I186" s="769">
        <f t="shared" si="24"/>
        <v>0.14412836339189983</v>
      </c>
      <c r="J186" s="769">
        <f t="shared" si="24"/>
        <v>0.16010581302899624</v>
      </c>
      <c r="K186" s="769">
        <f t="shared" si="24"/>
        <v>4.6017160946265484E-2</v>
      </c>
      <c r="L186" s="769">
        <f t="shared" si="24"/>
        <v>0.24690804472661856</v>
      </c>
      <c r="M186" s="769">
        <f t="shared" si="24"/>
        <v>0.11860938058849592</v>
      </c>
      <c r="N186" s="769">
        <f t="shared" si="24"/>
        <v>0.20771057474718332</v>
      </c>
      <c r="O186" s="769">
        <f t="shared" si="24"/>
        <v>0.19233669920422958</v>
      </c>
      <c r="P186" s="769">
        <f t="shared" si="24"/>
        <v>0.23136868188833701</v>
      </c>
      <c r="Q186" s="769">
        <f t="shared" si="24"/>
        <v>0.24790983682904524</v>
      </c>
      <c r="R186" s="769">
        <f t="shared" si="24"/>
        <v>0.15217369167862602</v>
      </c>
      <c r="S186" s="769">
        <f t="shared" si="24"/>
        <v>0.972843920783517</v>
      </c>
      <c r="T186" s="769">
        <f t="shared" si="24"/>
        <v>0.19073252545329158</v>
      </c>
      <c r="U186" s="769">
        <f t="shared" si="24"/>
        <v>0.32431756747562429</v>
      </c>
      <c r="V186" s="769">
        <f t="shared" si="24"/>
        <v>0.39948647914590379</v>
      </c>
      <c r="W186" s="769">
        <f t="shared" si="24"/>
        <v>0.22671186477320657</v>
      </c>
      <c r="X186" s="769">
        <f t="shared" si="24"/>
        <v>0.26906704407630039</v>
      </c>
      <c r="Y186" s="769">
        <f t="shared" si="24"/>
        <v>4.4894300645498049E-2</v>
      </c>
      <c r="Z186" s="769">
        <f t="shared" si="24"/>
        <v>0.19685078781894472</v>
      </c>
      <c r="AA186" s="769">
        <f t="shared" si="24"/>
        <v>7.2282316221946863E-2</v>
      </c>
      <c r="AB186" s="769">
        <f t="shared" si="24"/>
        <v>0.12566430878463086</v>
      </c>
      <c r="AC186" s="769">
        <f t="shared" si="24"/>
        <v>9.0472939707870181E-2</v>
      </c>
      <c r="AD186" s="769">
        <f t="shared" si="24"/>
        <v>0.19314379702142453</v>
      </c>
      <c r="AE186" s="769">
        <f t="shared" si="24"/>
        <v>6.8162303800270177E-2</v>
      </c>
    </row>
    <row r="187" spans="4:31">
      <c r="D187" t="str">
        <f>C56</f>
        <v>R-BLD_Apt_A</v>
      </c>
      <c r="E187" s="786">
        <f t="shared" ref="E187:AE187" si="25">H56*$BH$26</f>
        <v>11.735038424732089</v>
      </c>
      <c r="F187" s="786">
        <f t="shared" si="25"/>
        <v>1.0999213170625809E-2</v>
      </c>
      <c r="G187" s="786">
        <f t="shared" si="25"/>
        <v>9.3752305952282828</v>
      </c>
      <c r="H187" s="786">
        <f t="shared" si="25"/>
        <v>0.38111078467402082</v>
      </c>
      <c r="I187" s="786">
        <f t="shared" si="25"/>
        <v>7.6168764397473235E-2</v>
      </c>
      <c r="J187" s="786">
        <f t="shared" si="25"/>
        <v>1.8635524481144205E-2</v>
      </c>
      <c r="K187" s="786">
        <f t="shared" si="25"/>
        <v>2.4560877536437445E-2</v>
      </c>
      <c r="L187" s="786">
        <f t="shared" si="25"/>
        <v>0.13853042258541853</v>
      </c>
      <c r="M187" s="786">
        <f t="shared" si="25"/>
        <v>0.16269659248084406</v>
      </c>
      <c r="N187" s="786">
        <f t="shared" si="25"/>
        <v>1.2999999999999999E-2</v>
      </c>
      <c r="O187" s="786">
        <f t="shared" si="25"/>
        <v>1.9986531797620652E-2</v>
      </c>
      <c r="P187" s="786">
        <f t="shared" si="25"/>
        <v>2.6840370017248788E-2</v>
      </c>
      <c r="Q187" s="786">
        <f t="shared" si="25"/>
        <v>0.23678136971547895</v>
      </c>
      <c r="R187" s="786">
        <f t="shared" si="25"/>
        <v>4.0430778237842586E-2</v>
      </c>
      <c r="S187" s="786">
        <f t="shared" si="25"/>
        <v>0.46229041477688143</v>
      </c>
      <c r="T187" s="786">
        <f t="shared" si="25"/>
        <v>7.7809037903225312E-2</v>
      </c>
      <c r="U187" s="786">
        <f t="shared" si="25"/>
        <v>7.9968170445857648E-2</v>
      </c>
      <c r="V187" s="786">
        <f t="shared" si="25"/>
        <v>3.5745393028063198E-2</v>
      </c>
      <c r="W187" s="786">
        <f t="shared" si="25"/>
        <v>0.15468678455337934</v>
      </c>
      <c r="X187" s="786">
        <f t="shared" si="25"/>
        <v>0.20802835889673207</v>
      </c>
      <c r="Y187" s="786">
        <f t="shared" si="25"/>
        <v>0</v>
      </c>
      <c r="Z187" s="786">
        <f t="shared" si="25"/>
        <v>3.3146875959603223E-2</v>
      </c>
      <c r="AA187" s="786">
        <f t="shared" si="25"/>
        <v>0.02</v>
      </c>
      <c r="AB187" s="786">
        <f t="shared" si="25"/>
        <v>3.89006646724816E-2</v>
      </c>
      <c r="AC187" s="786">
        <f t="shared" si="25"/>
        <v>3.9228229989771699E-2</v>
      </c>
      <c r="AD187" s="786">
        <f t="shared" si="25"/>
        <v>3.8853388562053358E-2</v>
      </c>
      <c r="AE187" s="786">
        <f t="shared" si="25"/>
        <v>2.1409281621601231E-2</v>
      </c>
    </row>
    <row r="188" spans="4:31">
      <c r="D188" t="str">
        <f>C61</f>
        <v>R-BLD_Apt_B1</v>
      </c>
      <c r="E188" s="764">
        <f t="shared" ref="E188:AE188" si="26">H61*$BH$27</f>
        <v>5.1976132443555905</v>
      </c>
      <c r="F188" s="764">
        <f t="shared" si="26"/>
        <v>9.3314973981268902E-3</v>
      </c>
      <c r="G188" s="764">
        <f t="shared" si="26"/>
        <v>3.8795577189656774</v>
      </c>
      <c r="H188" s="764">
        <f t="shared" si="26"/>
        <v>1.9211992602239075E-2</v>
      </c>
      <c r="I188" s="764">
        <f t="shared" si="26"/>
        <v>1.4912875269250541E-2</v>
      </c>
      <c r="J188" s="764">
        <f t="shared" si="26"/>
        <v>8.1776224057210217E-3</v>
      </c>
      <c r="K188" s="764">
        <f t="shared" si="26"/>
        <v>3.585329076164042E-3</v>
      </c>
      <c r="L188" s="764">
        <f t="shared" si="26"/>
        <v>5.3278902698974957E-2</v>
      </c>
      <c r="M188" s="764">
        <f t="shared" si="26"/>
        <v>7.8704653993169504E-2</v>
      </c>
      <c r="N188" s="764">
        <f t="shared" si="26"/>
        <v>0</v>
      </c>
      <c r="O188" s="764">
        <f t="shared" si="26"/>
        <v>3.8536474043666308E-2</v>
      </c>
      <c r="P188" s="764">
        <f t="shared" si="26"/>
        <v>2.583097129527806E-2</v>
      </c>
      <c r="Q188" s="764">
        <f t="shared" si="26"/>
        <v>0.10936635397320441</v>
      </c>
      <c r="R188" s="764">
        <f t="shared" si="26"/>
        <v>1.2858304335706622E-3</v>
      </c>
      <c r="S188" s="764">
        <f t="shared" si="26"/>
        <v>0.66116165910752589</v>
      </c>
      <c r="T188" s="764">
        <f t="shared" si="26"/>
        <v>4.2605646774192665E-2</v>
      </c>
      <c r="U188" s="764">
        <f t="shared" si="26"/>
        <v>6.9194421278598928E-2</v>
      </c>
      <c r="V188" s="764">
        <f t="shared" si="26"/>
        <v>1.6854268626284391E-2</v>
      </c>
      <c r="W188" s="764">
        <f t="shared" si="26"/>
        <v>1.8706514038054258E-2</v>
      </c>
      <c r="X188" s="764">
        <f t="shared" si="26"/>
        <v>7.0812631399005024E-2</v>
      </c>
      <c r="Y188" s="764">
        <f t="shared" si="26"/>
        <v>1.0207219784121402E-3</v>
      </c>
      <c r="Z188" s="764">
        <f t="shared" si="26"/>
        <v>1.1015909788802345E-2</v>
      </c>
      <c r="AA188" s="764">
        <f t="shared" si="26"/>
        <v>1.15166974613897E-2</v>
      </c>
      <c r="AB188" s="764">
        <f t="shared" si="26"/>
        <v>7.0228130422058666E-3</v>
      </c>
      <c r="AC188" s="764">
        <f t="shared" si="26"/>
        <v>2.8188199931811317E-3</v>
      </c>
      <c r="AD188" s="764">
        <f t="shared" si="26"/>
        <v>3.7693637091293482E-2</v>
      </c>
      <c r="AE188" s="764">
        <f t="shared" si="26"/>
        <v>5.4092816216012298E-3</v>
      </c>
    </row>
    <row r="189" spans="4:31">
      <c r="D189" t="str">
        <f>C66</f>
        <v>R-BLD_Apt_B2</v>
      </c>
      <c r="E189" s="764">
        <f t="shared" ref="E189:AE189" si="27">H66*$BH$28</f>
        <v>13.979419134898935</v>
      </c>
      <c r="F189" s="764">
        <f t="shared" si="27"/>
        <v>1.066456845500216E-2</v>
      </c>
      <c r="G189" s="764">
        <f t="shared" si="27"/>
        <v>9.7924474391647536</v>
      </c>
      <c r="H189" s="764">
        <f t="shared" si="27"/>
        <v>0.23578354557293413</v>
      </c>
      <c r="I189" s="764">
        <f t="shared" si="27"/>
        <v>6.9593417923169199E-2</v>
      </c>
      <c r="J189" s="764">
        <f t="shared" si="27"/>
        <v>0.11285118919895011</v>
      </c>
      <c r="K189" s="764">
        <f t="shared" si="27"/>
        <v>7.1706581523280841E-3</v>
      </c>
      <c r="L189" s="764">
        <f t="shared" si="27"/>
        <v>0.21858011363682037</v>
      </c>
      <c r="M189" s="764">
        <f t="shared" si="27"/>
        <v>0.36903737761241701</v>
      </c>
      <c r="N189" s="764">
        <f t="shared" si="27"/>
        <v>2.0501788054471191E-2</v>
      </c>
      <c r="O189" s="764">
        <f t="shared" si="27"/>
        <v>0.16743433550006739</v>
      </c>
      <c r="P189" s="764">
        <f t="shared" si="27"/>
        <v>5.043189633840002E-2</v>
      </c>
      <c r="Q189" s="764">
        <f t="shared" si="27"/>
        <v>0.28546472054022848</v>
      </c>
      <c r="R189" s="764">
        <f t="shared" si="27"/>
        <v>4.3718234741402517E-2</v>
      </c>
      <c r="S189" s="764">
        <f t="shared" si="27"/>
        <v>1.6642476076064439</v>
      </c>
      <c r="T189" s="764">
        <f t="shared" si="27"/>
        <v>6.0149148387095529E-2</v>
      </c>
      <c r="U189" s="764">
        <f t="shared" si="27"/>
        <v>0.21009942460956402</v>
      </c>
      <c r="V189" s="764">
        <f t="shared" si="27"/>
        <v>1.872696514031599E-2</v>
      </c>
      <c r="W189" s="764">
        <f t="shared" si="27"/>
        <v>4.4427970840378861E-2</v>
      </c>
      <c r="X189" s="764">
        <f t="shared" si="27"/>
        <v>0.27491962778437246</v>
      </c>
      <c r="Y189" s="764">
        <f t="shared" si="27"/>
        <v>8.1657758272971216E-3</v>
      </c>
      <c r="Z189" s="764">
        <f t="shared" si="27"/>
        <v>4.9571594049610555E-2</v>
      </c>
      <c r="AA189" s="764">
        <f t="shared" si="27"/>
        <v>1.15166974613897E-2</v>
      </c>
      <c r="AB189" s="764">
        <f t="shared" si="27"/>
        <v>3.8625471732132266E-2</v>
      </c>
      <c r="AC189" s="764">
        <f t="shared" si="27"/>
        <v>4.2282299897716973E-2</v>
      </c>
      <c r="AD189" s="764">
        <f t="shared" si="27"/>
        <v>0.12792991982499607</v>
      </c>
      <c r="AE189" s="764">
        <f t="shared" si="27"/>
        <v>4.507734684667692E-2</v>
      </c>
    </row>
    <row r="190" spans="4:31">
      <c r="D190" t="str">
        <f>C71</f>
        <v>R-BLD_Apt_B3</v>
      </c>
      <c r="E190" s="764">
        <f t="shared" ref="E190:AE190" si="28">H71*$BH$29</f>
        <v>21.176485750422383</v>
      </c>
      <c r="F190" s="764">
        <f t="shared" si="28"/>
        <v>7.2817902173752599E-2</v>
      </c>
      <c r="G190" s="764">
        <f t="shared" si="28"/>
        <v>13.756039461920549</v>
      </c>
      <c r="H190" s="764">
        <f t="shared" si="28"/>
        <v>0.64567767779617047</v>
      </c>
      <c r="I190" s="764">
        <f t="shared" si="28"/>
        <v>0.15516256339933007</v>
      </c>
      <c r="J190" s="764">
        <f t="shared" si="28"/>
        <v>0.14996217808645004</v>
      </c>
      <c r="K190" s="764">
        <f t="shared" si="28"/>
        <v>1.3988973622884456E-2</v>
      </c>
      <c r="L190" s="764">
        <f t="shared" si="28"/>
        <v>0.35712667931971542</v>
      </c>
      <c r="M190" s="764">
        <f t="shared" si="28"/>
        <v>0.63122829943976899</v>
      </c>
      <c r="N190" s="764">
        <f t="shared" si="28"/>
        <v>6.3070907617599065E-2</v>
      </c>
      <c r="O190" s="764">
        <f t="shared" si="28"/>
        <v>0.23201915754558544</v>
      </c>
      <c r="P190" s="764">
        <f t="shared" si="28"/>
        <v>0.13318068909431816</v>
      </c>
      <c r="Q190" s="764">
        <f t="shared" si="28"/>
        <v>0.52616450599891296</v>
      </c>
      <c r="R190" s="764">
        <f t="shared" si="28"/>
        <v>0.17559355564896773</v>
      </c>
      <c r="S190" s="764">
        <f t="shared" si="28"/>
        <v>2.3315050197584144</v>
      </c>
      <c r="T190" s="764">
        <f t="shared" si="28"/>
        <v>0.16379094198754943</v>
      </c>
      <c r="U190" s="764">
        <f t="shared" si="28"/>
        <v>0.47000664994299934</v>
      </c>
      <c r="V190" s="764">
        <f t="shared" si="28"/>
        <v>7.1240809539084182E-2</v>
      </c>
      <c r="W190" s="764">
        <f t="shared" si="28"/>
        <v>0.13685194191492978</v>
      </c>
      <c r="X190" s="764">
        <f t="shared" si="28"/>
        <v>0.56070926833913393</v>
      </c>
      <c r="Y190" s="764">
        <f t="shared" si="28"/>
        <v>1.2943378618579783E-2</v>
      </c>
      <c r="Z190" s="764">
        <f t="shared" si="28"/>
        <v>8.9991610332336852E-2</v>
      </c>
      <c r="AA190" s="764">
        <f t="shared" si="28"/>
        <v>2.2467502088049568E-2</v>
      </c>
      <c r="AB190" s="764">
        <f t="shared" si="28"/>
        <v>9.9328973200498785E-2</v>
      </c>
      <c r="AC190" s="764">
        <f t="shared" si="28"/>
        <v>8.6611335206604023E-2</v>
      </c>
      <c r="AD190" s="764">
        <f t="shared" si="28"/>
        <v>0.15041277036009301</v>
      </c>
      <c r="AE190" s="764">
        <f t="shared" si="28"/>
        <v>6.8592997470110328E-2</v>
      </c>
    </row>
    <row r="191" spans="4:31">
      <c r="D191" t="str">
        <f>C76</f>
        <v>R-BLD_Apt_C</v>
      </c>
      <c r="E191" s="764">
        <f t="shared" ref="E191:AE191" si="29">H76*$BH$30</f>
        <v>69.767580080770472</v>
      </c>
      <c r="F191" s="764">
        <f t="shared" si="29"/>
        <v>0.48092301240478363</v>
      </c>
      <c r="G191" s="764">
        <f t="shared" si="29"/>
        <v>40.196443328480193</v>
      </c>
      <c r="H191" s="764">
        <f t="shared" si="29"/>
        <v>2.8833426335001162</v>
      </c>
      <c r="I191" s="764">
        <f t="shared" si="29"/>
        <v>0.70823894795188536</v>
      </c>
      <c r="J191" s="764">
        <f t="shared" si="29"/>
        <v>0.4569580684515509</v>
      </c>
      <c r="K191" s="764">
        <f t="shared" si="29"/>
        <v>0.18628562085806583</v>
      </c>
      <c r="L191" s="764">
        <f t="shared" si="29"/>
        <v>1.1798886243185582</v>
      </c>
      <c r="M191" s="764">
        <f t="shared" si="29"/>
        <v>2.2495527221423477</v>
      </c>
      <c r="N191" s="764">
        <f t="shared" si="29"/>
        <v>0.31539368649977528</v>
      </c>
      <c r="O191" s="764">
        <f t="shared" si="29"/>
        <v>0.85848721767205538</v>
      </c>
      <c r="P191" s="764">
        <f t="shared" si="29"/>
        <v>0.72110260900304435</v>
      </c>
      <c r="Q191" s="764">
        <f t="shared" si="29"/>
        <v>1.5210084301457731</v>
      </c>
      <c r="R191" s="764">
        <f t="shared" si="29"/>
        <v>0.75128445208970152</v>
      </c>
      <c r="S191" s="764">
        <f t="shared" si="29"/>
        <v>5.7079367987735523</v>
      </c>
      <c r="T191" s="764">
        <f t="shared" si="29"/>
        <v>0.95697401174918117</v>
      </c>
      <c r="U191" s="764">
        <f t="shared" si="29"/>
        <v>3.217784177140889</v>
      </c>
      <c r="V191" s="764">
        <f t="shared" si="29"/>
        <v>0.46263915243248577</v>
      </c>
      <c r="W191" s="764">
        <f t="shared" si="29"/>
        <v>0.95819433693648981</v>
      </c>
      <c r="X191" s="764">
        <f t="shared" si="29"/>
        <v>2.9891474151226234</v>
      </c>
      <c r="Y191" s="764">
        <f t="shared" si="29"/>
        <v>0.19512661849173824</v>
      </c>
      <c r="Z191" s="764">
        <f t="shared" si="29"/>
        <v>0.62365843437037438</v>
      </c>
      <c r="AA191" s="764">
        <f t="shared" si="29"/>
        <v>0.20824183289483983</v>
      </c>
      <c r="AB191" s="764">
        <f t="shared" si="29"/>
        <v>0.42599132956155844</v>
      </c>
      <c r="AC191" s="764">
        <f t="shared" si="29"/>
        <v>0.3606220647919135</v>
      </c>
      <c r="AD191" s="764">
        <f t="shared" si="29"/>
        <v>0.88013864812549003</v>
      </c>
      <c r="AE191" s="764">
        <f t="shared" si="29"/>
        <v>0.27221590686150365</v>
      </c>
    </row>
    <row r="192" spans="4:31">
      <c r="D192" t="str">
        <f>C81</f>
        <v>R-BLD_Apt_D</v>
      </c>
      <c r="E192" s="764">
        <f t="shared" ref="E192:AE192" si="30">H81*$BH$31</f>
        <v>45.993619928119749</v>
      </c>
      <c r="F192" s="764">
        <f t="shared" si="30"/>
        <v>0.33696237627838105</v>
      </c>
      <c r="G192" s="764">
        <f t="shared" si="30"/>
        <v>24.264154675861473</v>
      </c>
      <c r="H192" s="764">
        <f t="shared" si="30"/>
        <v>1.6001417898281656</v>
      </c>
      <c r="I192" s="764">
        <f t="shared" si="30"/>
        <v>0.34823002611721843</v>
      </c>
      <c r="J192" s="764">
        <f t="shared" si="30"/>
        <v>0.3785668276079116</v>
      </c>
      <c r="K192" s="764">
        <f t="shared" si="30"/>
        <v>0.2581072698420086</v>
      </c>
      <c r="L192" s="764">
        <f t="shared" si="30"/>
        <v>0.50143827442929834</v>
      </c>
      <c r="M192" s="764">
        <f t="shared" si="30"/>
        <v>1.0959223563207776</v>
      </c>
      <c r="N192" s="764">
        <f t="shared" si="30"/>
        <v>0.35434309782744416</v>
      </c>
      <c r="O192" s="764">
        <f t="shared" si="30"/>
        <v>0.84938682223414674</v>
      </c>
      <c r="P192" s="764">
        <f t="shared" si="30"/>
        <v>0.77908850378191696</v>
      </c>
      <c r="Q192" s="764">
        <f t="shared" si="30"/>
        <v>0.92454181242285571</v>
      </c>
      <c r="R192" s="764">
        <f t="shared" si="30"/>
        <v>0.67245784730770242</v>
      </c>
      <c r="S192" s="764">
        <f t="shared" si="30"/>
        <v>3.2988898521429579</v>
      </c>
      <c r="T192" s="764">
        <f t="shared" si="30"/>
        <v>0.8313165421469042</v>
      </c>
      <c r="U192" s="764">
        <f t="shared" si="30"/>
        <v>1.8873281396646859</v>
      </c>
      <c r="V192" s="764">
        <f t="shared" si="30"/>
        <v>0.7834995555296117</v>
      </c>
      <c r="W192" s="764">
        <f t="shared" si="30"/>
        <v>0.97377571245555217</v>
      </c>
      <c r="X192" s="764">
        <f t="shared" si="30"/>
        <v>3.0565225080997576</v>
      </c>
      <c r="Y192" s="764">
        <f t="shared" si="30"/>
        <v>0.19770837538203409</v>
      </c>
      <c r="Z192" s="764">
        <f t="shared" si="30"/>
        <v>0.73080001534538286</v>
      </c>
      <c r="AA192" s="764">
        <f t="shared" si="30"/>
        <v>0.19208999823284856</v>
      </c>
      <c r="AB192" s="764">
        <f t="shared" si="30"/>
        <v>0.55006372590862296</v>
      </c>
      <c r="AC192" s="764">
        <f t="shared" si="30"/>
        <v>0.37127341874716163</v>
      </c>
      <c r="AD192" s="764">
        <f t="shared" si="30"/>
        <v>0.53872939371074258</v>
      </c>
      <c r="AE192" s="764">
        <f t="shared" si="30"/>
        <v>0.21828101089419413</v>
      </c>
    </row>
    <row r="193" spans="4:31">
      <c r="D193" t="str">
        <f>C86</f>
        <v>R-BLD_Apt_E</v>
      </c>
      <c r="E193" s="764">
        <f t="shared" ref="E193:AE193" si="31">H86*$BH$32</f>
        <v>19.403965347730132</v>
      </c>
      <c r="F193" s="764">
        <f t="shared" si="31"/>
        <v>0.14678126036366551</v>
      </c>
      <c r="G193" s="764">
        <f t="shared" si="31"/>
        <v>9.8302642660780215</v>
      </c>
      <c r="H193" s="764">
        <f t="shared" si="31"/>
        <v>0.74786390645034584</v>
      </c>
      <c r="I193" s="764">
        <f t="shared" si="31"/>
        <v>0.13649721629762196</v>
      </c>
      <c r="J193" s="764">
        <f t="shared" si="31"/>
        <v>0.12405764781096879</v>
      </c>
      <c r="K193" s="764">
        <f t="shared" si="31"/>
        <v>9.3575584003279894E-2</v>
      </c>
      <c r="L193" s="764">
        <f t="shared" si="31"/>
        <v>0.24290178321278147</v>
      </c>
      <c r="M193" s="764">
        <f t="shared" si="31"/>
        <v>0.38515470641260718</v>
      </c>
      <c r="N193" s="764">
        <f t="shared" si="31"/>
        <v>0.16464248089959768</v>
      </c>
      <c r="O193" s="764">
        <f t="shared" si="31"/>
        <v>0.32623009163639832</v>
      </c>
      <c r="P193" s="764">
        <f t="shared" si="31"/>
        <v>0.4364095480224886</v>
      </c>
      <c r="Q193" s="764">
        <f t="shared" si="31"/>
        <v>0.34470700896924411</v>
      </c>
      <c r="R193" s="764">
        <f t="shared" si="31"/>
        <v>0.37230219644816248</v>
      </c>
      <c r="S193" s="764">
        <f t="shared" si="31"/>
        <v>1.5860332528182473</v>
      </c>
      <c r="T193" s="764">
        <f t="shared" si="31"/>
        <v>0.33318802966175831</v>
      </c>
      <c r="U193" s="764">
        <f t="shared" si="31"/>
        <v>0.65260297951555934</v>
      </c>
      <c r="V193" s="764">
        <f t="shared" si="31"/>
        <v>0.37268402148607704</v>
      </c>
      <c r="W193" s="764">
        <f t="shared" si="31"/>
        <v>0.43673892851918278</v>
      </c>
      <c r="X193" s="764">
        <f t="shared" si="31"/>
        <v>1.4110491583798588</v>
      </c>
      <c r="Y193" s="764">
        <f t="shared" si="31"/>
        <v>5.4945856359927145E-2</v>
      </c>
      <c r="Z193" s="764">
        <f t="shared" si="31"/>
        <v>0.2549410591171089</v>
      </c>
      <c r="AA193" s="764">
        <f t="shared" si="31"/>
        <v>8.975681736859345E-2</v>
      </c>
      <c r="AB193" s="764">
        <f t="shared" si="31"/>
        <v>0.30859006143955059</v>
      </c>
      <c r="AC193" s="764">
        <f t="shared" si="31"/>
        <v>0.15633628966815699</v>
      </c>
      <c r="AD193" s="764">
        <f t="shared" si="31"/>
        <v>0.26923746482920768</v>
      </c>
      <c r="AE193" s="764">
        <f t="shared" si="31"/>
        <v>0.12647373196172257</v>
      </c>
    </row>
    <row r="194" spans="4:31">
      <c r="D194" t="str">
        <f>C91</f>
        <v>R-BLD_Apt_F</v>
      </c>
      <c r="E194" s="764">
        <f t="shared" ref="E194:AE194" si="32">H91*$BH$33</f>
        <v>3.2533155153258604</v>
      </c>
      <c r="F194" s="764">
        <f t="shared" si="32"/>
        <v>2.8151852011088475E-2</v>
      </c>
      <c r="G194" s="764">
        <f t="shared" si="32"/>
        <v>1.6791086511703035</v>
      </c>
      <c r="H194" s="764">
        <f t="shared" si="32"/>
        <v>0.12199962630343644</v>
      </c>
      <c r="I194" s="764">
        <f t="shared" si="32"/>
        <v>2.8935944282139487E-2</v>
      </c>
      <c r="J194" s="764">
        <f t="shared" si="32"/>
        <v>2.1254816280148327E-2</v>
      </c>
      <c r="K194" s="764">
        <f t="shared" si="32"/>
        <v>1.2133835560139727E-2</v>
      </c>
      <c r="L194" s="764">
        <f t="shared" si="32"/>
        <v>4.6048881407521933E-2</v>
      </c>
      <c r="M194" s="764">
        <f t="shared" si="32"/>
        <v>4.9720589387742119E-2</v>
      </c>
      <c r="N194" s="764">
        <f t="shared" si="32"/>
        <v>3.7787723314674497E-2</v>
      </c>
      <c r="O194" s="764">
        <f t="shared" si="32"/>
        <v>6.2061482557414921E-2</v>
      </c>
      <c r="P194" s="764">
        <f t="shared" si="32"/>
        <v>6.5939507817951507E-2</v>
      </c>
      <c r="Q194" s="764">
        <f t="shared" si="32"/>
        <v>6.1729946788878567E-2</v>
      </c>
      <c r="R194" s="764">
        <f t="shared" si="32"/>
        <v>4.9608675708180755E-2</v>
      </c>
      <c r="S194" s="764">
        <f t="shared" si="32"/>
        <v>0.30141391892403052</v>
      </c>
      <c r="T194" s="764">
        <f t="shared" si="32"/>
        <v>5.0381810254108969E-2</v>
      </c>
      <c r="U194" s="764">
        <f t="shared" si="32"/>
        <v>0.10933834430084921</v>
      </c>
      <c r="V194" s="764">
        <f t="shared" si="32"/>
        <v>7.6813774077599331E-2</v>
      </c>
      <c r="W194" s="764">
        <f t="shared" si="32"/>
        <v>5.9351708139798343E-2</v>
      </c>
      <c r="X194" s="764">
        <f t="shared" si="32"/>
        <v>0.19172105136761539</v>
      </c>
      <c r="Y194" s="764">
        <f t="shared" si="32"/>
        <v>1.0363293613141186E-2</v>
      </c>
      <c r="Z194" s="764">
        <f t="shared" si="32"/>
        <v>4.8651917797096496E-2</v>
      </c>
      <c r="AA194" s="764">
        <f t="shared" si="32"/>
        <v>1.3511672953190222E-2</v>
      </c>
      <c r="AB194" s="764">
        <f t="shared" si="32"/>
        <v>2.6381723703181009E-2</v>
      </c>
      <c r="AC194" s="764">
        <f t="shared" si="32"/>
        <v>2.8619212527756094E-2</v>
      </c>
      <c r="AD194" s="764">
        <f t="shared" si="32"/>
        <v>4.592399146321164E-2</v>
      </c>
      <c r="AE194" s="764">
        <f t="shared" si="32"/>
        <v>2.6361563614661299E-2</v>
      </c>
    </row>
    <row r="195" spans="4:31" ht="13.5" thickBot="1">
      <c r="D195" s="760" t="str">
        <f>C96</f>
        <v>R-BLD_Apt_G</v>
      </c>
      <c r="E195" s="769">
        <f t="shared" ref="E195:AE195" si="33">H96*$BH$34</f>
        <v>1.8751622901609137</v>
      </c>
      <c r="F195" s="769">
        <f t="shared" si="33"/>
        <v>1.7034141652339227E-2</v>
      </c>
      <c r="G195" s="769">
        <f t="shared" si="33"/>
        <v>0.84919332251892654</v>
      </c>
      <c r="H195" s="769">
        <f t="shared" si="33"/>
        <v>5.522650055131486E-2</v>
      </c>
      <c r="I195" s="769">
        <f t="shared" si="33"/>
        <v>2.404410535161906E-2</v>
      </c>
      <c r="J195" s="769">
        <f t="shared" si="33"/>
        <v>1.7356736596229907E-2</v>
      </c>
      <c r="K195" s="769">
        <f t="shared" si="33"/>
        <v>8.8003841257063616E-3</v>
      </c>
      <c r="L195" s="769">
        <f t="shared" si="33"/>
        <v>2.8107952667584504E-2</v>
      </c>
      <c r="M195" s="769">
        <f t="shared" si="33"/>
        <v>2.8788327589051897E-2</v>
      </c>
      <c r="N195" s="769">
        <f t="shared" si="33"/>
        <v>2.0493426622210435E-2</v>
      </c>
      <c r="O195" s="769">
        <f t="shared" si="33"/>
        <v>2.5901888569660459E-2</v>
      </c>
      <c r="P195" s="769">
        <f t="shared" si="33"/>
        <v>4.1558607179562987E-2</v>
      </c>
      <c r="Q195" s="769">
        <f t="shared" si="33"/>
        <v>5.660643161438593E-2</v>
      </c>
      <c r="R195" s="769">
        <f t="shared" si="33"/>
        <v>4.0380030843744426E-2</v>
      </c>
      <c r="S195" s="769">
        <f t="shared" si="33"/>
        <v>0.23198713458669856</v>
      </c>
      <c r="T195" s="769">
        <f t="shared" si="33"/>
        <v>4.1252167917870466E-2</v>
      </c>
      <c r="U195" s="769">
        <f t="shared" si="33"/>
        <v>6.9208119992878139E-2</v>
      </c>
      <c r="V195" s="769">
        <f t="shared" si="33"/>
        <v>6.7327181422804333E-2</v>
      </c>
      <c r="W195" s="769">
        <f t="shared" si="33"/>
        <v>3.8235323792224142E-2</v>
      </c>
      <c r="X195" s="769">
        <f t="shared" si="33"/>
        <v>7.4878105472110226E-2</v>
      </c>
      <c r="Y195" s="769">
        <f t="shared" si="33"/>
        <v>5.3055895776302452E-3</v>
      </c>
      <c r="Z195" s="769">
        <f t="shared" si="33"/>
        <v>2.8629684380121104E-2</v>
      </c>
      <c r="AA195" s="769">
        <f t="shared" si="33"/>
        <v>1.219419312331862E-2</v>
      </c>
      <c r="AB195" s="769">
        <f t="shared" si="33"/>
        <v>9.5061807532669223E-3</v>
      </c>
      <c r="AC195" s="769">
        <f t="shared" si="33"/>
        <v>1.8314857391802605E-2</v>
      </c>
      <c r="AD195" s="769">
        <f t="shared" si="33"/>
        <v>2.9685905087531855E-2</v>
      </c>
      <c r="AE195" s="769">
        <f t="shared" si="33"/>
        <v>3.5145990780319838E-2</v>
      </c>
    </row>
    <row r="196" spans="4:31">
      <c r="D196" t="str">
        <f>C106</f>
        <v>R-BLD_Det_A</v>
      </c>
      <c r="E196" s="786">
        <f t="shared" ref="E196:AE196" si="34">H106*$BH$26</f>
        <v>37.364451209178156</v>
      </c>
      <c r="F196" s="786">
        <f t="shared" si="34"/>
        <v>0.47186271023077675</v>
      </c>
      <c r="G196" s="786">
        <f t="shared" si="34"/>
        <v>5.6840158084525259</v>
      </c>
      <c r="H196" s="786">
        <f t="shared" si="34"/>
        <v>2.5019451434121076</v>
      </c>
      <c r="I196" s="786">
        <f t="shared" si="34"/>
        <v>1.0753594871171821</v>
      </c>
      <c r="J196" s="786">
        <f t="shared" si="34"/>
        <v>0.58013586730971045</v>
      </c>
      <c r="K196" s="786">
        <f t="shared" si="34"/>
        <v>0.1927775924290504</v>
      </c>
      <c r="L196" s="786">
        <f t="shared" si="34"/>
        <v>1.2535593006061714</v>
      </c>
      <c r="M196" s="786">
        <f t="shared" si="34"/>
        <v>3.0851721089169395</v>
      </c>
      <c r="N196" s="786">
        <f t="shared" si="34"/>
        <v>0.52551358690336702</v>
      </c>
      <c r="O196" s="786">
        <f t="shared" si="34"/>
        <v>0.5779383118570991</v>
      </c>
      <c r="P196" s="786">
        <f t="shared" si="34"/>
        <v>1.5383444077400852</v>
      </c>
      <c r="Q196" s="786">
        <f t="shared" si="34"/>
        <v>1.6026222316292691</v>
      </c>
      <c r="R196" s="786">
        <f t="shared" si="34"/>
        <v>0.81116295791941484</v>
      </c>
      <c r="S196" s="786">
        <f t="shared" si="34"/>
        <v>5.3643308783452941</v>
      </c>
      <c r="T196" s="786">
        <f t="shared" si="34"/>
        <v>1.355416331673154</v>
      </c>
      <c r="U196" s="786">
        <f t="shared" si="34"/>
        <v>1.1729935073658804</v>
      </c>
      <c r="V196" s="786">
        <f t="shared" si="34"/>
        <v>1.0044898081821196</v>
      </c>
      <c r="W196" s="786">
        <f t="shared" si="34"/>
        <v>1.0195610081359703</v>
      </c>
      <c r="X196" s="786">
        <f t="shared" si="34"/>
        <v>2.6172747273644483</v>
      </c>
      <c r="Y196" s="786">
        <f t="shared" si="34"/>
        <v>3.2548855887212125E-2</v>
      </c>
      <c r="Z196" s="786">
        <f t="shared" si="34"/>
        <v>1.3352338722249208</v>
      </c>
      <c r="AA196" s="786">
        <f t="shared" si="34"/>
        <v>0.41411948867046905</v>
      </c>
      <c r="AB196" s="786">
        <f t="shared" si="34"/>
        <v>0.57288829107204087</v>
      </c>
      <c r="AC196" s="786">
        <f t="shared" si="34"/>
        <v>0.55280668901212782</v>
      </c>
      <c r="AD196" s="786">
        <f t="shared" si="34"/>
        <v>1.4385044916382623</v>
      </c>
      <c r="AE196" s="786">
        <f t="shared" si="34"/>
        <v>0.58387374508255463</v>
      </c>
    </row>
    <row r="197" spans="4:31">
      <c r="D197" t="str">
        <f>C111</f>
        <v>R-BLD_Det_B1</v>
      </c>
      <c r="E197" s="764">
        <f t="shared" ref="E197:AE197" si="35">H111*$BH$27</f>
        <v>8.1867925913057995</v>
      </c>
      <c r="F197" s="764">
        <f t="shared" si="35"/>
        <v>0.12375780764357298</v>
      </c>
      <c r="G197" s="764">
        <f t="shared" si="35"/>
        <v>0.8466673768432933</v>
      </c>
      <c r="H197" s="764">
        <f t="shared" si="35"/>
        <v>0.3674832015911404</v>
      </c>
      <c r="I197" s="764">
        <f t="shared" si="35"/>
        <v>0.21285039161267719</v>
      </c>
      <c r="J197" s="764">
        <f t="shared" si="35"/>
        <v>0.12866823477069239</v>
      </c>
      <c r="K197" s="764">
        <f t="shared" si="35"/>
        <v>0.10949576034253809</v>
      </c>
      <c r="L197" s="764">
        <f t="shared" si="35"/>
        <v>0.28973384612615904</v>
      </c>
      <c r="M197" s="764">
        <f t="shared" si="35"/>
        <v>0.35566139766064575</v>
      </c>
      <c r="N197" s="764">
        <f t="shared" si="35"/>
        <v>0.14859516248169818</v>
      </c>
      <c r="O197" s="764">
        <f t="shared" si="35"/>
        <v>0.13925904889812826</v>
      </c>
      <c r="P197" s="764">
        <f t="shared" si="35"/>
        <v>0.28710307092951454</v>
      </c>
      <c r="Q197" s="764">
        <f t="shared" si="35"/>
        <v>0.23319134962091179</v>
      </c>
      <c r="R197" s="764">
        <f t="shared" si="35"/>
        <v>0.19272717299827924</v>
      </c>
      <c r="S197" s="764">
        <f t="shared" si="35"/>
        <v>1.2448498339622822</v>
      </c>
      <c r="T197" s="764">
        <f t="shared" si="35"/>
        <v>0.63390151287867169</v>
      </c>
      <c r="U197" s="764">
        <f t="shared" si="35"/>
        <v>0.27055002609827489</v>
      </c>
      <c r="V197" s="764">
        <f t="shared" si="35"/>
        <v>0.38142936725340382</v>
      </c>
      <c r="W197" s="764">
        <f t="shared" si="35"/>
        <v>0.26643764216236093</v>
      </c>
      <c r="X197" s="764">
        <f t="shared" si="35"/>
        <v>0.59940483730921779</v>
      </c>
      <c r="Y197" s="764">
        <f t="shared" si="35"/>
        <v>7.5112744355104899E-2</v>
      </c>
      <c r="Z197" s="764">
        <f t="shared" si="35"/>
        <v>0.2999443049200215</v>
      </c>
      <c r="AA197" s="764">
        <f t="shared" si="35"/>
        <v>8.1804609103641762E-2</v>
      </c>
      <c r="AB197" s="764">
        <f t="shared" si="35"/>
        <v>0.17978583084080257</v>
      </c>
      <c r="AC197" s="764">
        <f t="shared" si="35"/>
        <v>0.15747913172361708</v>
      </c>
      <c r="AD197" s="764">
        <f t="shared" si="35"/>
        <v>0.3534699153088367</v>
      </c>
      <c r="AE197" s="764">
        <f t="shared" si="35"/>
        <v>0.20742901387031404</v>
      </c>
    </row>
    <row r="198" spans="4:31">
      <c r="D198" t="str">
        <f>C116</f>
        <v>R-BLD_Det_B2</v>
      </c>
      <c r="E198" s="764">
        <f t="shared" ref="E198:AE198" si="36">H116*$BH$28</f>
        <v>18.974694526816247</v>
      </c>
      <c r="F198" s="764">
        <f t="shared" si="36"/>
        <v>0.23488726756841405</v>
      </c>
      <c r="G198" s="764">
        <f t="shared" si="36"/>
        <v>1.8016294181665427</v>
      </c>
      <c r="H198" s="764">
        <f t="shared" si="36"/>
        <v>0.94338971154740525</v>
      </c>
      <c r="I198" s="764">
        <f t="shared" si="36"/>
        <v>0.43965818595405454</v>
      </c>
      <c r="J198" s="764">
        <f t="shared" si="36"/>
        <v>0.38002013525297518</v>
      </c>
      <c r="K198" s="764">
        <f t="shared" si="36"/>
        <v>0.22700340558818871</v>
      </c>
      <c r="L198" s="764">
        <f t="shared" si="36"/>
        <v>0.66902179014585805</v>
      </c>
      <c r="M198" s="764">
        <f t="shared" si="36"/>
        <v>0.91286425399565752</v>
      </c>
      <c r="N198" s="764">
        <f t="shared" si="36"/>
        <v>0.29388821024158085</v>
      </c>
      <c r="O198" s="764">
        <f t="shared" si="36"/>
        <v>0.34388459013619427</v>
      </c>
      <c r="P198" s="764">
        <f t="shared" si="36"/>
        <v>0.80995744400440284</v>
      </c>
      <c r="Q198" s="764">
        <f t="shared" si="36"/>
        <v>0.61310984057632978</v>
      </c>
      <c r="R198" s="764">
        <f t="shared" si="36"/>
        <v>0.59547754734083713</v>
      </c>
      <c r="S198" s="764">
        <f t="shared" si="36"/>
        <v>3.0535594395442418</v>
      </c>
      <c r="T198" s="764">
        <f t="shared" si="36"/>
        <v>1.250124497509731</v>
      </c>
      <c r="U198" s="764">
        <f t="shared" si="36"/>
        <v>0.62308490858996646</v>
      </c>
      <c r="V198" s="764">
        <f t="shared" si="36"/>
        <v>0.72818333748377084</v>
      </c>
      <c r="W198" s="764">
        <f t="shared" si="36"/>
        <v>0.51134496980655131</v>
      </c>
      <c r="X198" s="764">
        <f t="shared" si="36"/>
        <v>1.4395962331956424</v>
      </c>
      <c r="Y198" s="764">
        <f t="shared" si="36"/>
        <v>0.22283447492014455</v>
      </c>
      <c r="Z198" s="764">
        <f t="shared" si="36"/>
        <v>0.6133996145661702</v>
      </c>
      <c r="AA198" s="764">
        <f t="shared" si="36"/>
        <v>0.28339453868047326</v>
      </c>
      <c r="AB198" s="764">
        <f t="shared" si="36"/>
        <v>0.30053750827119236</v>
      </c>
      <c r="AC198" s="764">
        <f t="shared" si="36"/>
        <v>0.49415865471893639</v>
      </c>
      <c r="AD198" s="764">
        <f t="shared" si="36"/>
        <v>0.82476313572061888</v>
      </c>
      <c r="AE198" s="764">
        <f t="shared" si="36"/>
        <v>0.36492141329036731</v>
      </c>
    </row>
    <row r="199" spans="4:31">
      <c r="D199" t="str">
        <f>C121</f>
        <v>R-BLD_Det_B3</v>
      </c>
      <c r="E199" s="764">
        <f t="shared" ref="E199:AE199" si="37">H121*$BH$29</f>
        <v>53.208907017201781</v>
      </c>
      <c r="F199" s="764">
        <f t="shared" si="37"/>
        <v>0.71691283060892164</v>
      </c>
      <c r="G199" s="764">
        <f t="shared" si="37"/>
        <v>3.8052262757548605</v>
      </c>
      <c r="H199" s="764">
        <f t="shared" si="37"/>
        <v>2.7659865794088119</v>
      </c>
      <c r="I199" s="764">
        <f t="shared" si="37"/>
        <v>1.2457260340560161</v>
      </c>
      <c r="J199" s="764">
        <f t="shared" si="37"/>
        <v>1.1704263663948293</v>
      </c>
      <c r="K199" s="764">
        <f t="shared" si="37"/>
        <v>0.67469897107923071</v>
      </c>
      <c r="L199" s="764">
        <f t="shared" si="37"/>
        <v>1.5698009712917711</v>
      </c>
      <c r="M199" s="764">
        <f t="shared" si="37"/>
        <v>2.6597459050432763</v>
      </c>
      <c r="N199" s="764">
        <f t="shared" si="37"/>
        <v>0.87288752165288619</v>
      </c>
      <c r="O199" s="764">
        <f t="shared" si="37"/>
        <v>1.1005624429030736</v>
      </c>
      <c r="P199" s="764">
        <f t="shared" si="37"/>
        <v>2.153876012580024</v>
      </c>
      <c r="Q199" s="764">
        <f t="shared" si="37"/>
        <v>1.5896797820644302</v>
      </c>
      <c r="R199" s="764">
        <f t="shared" si="37"/>
        <v>1.7063905716727741</v>
      </c>
      <c r="S199" s="764">
        <f t="shared" si="37"/>
        <v>8.9090450675589956</v>
      </c>
      <c r="T199" s="764">
        <f t="shared" si="37"/>
        <v>2.800950077450111</v>
      </c>
      <c r="U199" s="764">
        <f t="shared" si="37"/>
        <v>2.0845675620339321</v>
      </c>
      <c r="V199" s="764">
        <f t="shared" si="37"/>
        <v>2.0190015300746325</v>
      </c>
      <c r="W199" s="764">
        <f t="shared" si="37"/>
        <v>1.4648441562371985</v>
      </c>
      <c r="X199" s="764">
        <f t="shared" si="37"/>
        <v>4.3925841847673297</v>
      </c>
      <c r="Y199" s="764">
        <f t="shared" si="37"/>
        <v>0.56904306245602942</v>
      </c>
      <c r="Z199" s="764">
        <f t="shared" si="37"/>
        <v>1.8424327895354429</v>
      </c>
      <c r="AA199" s="764">
        <f t="shared" si="37"/>
        <v>1.0829294784559891</v>
      </c>
      <c r="AB199" s="764">
        <f t="shared" si="37"/>
        <v>0.98677660786737509</v>
      </c>
      <c r="AC199" s="764">
        <f t="shared" si="37"/>
        <v>1.4937260631830036</v>
      </c>
      <c r="AD199" s="764">
        <f t="shared" si="37"/>
        <v>2.4594715956175084</v>
      </c>
      <c r="AE199" s="764">
        <f t="shared" si="37"/>
        <v>1.0716145774533303</v>
      </c>
    </row>
    <row r="200" spans="4:31">
      <c r="D200" t="str">
        <f>C126</f>
        <v>R-BLD_Det_C</v>
      </c>
      <c r="E200" s="764">
        <f t="shared" ref="E200:AE200" si="38">H126*$BH$30</f>
        <v>259.55874999268815</v>
      </c>
      <c r="F200" s="764">
        <f t="shared" si="38"/>
        <v>3.7734268473960446</v>
      </c>
      <c r="G200" s="764">
        <f t="shared" si="38"/>
        <v>17.565487352073237</v>
      </c>
      <c r="H200" s="764">
        <f t="shared" si="38"/>
        <v>11.969121883583114</v>
      </c>
      <c r="I200" s="764">
        <f t="shared" si="38"/>
        <v>7.1766958844784492</v>
      </c>
      <c r="J200" s="764">
        <f t="shared" si="38"/>
        <v>6.1074237447098607</v>
      </c>
      <c r="K200" s="764">
        <f t="shared" si="38"/>
        <v>3.2778737070684683</v>
      </c>
      <c r="L200" s="764">
        <f t="shared" si="38"/>
        <v>7.1318904161067609</v>
      </c>
      <c r="M200" s="764">
        <f t="shared" si="38"/>
        <v>13.034344486352056</v>
      </c>
      <c r="N200" s="764">
        <f t="shared" si="38"/>
        <v>5.5291002529139908</v>
      </c>
      <c r="O200" s="764">
        <f t="shared" si="38"/>
        <v>5.8285894478652498</v>
      </c>
      <c r="P200" s="764">
        <f t="shared" si="38"/>
        <v>13.23535064277727</v>
      </c>
      <c r="Q200" s="764">
        <f t="shared" si="38"/>
        <v>7.4515153242919698</v>
      </c>
      <c r="R200" s="764">
        <f t="shared" si="38"/>
        <v>9.8005098071254189</v>
      </c>
      <c r="S200" s="764">
        <f t="shared" si="38"/>
        <v>32.210282261374012</v>
      </c>
      <c r="T200" s="764">
        <f t="shared" si="38"/>
        <v>12.587168601359632</v>
      </c>
      <c r="U200" s="764">
        <f t="shared" si="38"/>
        <v>11.225374772195119</v>
      </c>
      <c r="V200" s="764">
        <f t="shared" si="38"/>
        <v>11.479343485628105</v>
      </c>
      <c r="W200" s="764">
        <f t="shared" si="38"/>
        <v>7.3478456934836762</v>
      </c>
      <c r="X200" s="764">
        <f t="shared" si="38"/>
        <v>20.247690171556567</v>
      </c>
      <c r="Y200" s="764">
        <f t="shared" si="38"/>
        <v>3.2276955894211268</v>
      </c>
      <c r="Z200" s="764">
        <f t="shared" si="38"/>
        <v>11.658520775012411</v>
      </c>
      <c r="AA200" s="764">
        <f t="shared" si="38"/>
        <v>6.2839223007875002</v>
      </c>
      <c r="AB200" s="764">
        <f t="shared" si="38"/>
        <v>4.6009224061191381</v>
      </c>
      <c r="AC200" s="764">
        <f t="shared" si="38"/>
        <v>6.9312320492959785</v>
      </c>
      <c r="AD200" s="764">
        <f t="shared" si="38"/>
        <v>15.189077385345895</v>
      </c>
      <c r="AE200" s="764">
        <f t="shared" si="38"/>
        <v>4.6883447043670783</v>
      </c>
    </row>
    <row r="201" spans="4:31">
      <c r="D201" t="str">
        <f>C131</f>
        <v>R-BLD_Det_D</v>
      </c>
      <c r="E201" s="764">
        <f t="shared" ref="E201:AE201" si="39">H131*$BH$31</f>
        <v>161.71971952170765</v>
      </c>
      <c r="F201" s="764">
        <f t="shared" si="39"/>
        <v>2.529208726383803</v>
      </c>
      <c r="G201" s="764">
        <f t="shared" si="39"/>
        <v>12.302003556384195</v>
      </c>
      <c r="H201" s="764">
        <f t="shared" si="39"/>
        <v>6.1113466305724859</v>
      </c>
      <c r="I201" s="764">
        <f t="shared" si="39"/>
        <v>4.9372195502663763</v>
      </c>
      <c r="J201" s="764">
        <f t="shared" si="39"/>
        <v>3.5702711504869713</v>
      </c>
      <c r="K201" s="764">
        <f t="shared" si="39"/>
        <v>2.0743184052035759</v>
      </c>
      <c r="L201" s="764">
        <f t="shared" si="39"/>
        <v>3.7880927642445426</v>
      </c>
      <c r="M201" s="764">
        <f t="shared" si="39"/>
        <v>6.9951755750597506</v>
      </c>
      <c r="N201" s="764">
        <f t="shared" si="39"/>
        <v>3.7992354036165619</v>
      </c>
      <c r="O201" s="764">
        <f t="shared" si="39"/>
        <v>3.7405408931725539</v>
      </c>
      <c r="P201" s="764">
        <f t="shared" si="39"/>
        <v>8.1335752866653355</v>
      </c>
      <c r="Q201" s="764">
        <f t="shared" si="39"/>
        <v>5.0953467413669742</v>
      </c>
      <c r="R201" s="764">
        <f t="shared" si="39"/>
        <v>5.7813982126704557</v>
      </c>
      <c r="S201" s="764">
        <f t="shared" si="39"/>
        <v>17.661962264870532</v>
      </c>
      <c r="T201" s="764">
        <f t="shared" si="39"/>
        <v>8.3037726670819385</v>
      </c>
      <c r="U201" s="764">
        <f t="shared" si="39"/>
        <v>8.2390874367805704</v>
      </c>
      <c r="V201" s="764">
        <f t="shared" si="39"/>
        <v>8.2844685863978444</v>
      </c>
      <c r="W201" s="764">
        <f t="shared" si="39"/>
        <v>4.6264337773357376</v>
      </c>
      <c r="X201" s="764">
        <f t="shared" si="39"/>
        <v>11.992193782368586</v>
      </c>
      <c r="Y201" s="764">
        <f t="shared" si="39"/>
        <v>1.8258914580681966</v>
      </c>
      <c r="Z201" s="764">
        <f t="shared" si="39"/>
        <v>8.3090041665606407</v>
      </c>
      <c r="AA201" s="764">
        <f t="shared" si="39"/>
        <v>3.8594171135631501</v>
      </c>
      <c r="AB201" s="764">
        <f t="shared" si="39"/>
        <v>3.2640582737584056</v>
      </c>
      <c r="AC201" s="764">
        <f t="shared" si="39"/>
        <v>3.6287889465221412</v>
      </c>
      <c r="AD201" s="764">
        <f t="shared" si="39"/>
        <v>9.3997052239168362</v>
      </c>
      <c r="AE201" s="764">
        <f t="shared" si="39"/>
        <v>3.4672029283894594</v>
      </c>
    </row>
    <row r="202" spans="4:31">
      <c r="D202" t="str">
        <f>C136</f>
        <v>R-BLD_Det_E</v>
      </c>
      <c r="E202" s="764">
        <f t="shared" ref="E202:AE202" si="40">H136*$BH$32</f>
        <v>61.037849854330162</v>
      </c>
      <c r="F202" s="764">
        <f t="shared" si="40"/>
        <v>0.89402528444797336</v>
      </c>
      <c r="G202" s="764">
        <f t="shared" si="40"/>
        <v>5.3276887743440469</v>
      </c>
      <c r="H202" s="764">
        <f t="shared" si="40"/>
        <v>1.948203829878657</v>
      </c>
      <c r="I202" s="764">
        <f t="shared" si="40"/>
        <v>1.8299496317555595</v>
      </c>
      <c r="J202" s="764">
        <f t="shared" si="40"/>
        <v>1.2495579241224524</v>
      </c>
      <c r="K202" s="764">
        <f t="shared" si="40"/>
        <v>0.8734566674721711</v>
      </c>
      <c r="L202" s="764">
        <f t="shared" si="40"/>
        <v>1.4049725509578574</v>
      </c>
      <c r="M202" s="764">
        <f t="shared" si="40"/>
        <v>2.3182359517518867</v>
      </c>
      <c r="N202" s="764">
        <f t="shared" si="40"/>
        <v>1.4220328357864864</v>
      </c>
      <c r="O202" s="764">
        <f t="shared" si="40"/>
        <v>1.4487415196429099</v>
      </c>
      <c r="P202" s="764">
        <f t="shared" si="40"/>
        <v>2.7014607787877272</v>
      </c>
      <c r="Q202" s="764">
        <f t="shared" si="40"/>
        <v>1.9126213940843251</v>
      </c>
      <c r="R202" s="764">
        <f t="shared" si="40"/>
        <v>2.3659196430188798</v>
      </c>
      <c r="S202" s="764">
        <f t="shared" si="40"/>
        <v>6.3629326156944552</v>
      </c>
      <c r="T202" s="764">
        <f t="shared" si="40"/>
        <v>3.2236356755723348</v>
      </c>
      <c r="U202" s="764">
        <f t="shared" si="40"/>
        <v>2.8195932084829187</v>
      </c>
      <c r="V202" s="764">
        <f t="shared" si="40"/>
        <v>3.4286081086133131</v>
      </c>
      <c r="W202" s="764">
        <f t="shared" si="40"/>
        <v>1.2906879573757521</v>
      </c>
      <c r="X202" s="764">
        <f t="shared" si="40"/>
        <v>4.5524497530767594</v>
      </c>
      <c r="Y202" s="764">
        <f t="shared" si="40"/>
        <v>0.88831127982061597</v>
      </c>
      <c r="Z202" s="764">
        <f t="shared" si="40"/>
        <v>3.3015129086290593</v>
      </c>
      <c r="AA202" s="764">
        <f t="shared" si="40"/>
        <v>1.646574307306071</v>
      </c>
      <c r="AB202" s="764">
        <f t="shared" si="40"/>
        <v>1.3569251530238273</v>
      </c>
      <c r="AC202" s="764">
        <f t="shared" si="40"/>
        <v>1.4792958035610548</v>
      </c>
      <c r="AD202" s="764">
        <f t="shared" si="40"/>
        <v>3.6589346919580112</v>
      </c>
      <c r="AE202" s="764">
        <f t="shared" si="40"/>
        <v>1.3315216051650403</v>
      </c>
    </row>
    <row r="203" spans="4:31">
      <c r="D203" t="str">
        <f>C141</f>
        <v>R-BLD_Det_F</v>
      </c>
      <c r="E203" s="764">
        <f t="shared" ref="E203:AE203" si="41">H141*$BH$33</f>
        <v>15.176054289816562</v>
      </c>
      <c r="F203" s="764">
        <f t="shared" si="41"/>
        <v>0.2389916767154466</v>
      </c>
      <c r="G203" s="764">
        <f t="shared" si="41"/>
        <v>1.2924187095217703</v>
      </c>
      <c r="H203" s="764">
        <f t="shared" si="41"/>
        <v>0.4042868783342401</v>
      </c>
      <c r="I203" s="764">
        <f t="shared" si="41"/>
        <v>0.43362705690430448</v>
      </c>
      <c r="J203" s="764">
        <f t="shared" si="41"/>
        <v>0.3742863006135051</v>
      </c>
      <c r="K203" s="764">
        <f t="shared" si="41"/>
        <v>0.30476851209078443</v>
      </c>
      <c r="L203" s="764">
        <f t="shared" si="41"/>
        <v>0.31341840394548376</v>
      </c>
      <c r="M203" s="764">
        <f t="shared" si="41"/>
        <v>0.56933378139158408</v>
      </c>
      <c r="N203" s="764">
        <f t="shared" si="41"/>
        <v>0.42376937505589629</v>
      </c>
      <c r="O203" s="764">
        <f t="shared" si="41"/>
        <v>0.40858360375438868</v>
      </c>
      <c r="P203" s="764">
        <f t="shared" si="41"/>
        <v>0.58962167339926475</v>
      </c>
      <c r="Q203" s="764">
        <f t="shared" si="41"/>
        <v>0.50756437977933444</v>
      </c>
      <c r="R203" s="764">
        <f t="shared" si="41"/>
        <v>0.5288217286289324</v>
      </c>
      <c r="S203" s="764">
        <f t="shared" si="41"/>
        <v>1.479048791112153</v>
      </c>
      <c r="T203" s="764">
        <f t="shared" si="41"/>
        <v>0.70154332439219569</v>
      </c>
      <c r="U203" s="764">
        <f t="shared" si="41"/>
        <v>0.74137711490825142</v>
      </c>
      <c r="V203" s="764">
        <f t="shared" si="41"/>
        <v>0.94134364354381195</v>
      </c>
      <c r="W203" s="764">
        <f t="shared" si="41"/>
        <v>0.34756643953004818</v>
      </c>
      <c r="X203" s="764">
        <f t="shared" si="41"/>
        <v>1.066297962491096</v>
      </c>
      <c r="Y203" s="764">
        <f t="shared" si="41"/>
        <v>0.24098557602956014</v>
      </c>
      <c r="Z203" s="764">
        <f t="shared" si="41"/>
        <v>0.84171164068681414</v>
      </c>
      <c r="AA203" s="764">
        <f t="shared" si="41"/>
        <v>0.47341603743049515</v>
      </c>
      <c r="AB203" s="764">
        <f t="shared" si="41"/>
        <v>0.41410891793896593</v>
      </c>
      <c r="AC203" s="764">
        <f t="shared" si="41"/>
        <v>0.37490761605838052</v>
      </c>
      <c r="AD203" s="764">
        <f t="shared" si="41"/>
        <v>0.87565416709775956</v>
      </c>
      <c r="AE203" s="764">
        <f t="shared" si="41"/>
        <v>0.28860097846209992</v>
      </c>
    </row>
    <row r="204" spans="4:31" ht="13.5" thickBot="1">
      <c r="D204" s="760" t="str">
        <f>C146</f>
        <v>R-BLD_Det_G</v>
      </c>
      <c r="E204" s="769">
        <f t="shared" ref="E204:AE204" si="42">H146*$BH$34</f>
        <v>14.395781331970738</v>
      </c>
      <c r="F204" s="769">
        <f t="shared" si="42"/>
        <v>0.23958828634560592</v>
      </c>
      <c r="G204" s="769">
        <f t="shared" si="42"/>
        <v>0.77772242021846549</v>
      </c>
      <c r="H204" s="769">
        <f t="shared" si="42"/>
        <v>0.37953208357328183</v>
      </c>
      <c r="I204" s="769">
        <f t="shared" si="42"/>
        <v>0.46703350407104854</v>
      </c>
      <c r="J204" s="769">
        <f t="shared" si="42"/>
        <v>0.35449095387604795</v>
      </c>
      <c r="K204" s="769">
        <f t="shared" si="42"/>
        <v>0.25796646306915055</v>
      </c>
      <c r="L204" s="769">
        <f t="shared" si="42"/>
        <v>0.29549575726826682</v>
      </c>
      <c r="M204" s="769">
        <f t="shared" si="42"/>
        <v>0.53727407639753988</v>
      </c>
      <c r="N204" s="769">
        <f t="shared" si="42"/>
        <v>0.37975335725895126</v>
      </c>
      <c r="O204" s="769">
        <f t="shared" si="42"/>
        <v>0.44255900150573274</v>
      </c>
      <c r="P204" s="769">
        <f t="shared" si="42"/>
        <v>0.51361935112513935</v>
      </c>
      <c r="Q204" s="769">
        <f t="shared" si="42"/>
        <v>0.43183916710099479</v>
      </c>
      <c r="R204" s="769">
        <f t="shared" si="42"/>
        <v>0.58543760280716173</v>
      </c>
      <c r="S204" s="769">
        <f t="shared" si="42"/>
        <v>1.5969965021211692</v>
      </c>
      <c r="T204" s="769">
        <f t="shared" si="42"/>
        <v>0.68699353430264909</v>
      </c>
      <c r="U204" s="769">
        <f t="shared" si="42"/>
        <v>0.71616435154734781</v>
      </c>
      <c r="V204" s="769">
        <f t="shared" si="42"/>
        <v>0.86537600077788868</v>
      </c>
      <c r="W204" s="769">
        <f t="shared" si="42"/>
        <v>0.24539031971118641</v>
      </c>
      <c r="X204" s="769">
        <f t="shared" si="42"/>
        <v>1.0762695652605316</v>
      </c>
      <c r="Y204" s="769">
        <f t="shared" si="42"/>
        <v>0.28739763383425621</v>
      </c>
      <c r="Z204" s="769">
        <f t="shared" si="42"/>
        <v>0.8597147557717455</v>
      </c>
      <c r="AA204" s="769">
        <f t="shared" si="42"/>
        <v>0.56568179808040597</v>
      </c>
      <c r="AB204" s="769">
        <f t="shared" si="42"/>
        <v>0.36438722529084533</v>
      </c>
      <c r="AC204" s="769">
        <f t="shared" si="42"/>
        <v>0.39634178234487311</v>
      </c>
      <c r="AD204" s="769">
        <f t="shared" si="42"/>
        <v>0.81402328440037397</v>
      </c>
      <c r="AE204" s="769">
        <f t="shared" si="42"/>
        <v>0.25873255391007843</v>
      </c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4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642</v>
      </c>
      <c r="D2" s="49"/>
      <c r="E2" s="49"/>
      <c r="F2" s="53" t="s">
        <v>758</v>
      </c>
      <c r="G2" s="496"/>
      <c r="H2" s="496"/>
      <c r="I2" s="496"/>
      <c r="J2" s="496"/>
      <c r="K2" s="496"/>
      <c r="L2" s="496"/>
      <c r="M2" s="496"/>
      <c r="N2" s="496"/>
      <c r="O2" s="496"/>
      <c r="P2" s="496"/>
      <c r="Q2" s="496"/>
      <c r="R2" s="496"/>
      <c r="S2" s="496"/>
      <c r="T2" s="496"/>
      <c r="U2" s="496"/>
      <c r="V2" s="496"/>
      <c r="W2" s="496"/>
      <c r="X2" s="496"/>
      <c r="Y2" s="496"/>
      <c r="Z2" s="496"/>
      <c r="AA2" s="496"/>
      <c r="AB2" s="496"/>
      <c r="AC2" s="496"/>
      <c r="AD2" s="496"/>
      <c r="AE2" s="496"/>
      <c r="AF2" s="496"/>
      <c r="AG2" s="496"/>
      <c r="AH2" s="496"/>
      <c r="AI2" s="496"/>
      <c r="AJ2" s="496"/>
      <c r="AK2" s="496"/>
      <c r="AL2" s="496"/>
      <c r="AM2" s="496"/>
      <c r="AN2" s="496"/>
      <c r="AO2" s="30"/>
      <c r="AP2" s="19" t="s">
        <v>757</v>
      </c>
      <c r="AQ2" s="19"/>
      <c r="AR2" s="19"/>
      <c r="AS2" s="19"/>
      <c r="AT2" s="19"/>
      <c r="AU2" s="19"/>
      <c r="AV2" s="19"/>
      <c r="AW2" s="19"/>
    </row>
    <row r="3" spans="1:49" ht="15">
      <c r="B3" s="1182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1268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626</v>
      </c>
      <c r="AJ3" s="27" t="s">
        <v>266</v>
      </c>
      <c r="AK3" s="27" t="s">
        <v>267</v>
      </c>
      <c r="AL3" s="27" t="s">
        <v>625</v>
      </c>
      <c r="AM3" s="31" t="s">
        <v>624</v>
      </c>
      <c r="AN3" s="31" t="s">
        <v>814</v>
      </c>
      <c r="AP3" s="21" t="s">
        <v>259</v>
      </c>
      <c r="AQ3" s="21" t="s">
        <v>754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2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815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1075</v>
      </c>
      <c r="B5" s="1182"/>
      <c r="C5" s="568" t="str">
        <f t="shared" ref="C5:D8" si="0">AR5</f>
        <v>R-RSDRF_X0</v>
      </c>
      <c r="D5" s="568" t="str">
        <f t="shared" si="0"/>
        <v>Residential Refrigeration Demand Technology</v>
      </c>
      <c r="E5" s="568" t="str">
        <f>COMM!$E$24</f>
        <v>RSDELC</v>
      </c>
      <c r="F5" s="568" t="str">
        <f>COMM!E34</f>
        <v>RSDRF</v>
      </c>
      <c r="G5" s="572">
        <f>DwellingStocks!$R$28/1000*RSD_Balance!U38</f>
        <v>1717.3432753852005</v>
      </c>
      <c r="H5" s="572">
        <f>INDEX($Q$20:$T$45,MATCH(H3,$P$20:$P$45,0),MATCH($A$5,$Q$19:$T$19,0))/1000</f>
        <v>21.10645921994449</v>
      </c>
      <c r="I5" s="572">
        <f t="shared" ref="I5:AG5" si="1">INDEX($Q$20:$T$45,MATCH(I3,$P$20:$P$45,0),MATCH($A$5,$Q$19:$T$19,0))/1000</f>
        <v>479.21372758050626</v>
      </c>
      <c r="J5" s="572">
        <f t="shared" si="1"/>
        <v>75.812518723843695</v>
      </c>
      <c r="K5" s="572">
        <f t="shared" si="1"/>
        <v>35.151205365083925</v>
      </c>
      <c r="L5" s="572">
        <f t="shared" si="1"/>
        <v>29.241197856185796</v>
      </c>
      <c r="M5" s="572">
        <f t="shared" si="1"/>
        <v>15.156617907684169</v>
      </c>
      <c r="N5" s="572">
        <f t="shared" si="1"/>
        <v>46.195098508185183</v>
      </c>
      <c r="O5" s="572">
        <f t="shared" si="1"/>
        <v>66.8388951645546</v>
      </c>
      <c r="P5" s="572">
        <f t="shared" si="1"/>
        <v>27.380754123541671</v>
      </c>
      <c r="Q5" s="572">
        <f t="shared" si="1"/>
        <v>31.976091031968068</v>
      </c>
      <c r="R5" s="572">
        <f t="shared" si="1"/>
        <v>54.932768682421852</v>
      </c>
      <c r="S5" s="572">
        <f t="shared" si="1"/>
        <v>50.210111093048297</v>
      </c>
      <c r="T5" s="572">
        <f t="shared" si="1"/>
        <v>43.831712714808248</v>
      </c>
      <c r="U5" s="572">
        <f t="shared" si="1"/>
        <v>198.31809205373418</v>
      </c>
      <c r="V5" s="572">
        <f t="shared" si="1"/>
        <v>54.969352283779571</v>
      </c>
      <c r="W5" s="572">
        <f t="shared" si="1"/>
        <v>71.907902280130301</v>
      </c>
      <c r="X5" s="572">
        <f t="shared" si="1"/>
        <v>59.301506748093658</v>
      </c>
      <c r="Y5" s="572">
        <f t="shared" si="1"/>
        <v>44.111102114859122</v>
      </c>
      <c r="Z5" s="572">
        <f t="shared" si="1"/>
        <v>92.843639343191967</v>
      </c>
      <c r="AA5" s="572">
        <f t="shared" si="1"/>
        <v>12.381964262769033</v>
      </c>
      <c r="AB5" s="572">
        <f t="shared" si="1"/>
        <v>49.360326591545842</v>
      </c>
      <c r="AC5" s="572">
        <f t="shared" si="1"/>
        <v>24.129740057468872</v>
      </c>
      <c r="AD5" s="572">
        <f t="shared" si="1"/>
        <v>25.05987314244291</v>
      </c>
      <c r="AE5" s="572">
        <f t="shared" si="1"/>
        <v>27.097807167552691</v>
      </c>
      <c r="AF5" s="572">
        <f t="shared" si="1"/>
        <v>59.013042406631925</v>
      </c>
      <c r="AG5" s="572">
        <f t="shared" si="1"/>
        <v>21.801768961224582</v>
      </c>
      <c r="AH5" s="568">
        <v>0.8</v>
      </c>
      <c r="AI5" s="570">
        <f>AL5/G5/AK5</f>
        <v>0.11719939117199393</v>
      </c>
      <c r="AJ5" s="571">
        <v>10</v>
      </c>
      <c r="AK5" s="384">
        <f>31.536*(AN5/1000)</f>
        <v>5.6764799999999994E-3</v>
      </c>
      <c r="AL5" s="569">
        <f t="shared" ref="AL5:AL13" si="2">AM5*AH5</f>
        <v>1.1425141342482663</v>
      </c>
      <c r="AM5" s="572">
        <f>RSD_Balance!S29</f>
        <v>1.4281426678103328</v>
      </c>
      <c r="AN5" s="384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1075</v>
      </c>
      <c r="B6" s="1182"/>
      <c r="C6" s="573" t="str">
        <f t="shared" si="0"/>
        <v>R-RSDCK_ELC_X0</v>
      </c>
      <c r="D6" s="574" t="str">
        <f t="shared" si="0"/>
        <v>Residential Cooking Demand Electrical Technology</v>
      </c>
      <c r="E6" s="574" t="str">
        <f>COMM!E24</f>
        <v>RSDELC</v>
      </c>
      <c r="F6" s="573" t="str">
        <f>COMM!$E$35</f>
        <v>RSDCK</v>
      </c>
      <c r="G6" s="576">
        <f>DwellingStocks!$R$28/1000*J20</f>
        <v>1303.257464824321</v>
      </c>
      <c r="H6" s="576">
        <f>INDEX($Q$20:$T$45,MATCH(H3,$P$20:$P$45,0),MATCH($A$6,$Q$19:$T$19,0))/1000*$J$20</f>
        <v>16.017269772831476</v>
      </c>
      <c r="I6" s="576">
        <f t="shared" ref="I6:AG6" si="3">INDEX($Q$20:$T$45,MATCH(I3,$P$20:$P$45,0),MATCH($A$6,$Q$19:$T$19,0))/1000*$J$20</f>
        <v>363.6657135862946</v>
      </c>
      <c r="J6" s="576">
        <f t="shared" si="3"/>
        <v>57.532604209150506</v>
      </c>
      <c r="K6" s="576">
        <f t="shared" si="3"/>
        <v>26.67554672745489</v>
      </c>
      <c r="L6" s="576">
        <f t="shared" si="3"/>
        <v>22.190560229102278</v>
      </c>
      <c r="M6" s="576">
        <f t="shared" si="3"/>
        <v>11.502054197783362</v>
      </c>
      <c r="N6" s="576">
        <f t="shared" si="3"/>
        <v>35.056536355891573</v>
      </c>
      <c r="O6" s="576">
        <f t="shared" si="3"/>
        <v>50.722700762477196</v>
      </c>
      <c r="P6" s="576">
        <f t="shared" si="3"/>
        <v>20.778706689273303</v>
      </c>
      <c r="Q6" s="576">
        <f t="shared" si="3"/>
        <v>24.266015962339928</v>
      </c>
      <c r="R6" s="576">
        <f t="shared" si="3"/>
        <v>41.687379497716293</v>
      </c>
      <c r="S6" s="576">
        <f t="shared" si="3"/>
        <v>38.103449106292494</v>
      </c>
      <c r="T6" s="576">
        <f t="shared" si="3"/>
        <v>33.263010145013681</v>
      </c>
      <c r="U6" s="576">
        <f t="shared" si="3"/>
        <v>150.49963369773778</v>
      </c>
      <c r="V6" s="576">
        <f t="shared" si="3"/>
        <v>41.715142061114641</v>
      </c>
      <c r="W6" s="576">
        <f t="shared" si="3"/>
        <v>54.569468882345284</v>
      </c>
      <c r="X6" s="576">
        <f t="shared" si="3"/>
        <v>45.002727440993318</v>
      </c>
      <c r="Y6" s="576">
        <f t="shared" si="3"/>
        <v>33.475033172924292</v>
      </c>
      <c r="Z6" s="576">
        <f t="shared" si="3"/>
        <v>70.457181024761525</v>
      </c>
      <c r="AA6" s="576">
        <f t="shared" si="3"/>
        <v>9.3964250397301647</v>
      </c>
      <c r="AB6" s="576">
        <f t="shared" si="3"/>
        <v>37.458564643792307</v>
      </c>
      <c r="AC6" s="576">
        <f t="shared" si="3"/>
        <v>18.311577134811976</v>
      </c>
      <c r="AD6" s="576">
        <f t="shared" si="3"/>
        <v>19.017436530337076</v>
      </c>
      <c r="AE6" s="576">
        <f t="shared" si="3"/>
        <v>20.563983903312387</v>
      </c>
      <c r="AF6" s="576">
        <f t="shared" si="3"/>
        <v>44.783817621544834</v>
      </c>
      <c r="AG6" s="576">
        <f t="shared" si="3"/>
        <v>16.544926429294112</v>
      </c>
      <c r="AH6" s="574">
        <v>0.74</v>
      </c>
      <c r="AI6" s="575">
        <f>(SUM(AL6))/G6/AK6</f>
        <v>1.2313874289211772E-2</v>
      </c>
      <c r="AJ6" s="574">
        <v>15</v>
      </c>
      <c r="AK6" s="573">
        <f t="shared" ref="AK6:AK13" si="4">31.536*(AN6/1000)</f>
        <v>9.4608000000000012E-2</v>
      </c>
      <c r="AL6" s="573">
        <f t="shared" si="2"/>
        <v>1.5182832416441119</v>
      </c>
      <c r="AM6" s="576">
        <f>RSD_Balance!R26</f>
        <v>2.051734110329881</v>
      </c>
      <c r="AN6" s="566">
        <v>3</v>
      </c>
      <c r="AP6" s="388" t="s">
        <v>264</v>
      </c>
      <c r="AQ6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8" t="str">
        <f>_xlfn.TEXTJOIN("",TRUE,,LEFT(SETUP!B$3,1),"-",COMM!E35,"_",RSD_Balance!A26,"_",SETUP!$B$66)</f>
        <v>R-RSDCK_ELC_X0</v>
      </c>
      <c r="AS6" s="388" t="str">
        <f>_xlfn.TEXTJOIN(" ",TRUE,COMM!F35,"Electrical Technology")</f>
        <v>Residential Cooking Demand Electrical Technology</v>
      </c>
      <c r="AT6" s="561" t="s">
        <v>13</v>
      </c>
      <c r="AU6" s="388" t="s">
        <v>272</v>
      </c>
      <c r="AV6" s="561"/>
      <c r="AW6" s="388"/>
    </row>
    <row r="7" spans="1:49" ht="15">
      <c r="A7" s="58" t="s">
        <v>1075</v>
      </c>
      <c r="B7" s="1182"/>
      <c r="C7" s="568" t="str">
        <f t="shared" si="0"/>
        <v>R-RSDCK_GAS_X0</v>
      </c>
      <c r="D7" s="568" t="str">
        <f t="shared" si="0"/>
        <v>Residential Cooking Demand Gas Technology</v>
      </c>
      <c r="E7" s="568" t="str">
        <f>COMM!E14</f>
        <v>RSDGAS</v>
      </c>
      <c r="F7" s="568" t="str">
        <f>COMM!$E$35</f>
        <v>RSDCK</v>
      </c>
      <c r="G7" s="572">
        <f>DwellingStocks!$R$28/1000*J21</f>
        <v>391.03391177538401</v>
      </c>
      <c r="H7" s="572">
        <f>INDEX($Q$20:$T$45,MATCH(H3,$P$20:$P$45,0),MATCH($A$7,$Q$19:$T$19,0))/1000*$J$21</f>
        <v>4.8058774450037012</v>
      </c>
      <c r="I7" s="572">
        <f t="shared" ref="I7:AG7" si="5">INDEX($Q$20:$T$45,MATCH(I3,$P$20:$P$45,0),MATCH($A$7,$Q$19:$T$19,0))/1000*$J$21</f>
        <v>109.11552812889853</v>
      </c>
      <c r="J7" s="572">
        <f t="shared" si="5"/>
        <v>17.262283075863039</v>
      </c>
      <c r="K7" s="572">
        <f t="shared" si="5"/>
        <v>8.003824008013515</v>
      </c>
      <c r="L7" s="572">
        <f t="shared" si="5"/>
        <v>6.6581330282599378</v>
      </c>
      <c r="M7" s="572">
        <f t="shared" si="5"/>
        <v>3.4511164277259621</v>
      </c>
      <c r="N7" s="572">
        <f t="shared" si="5"/>
        <v>10.518485345018242</v>
      </c>
      <c r="O7" s="572">
        <f t="shared" si="5"/>
        <v>15.21901591228359</v>
      </c>
      <c r="P7" s="572">
        <f t="shared" si="5"/>
        <v>6.2345155716680685</v>
      </c>
      <c r="Q7" s="572">
        <f t="shared" si="5"/>
        <v>7.280859999706033</v>
      </c>
      <c r="R7" s="572">
        <f t="shared" si="5"/>
        <v>12.508026630681409</v>
      </c>
      <c r="S7" s="572">
        <f t="shared" si="5"/>
        <v>11.432691665553818</v>
      </c>
      <c r="T7" s="572">
        <f t="shared" si="5"/>
        <v>9.9803494900236949</v>
      </c>
      <c r="U7" s="572">
        <f t="shared" si="5"/>
        <v>45.156434606359113</v>
      </c>
      <c r="V7" s="572">
        <f t="shared" si="5"/>
        <v>12.516356606959757</v>
      </c>
      <c r="W7" s="572">
        <f t="shared" si="5"/>
        <v>16.373213625478829</v>
      </c>
      <c r="X7" s="572">
        <f t="shared" si="5"/>
        <v>13.502775182020683</v>
      </c>
      <c r="Y7" s="572">
        <f t="shared" si="5"/>
        <v>10.043965618247078</v>
      </c>
      <c r="Z7" s="572">
        <f t="shared" si="5"/>
        <v>21.140218147526781</v>
      </c>
      <c r="AA7" s="572">
        <f t="shared" si="5"/>
        <v>2.8193361167397208</v>
      </c>
      <c r="AB7" s="572">
        <f t="shared" si="5"/>
        <v>11.239198283915215</v>
      </c>
      <c r="AC7" s="572">
        <f t="shared" si="5"/>
        <v>5.4942694218654902</v>
      </c>
      <c r="AD7" s="572">
        <f t="shared" si="5"/>
        <v>5.7060579349148233</v>
      </c>
      <c r="AE7" s="572">
        <f t="shared" si="5"/>
        <v>6.1700893986302452</v>
      </c>
      <c r="AF7" s="572">
        <f t="shared" si="5"/>
        <v>13.437092716862869</v>
      </c>
      <c r="AG7" s="572">
        <f t="shared" si="5"/>
        <v>4.9641973871639538</v>
      </c>
      <c r="AH7" s="568">
        <v>0.68</v>
      </c>
      <c r="AI7" s="570">
        <f>(SUM(AL7))/G7/AK7</f>
        <v>1.0554765153782697E-2</v>
      </c>
      <c r="AJ7" s="571">
        <v>15</v>
      </c>
      <c r="AK7" s="578">
        <f t="shared" si="4"/>
        <v>0.110376</v>
      </c>
      <c r="AL7" s="569">
        <f t="shared" si="2"/>
        <v>0.45555167559079646</v>
      </c>
      <c r="AM7" s="572">
        <f>RSD_Balance!R17</f>
        <v>0.66992893469234771</v>
      </c>
      <c r="AN7" s="567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1075</v>
      </c>
      <c r="B8" s="1182"/>
      <c r="C8" s="573" t="str">
        <f t="shared" si="0"/>
        <v>R-RSDCK_LPG_X0</v>
      </c>
      <c r="D8" s="574" t="str">
        <f t="shared" si="0"/>
        <v>Residential Cooking Demand LPG Technology</v>
      </c>
      <c r="E8" s="574" t="str">
        <f>COMM!E8</f>
        <v>RSDLPG</v>
      </c>
      <c r="F8" s="573" t="str">
        <f>COMM!$E$35</f>
        <v>RSDCK</v>
      </c>
      <c r="G8" s="576">
        <f>DwellingStocks!$R$28/1000*J22</f>
        <v>23.051536426064438</v>
      </c>
      <c r="H8" s="576">
        <f>INDEX($Q$20:$T$45,MATCH(H3,$P$20:$P$45,0),MATCH($A$8,$Q$19:$T$19,0))/1000*$J$22</f>
        <v>0.28330754864641949</v>
      </c>
      <c r="I8" s="576">
        <f>INDEX($Q$20:$T$45,MATCH(I3,$P$20:$P$45,0),MATCH($A$8,$Q$19:$T$19,0))/1000*$J$22</f>
        <v>6.4323847512166159</v>
      </c>
      <c r="J8" s="576">
        <f t="shared" ref="J8:AG8" si="6">INDEX($Q$20:$T$45,MATCH(J3,$P$20:$P$45,0),MATCH($A$8,$Q$19:$T$19,0))/1000*$J$22</f>
        <v>1.0176154423887032</v>
      </c>
      <c r="K8" s="576">
        <f t="shared" si="6"/>
        <v>0.47182721271118944</v>
      </c>
      <c r="L8" s="576">
        <f t="shared" si="6"/>
        <v>0.39249842893083425</v>
      </c>
      <c r="M8" s="576">
        <f t="shared" si="6"/>
        <v>0.20344408412846607</v>
      </c>
      <c r="N8" s="576">
        <f t="shared" si="6"/>
        <v>0.62006706010958446</v>
      </c>
      <c r="O8" s="576">
        <f t="shared" si="6"/>
        <v>0.89716438678693666</v>
      </c>
      <c r="P8" s="576">
        <f t="shared" si="6"/>
        <v>0.36752608526117975</v>
      </c>
      <c r="Q8" s="576">
        <f t="shared" si="6"/>
        <v>0.42920832296689959</v>
      </c>
      <c r="R8" s="576">
        <f t="shared" si="6"/>
        <v>0.73735096320995652</v>
      </c>
      <c r="S8" s="576">
        <f t="shared" si="6"/>
        <v>0.67395972686854666</v>
      </c>
      <c r="T8" s="576">
        <f t="shared" si="6"/>
        <v>0.58834383127948831</v>
      </c>
      <c r="U8" s="576">
        <f t="shared" si="6"/>
        <v>2.6619819045198505</v>
      </c>
      <c r="V8" s="576">
        <f t="shared" si="6"/>
        <v>0.73784201717184128</v>
      </c>
      <c r="W8" s="576">
        <f t="shared" si="6"/>
        <v>0.9652045997388079</v>
      </c>
      <c r="X8" s="576">
        <f t="shared" si="6"/>
        <v>0.79599161246173733</v>
      </c>
      <c r="Y8" s="576">
        <f t="shared" si="6"/>
        <v>0.59209401624520774</v>
      </c>
      <c r="Z8" s="576">
        <f t="shared" si="6"/>
        <v>1.2462205808957643</v>
      </c>
      <c r="AA8" s="576">
        <f t="shared" si="6"/>
        <v>0.16620049370468928</v>
      </c>
      <c r="AB8" s="576">
        <f t="shared" si="6"/>
        <v>0.66255324880940902</v>
      </c>
      <c r="AC8" s="576">
        <f t="shared" si="6"/>
        <v>0.32388840941625252</v>
      </c>
      <c r="AD8" s="576">
        <f t="shared" si="6"/>
        <v>0.33637338955777812</v>
      </c>
      <c r="AE8" s="576">
        <f t="shared" si="6"/>
        <v>0.36372814797274738</v>
      </c>
      <c r="AF8" s="576">
        <f t="shared" si="6"/>
        <v>0.79211961647227247</v>
      </c>
      <c r="AG8" s="576">
        <f t="shared" si="6"/>
        <v>0.29264054459326672</v>
      </c>
      <c r="AH8" s="574">
        <v>0.68</v>
      </c>
      <c r="AI8" s="575">
        <f>(SUM(AL8))/G8/AK8</f>
        <v>1.0554750731086823E-2</v>
      </c>
      <c r="AJ8" s="574">
        <v>15</v>
      </c>
      <c r="AK8" s="573">
        <f t="shared" si="4"/>
        <v>0.110376</v>
      </c>
      <c r="AL8" s="573">
        <f t="shared" si="2"/>
        <v>2.6854836315100172E-2</v>
      </c>
      <c r="AM8" s="576">
        <f>RSD_Balance!R11</f>
        <v>3.9492406345735545E-2</v>
      </c>
      <c r="AN8" s="566">
        <v>3.5</v>
      </c>
      <c r="AP8" s="388" t="s">
        <v>264</v>
      </c>
      <c r="AQ8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8" t="str">
        <f>_xlfn.TEXTJOIN("",TRUE,,LEFT(SETUP!B$3,1),"-",COMM!E35,"_",RSD_Balance!A11,"_",SETUP!$B$66)</f>
        <v>R-RSDCK_LPG_X0</v>
      </c>
      <c r="AS8" s="388" t="str">
        <f>_xlfn.TEXTJOIN(" ",TRUE,COMM!F35,"LPG Technology")</f>
        <v>Residential Cooking Demand LPG Technology</v>
      </c>
      <c r="AT8" s="561" t="s">
        <v>13</v>
      </c>
      <c r="AU8" s="388" t="s">
        <v>272</v>
      </c>
      <c r="AV8" s="561"/>
      <c r="AW8" s="388"/>
    </row>
    <row r="9" spans="1:49" ht="15">
      <c r="A9" s="58" t="s">
        <v>1075</v>
      </c>
      <c r="B9" s="1182"/>
      <c r="C9" s="568" t="str">
        <f t="shared" ref="C9:D13" si="7">AR9</f>
        <v>R-RSDCW_X0</v>
      </c>
      <c r="D9" s="568" t="str">
        <f t="shared" si="7"/>
        <v>Residential Cloth Washing Demand Technology</v>
      </c>
      <c r="E9" s="568" t="str">
        <f>COMM!$E$24</f>
        <v>RSDELC</v>
      </c>
      <c r="F9" s="568" t="str">
        <f>COMM!E36</f>
        <v>RSDCW</v>
      </c>
      <c r="G9" s="572">
        <f>DwellingStocks!$R$28/1000*RSD_Balance!U36</f>
        <v>1674.4096935005705</v>
      </c>
      <c r="H9" s="572">
        <f>INDEX($Q$20:$T$45,MATCH(H3,$P$20:$P$45,0),MATCH($A$8,$Q$19:$T$19,0))/1000*RSD_Balance!$U$36</f>
        <v>20.578797739445879</v>
      </c>
      <c r="I9" s="572">
        <f>INDEX($Q$20:$T$45,MATCH(I3,$P$20:$P$45,0),MATCH($A$8,$Q$19:$T$19,0))/1000*RSD_Balance!$U$36</f>
        <v>467.23338439099359</v>
      </c>
      <c r="J9" s="572">
        <f>INDEX($Q$20:$T$45,MATCH(J3,$P$20:$P$45,0),MATCH($A$8,$Q$19:$T$19,0))/1000*RSD_Balance!$U$36</f>
        <v>73.917205755747602</v>
      </c>
      <c r="K9" s="572">
        <f>INDEX($Q$20:$T$45,MATCH(K3,$P$20:$P$45,0),MATCH($A$8,$Q$19:$T$19,0))/1000*RSD_Balance!$U$36</f>
        <v>34.272425230956827</v>
      </c>
      <c r="L9" s="572">
        <f>INDEX($Q$20:$T$45,MATCH(L3,$P$20:$P$45,0),MATCH($A$8,$Q$19:$T$19,0))/1000*RSD_Balance!$U$36</f>
        <v>28.510167909781149</v>
      </c>
      <c r="M9" s="572">
        <f>INDEX($Q$20:$T$45,MATCH(M3,$P$20:$P$45,0),MATCH($A$8,$Q$19:$T$19,0))/1000*RSD_Balance!$U$36</f>
        <v>14.777702459992064</v>
      </c>
      <c r="N9" s="572">
        <f>INDEX($Q$20:$T$45,MATCH(N3,$P$20:$P$45,0),MATCH($A$8,$Q$19:$T$19,0))/1000*RSD_Balance!$U$36</f>
        <v>45.04022104548055</v>
      </c>
      <c r="O9" s="572">
        <f>INDEX($Q$20:$T$45,MATCH(O3,$P$20:$P$45,0),MATCH($A$8,$Q$19:$T$19,0))/1000*RSD_Balance!$U$36</f>
        <v>65.167922785440737</v>
      </c>
      <c r="P9" s="572">
        <f>INDEX($Q$20:$T$45,MATCH(P3,$P$20:$P$45,0),MATCH($A$8,$Q$19:$T$19,0))/1000*RSD_Balance!$U$36</f>
        <v>26.69623527045313</v>
      </c>
      <c r="Q9" s="572">
        <f>INDEX($Q$20:$T$45,MATCH(Q3,$P$20:$P$45,0),MATCH($A$8,$Q$19:$T$19,0))/1000*RSD_Balance!$U$36</f>
        <v>31.176688756168865</v>
      </c>
      <c r="R9" s="572">
        <f>INDEX($Q$20:$T$45,MATCH(R3,$P$20:$P$45,0),MATCH($A$8,$Q$19:$T$19,0))/1000*RSD_Balance!$U$36</f>
        <v>53.559449465361304</v>
      </c>
      <c r="S9" s="572">
        <f>INDEX($Q$20:$T$45,MATCH(S3,$P$20:$P$45,0),MATCH($A$8,$Q$19:$T$19,0))/1000*RSD_Balance!$U$36</f>
        <v>48.954858315722092</v>
      </c>
      <c r="T9" s="572">
        <f>INDEX($Q$20:$T$45,MATCH(T3,$P$20:$P$45,0),MATCH($A$8,$Q$19:$T$19,0))/1000*RSD_Balance!$U$36</f>
        <v>42.735919896938043</v>
      </c>
      <c r="U9" s="572">
        <f>INDEX($Q$20:$T$45,MATCH(U3,$P$20:$P$45,0),MATCH($A$8,$Q$19:$T$19,0))/1000*RSD_Balance!$U$36</f>
        <v>193.36013975239081</v>
      </c>
      <c r="V9" s="572">
        <f>INDEX($Q$20:$T$45,MATCH(V3,$P$20:$P$45,0),MATCH($A$8,$Q$19:$T$19,0))/1000*RSD_Balance!$U$36</f>
        <v>53.59511847668508</v>
      </c>
      <c r="W9" s="572">
        <f>INDEX($Q$20:$T$45,MATCH(W3,$P$20:$P$45,0),MATCH($A$8,$Q$19:$T$19,0))/1000*RSD_Balance!$U$36</f>
        <v>70.11020472312704</v>
      </c>
      <c r="X9" s="572">
        <f>INDEX($Q$20:$T$45,MATCH(X3,$P$20:$P$45,0),MATCH($A$8,$Q$19:$T$19,0))/1000*RSD_Balance!$U$36</f>
        <v>57.818969079391316</v>
      </c>
      <c r="Y9" s="572">
        <f>INDEX($Q$20:$T$45,MATCH(Y3,$P$20:$P$45,0),MATCH($A$8,$Q$19:$T$19,0))/1000*RSD_Balance!$U$36</f>
        <v>43.008324561987642</v>
      </c>
      <c r="Z9" s="572">
        <f>INDEX($Q$20:$T$45,MATCH(Z3,$P$20:$P$45,0),MATCH($A$8,$Q$19:$T$19,0))/1000*RSD_Balance!$U$36</f>
        <v>90.522548359612159</v>
      </c>
      <c r="AA9" s="572">
        <f>INDEX($Q$20:$T$45,MATCH(AA3,$P$20:$P$45,0),MATCH($A$8,$Q$19:$T$19,0))/1000*RSD_Balance!$U$36</f>
        <v>12.072415156199806</v>
      </c>
      <c r="AB9" s="572">
        <f>INDEX($Q$20:$T$45,MATCH(AB3,$P$20:$P$45,0),MATCH($A$8,$Q$19:$T$19,0))/1000*RSD_Balance!$U$36</f>
        <v>48.126318426757194</v>
      </c>
      <c r="AC9" s="572">
        <f>INDEX($Q$20:$T$45,MATCH(AC3,$P$20:$P$45,0),MATCH($A$8,$Q$19:$T$19,0))/1000*RSD_Balance!$U$36</f>
        <v>23.52649655603215</v>
      </c>
      <c r="AD9" s="572">
        <f>INDEX($Q$20:$T$45,MATCH(AD3,$P$20:$P$45,0),MATCH($A$8,$Q$19:$T$19,0))/1000*RSD_Balance!$U$36</f>
        <v>24.433376313881837</v>
      </c>
      <c r="AE9" s="572">
        <f>INDEX($Q$20:$T$45,MATCH(AE3,$P$20:$P$45,0),MATCH($A$8,$Q$19:$T$19,0))/1000*RSD_Balance!$U$36</f>
        <v>26.420361988363872</v>
      </c>
      <c r="AF9" s="572">
        <f>INDEX($Q$20:$T$45,MATCH(AF3,$P$20:$P$45,0),MATCH($A$8,$Q$19:$T$19,0))/1000*RSD_Balance!$U$36</f>
        <v>57.537716346466127</v>
      </c>
      <c r="AG9" s="572">
        <f>INDEX($Q$20:$T$45,MATCH(AG3,$P$20:$P$45,0),MATCH($A$8,$Q$19:$T$19,0))/1000*RSD_Balance!$U$36</f>
        <v>21.256724737193966</v>
      </c>
      <c r="AH9" s="568">
        <v>0.7</v>
      </c>
      <c r="AI9" s="570">
        <f>AL9/G9/AK9</f>
        <v>6.7195931921959313E-3</v>
      </c>
      <c r="AJ9" s="571">
        <v>10</v>
      </c>
      <c r="AK9" s="578">
        <f t="shared" si="4"/>
        <v>6.9379200000000002E-2</v>
      </c>
      <c r="AL9" s="569">
        <f t="shared" si="2"/>
        <v>0.78060979910996586</v>
      </c>
      <c r="AM9" s="572">
        <f>RSD_Balance!T29</f>
        <v>1.1151568558713798</v>
      </c>
      <c r="AN9" s="567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1075</v>
      </c>
      <c r="B10" s="1182"/>
      <c r="C10" s="573" t="str">
        <f t="shared" si="7"/>
        <v>R-RSDCD_X0</v>
      </c>
      <c r="D10" s="574" t="str">
        <f t="shared" si="7"/>
        <v>Residential Cloth Drying Demand Technology</v>
      </c>
      <c r="E10" s="574" t="str">
        <f>COMM!$E$24</f>
        <v>RSDELC</v>
      </c>
      <c r="F10" s="573" t="str">
        <f>COMM!E37</f>
        <v>RSDCD</v>
      </c>
      <c r="G10" s="576">
        <f>DwellingStocks!$R$28/1000*RSD_Balance!U37</f>
        <v>1112.8384424496101</v>
      </c>
      <c r="H10" s="576">
        <f>INDEX($Q$20:$T$45,MATCH(H3,$P$20:$P$45,0),MATCH($A$10,$Q$19:$T$19,0))/1000*RSD_Balance!$U$37</f>
        <v>13.67698557452403</v>
      </c>
      <c r="I10" s="576">
        <f>INDEX($Q$20:$T$45,MATCH(I3,$P$20:$P$45,0),MATCH($A$10,$Q$19:$T$19,0))/1000*RSD_Balance!$U$37</f>
        <v>310.53049547216807</v>
      </c>
      <c r="J10" s="576">
        <f>INDEX($Q$20:$T$45,MATCH(J3,$P$20:$P$45,0),MATCH($A$10,$Q$19:$T$19,0))/1000*RSD_Balance!$U$37</f>
        <v>49.126512133050717</v>
      </c>
      <c r="K10" s="576">
        <f>INDEX($Q$20:$T$45,MATCH(K3,$P$20:$P$45,0),MATCH($A$10,$Q$19:$T$19,0))/1000*RSD_Balance!$U$37</f>
        <v>22.777981076574385</v>
      </c>
      <c r="L10" s="576">
        <f>INDEX($Q$20:$T$45,MATCH(L3,$P$20:$P$45,0),MATCH($A$10,$Q$19:$T$19,0))/1000*RSD_Balance!$U$37</f>
        <v>18.948296210808397</v>
      </c>
      <c r="M10" s="576">
        <f>INDEX($Q$20:$T$45,MATCH(M3,$P$20:$P$45,0),MATCH($A$10,$Q$19:$T$19,0))/1000*RSD_Balance!$U$37</f>
        <v>9.8214884041793411</v>
      </c>
      <c r="N10" s="576">
        <f>INDEX($Q$20:$T$45,MATCH(N3,$P$20:$P$45,0),MATCH($A$10,$Q$19:$T$19,0))/1000*RSD_Balance!$U$37</f>
        <v>29.934423833303999</v>
      </c>
      <c r="O10" s="576">
        <f>INDEX($Q$20:$T$45,MATCH(O3,$P$20:$P$45,0),MATCH($A$10,$Q$19:$T$19,0))/1000*RSD_Balance!$U$37</f>
        <v>43.311604066631382</v>
      </c>
      <c r="P10" s="576">
        <f>INDEX($Q$20:$T$45,MATCH(P3,$P$20:$P$45,0),MATCH($A$10,$Q$19:$T$19,0))/1000*RSD_Balance!$U$37</f>
        <v>17.742728672055001</v>
      </c>
      <c r="Q10" s="576">
        <f>INDEX($Q$20:$T$45,MATCH(Q3,$P$20:$P$45,0),MATCH($A$10,$Q$19:$T$19,0))/1000*RSD_Balance!$U$37</f>
        <v>20.720506988715307</v>
      </c>
      <c r="R10" s="576">
        <f>INDEX($Q$20:$T$45,MATCH(R3,$P$20:$P$45,0),MATCH($A$10,$Q$19:$T$19,0))/1000*RSD_Balance!$U$37</f>
        <v>35.596434106209358</v>
      </c>
      <c r="S10" s="576">
        <f>INDEX($Q$20:$T$45,MATCH(S3,$P$20:$P$45,0),MATCH($A$10,$Q$19:$T$19,0))/1000*RSD_Balance!$U$37</f>
        <v>32.536151988295295</v>
      </c>
      <c r="T10" s="576">
        <f>INDEX($Q$20:$T$45,MATCH(T3,$P$20:$P$45,0),MATCH($A$10,$Q$19:$T$19,0))/1000*RSD_Balance!$U$37</f>
        <v>28.402949839195745</v>
      </c>
      <c r="U10" s="576">
        <f>INDEX($Q$20:$T$45,MATCH(U3,$P$20:$P$45,0),MATCH($A$10,$Q$19:$T$19,0))/1000*RSD_Balance!$U$37</f>
        <v>128.51012365081976</v>
      </c>
      <c r="V10" s="576">
        <f>INDEX($Q$20:$T$45,MATCH(V3,$P$20:$P$45,0),MATCH($A$10,$Q$19:$T$19,0))/1000*RSD_Balance!$U$37</f>
        <v>35.620140279889164</v>
      </c>
      <c r="W10" s="576">
        <f>INDEX($Q$20:$T$45,MATCH(W3,$P$20:$P$45,0),MATCH($A$10,$Q$19:$T$19,0))/1000*RSD_Balance!$U$37</f>
        <v>46.596320677524439</v>
      </c>
      <c r="X10" s="576">
        <f>INDEX($Q$20:$T$45,MATCH(X3,$P$20:$P$45,0),MATCH($A$10,$Q$19:$T$19,0))/1000*RSD_Balance!$U$37</f>
        <v>38.427376372764691</v>
      </c>
      <c r="Y10" s="576">
        <f>INDEX($Q$20:$T$45,MATCH(Y3,$P$20:$P$45,0),MATCH($A$10,$Q$19:$T$19,0))/1000*RSD_Balance!$U$37</f>
        <v>28.583994170428713</v>
      </c>
      <c r="Z10" s="576">
        <f>INDEX($Q$20:$T$45,MATCH(Z3,$P$20:$P$45,0),MATCH($A$10,$Q$19:$T$19,0))/1000*RSD_Balance!$U$37</f>
        <v>60.1626782943884</v>
      </c>
      <c r="AA10" s="576">
        <f>INDEX($Q$20:$T$45,MATCH(AA3,$P$20:$P$45,0),MATCH($A$10,$Q$19:$T$19,0))/1000*RSD_Balance!$U$37</f>
        <v>8.023512842274334</v>
      </c>
      <c r="AB10" s="576">
        <f>INDEX($Q$20:$T$45,MATCH(AB3,$P$20:$P$45,0),MATCH($A$10,$Q$19:$T$19,0))/1000*RSD_Balance!$U$37</f>
        <v>31.985491631321707</v>
      </c>
      <c r="AC10" s="576">
        <f>INDEX($Q$20:$T$45,MATCH(AC3,$P$20:$P$45,0),MATCH($A$10,$Q$19:$T$19,0))/1000*RSD_Balance!$U$37</f>
        <v>15.636071557239831</v>
      </c>
      <c r="AD10" s="576">
        <f>INDEX($Q$20:$T$45,MATCH(AD3,$P$20:$P$45,0),MATCH($A$10,$Q$19:$T$19,0))/1000*RSD_Balance!$U$37</f>
        <v>16.238797796303007</v>
      </c>
      <c r="AE10" s="576">
        <f>INDEX($Q$20:$T$45,MATCH(AE3,$P$20:$P$45,0),MATCH($A$10,$Q$19:$T$19,0))/1000*RSD_Balance!$U$37</f>
        <v>17.559379044574143</v>
      </c>
      <c r="AF10" s="576">
        <f>INDEX($Q$20:$T$45,MATCH(AF3,$P$20:$P$45,0),MATCH($A$10,$Q$19:$T$19,0))/1000*RSD_Balance!$U$37</f>
        <v>38.240451479497487</v>
      </c>
      <c r="AG10" s="576">
        <f>INDEX($Q$20:$T$45,MATCH(AG3,$P$20:$P$45,0),MATCH($A$10,$Q$19:$T$19,0))/1000*RSD_Balance!$U$37</f>
        <v>14.12754628687353</v>
      </c>
      <c r="AH10" s="573">
        <v>0.6</v>
      </c>
      <c r="AI10" s="575">
        <f>AL10/G10/AK10</f>
        <v>1.1863013698630135E-2</v>
      </c>
      <c r="AJ10" s="574">
        <v>10</v>
      </c>
      <c r="AK10" s="573">
        <f t="shared" si="4"/>
        <v>7.8840000000000007E-2</v>
      </c>
      <c r="AL10" s="573">
        <f t="shared" si="2"/>
        <v>1.0408155384542712</v>
      </c>
      <c r="AM10" s="576">
        <f>RSD_Balance!U26</f>
        <v>1.734692564090452</v>
      </c>
      <c r="AN10" s="566">
        <v>2.5</v>
      </c>
      <c r="AP10" s="388" t="s">
        <v>264</v>
      </c>
      <c r="AQ10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8" t="str">
        <f>_xlfn.TEXTJOIN("",TRUE,,LEFT(SETUP!B$3,1),"-",COMM!E37,"_",SETUP!$B$66)</f>
        <v>R-RSDCD_X0</v>
      </c>
      <c r="AS10" s="388" t="str">
        <f>_xlfn.TEXTJOIN(" ",TRUE,COMM!F37,"Technology")</f>
        <v>Residential Cloth Drying Demand Technology</v>
      </c>
      <c r="AT10" s="561" t="s">
        <v>13</v>
      </c>
      <c r="AU10" s="388" t="s">
        <v>272</v>
      </c>
      <c r="AV10" s="561"/>
      <c r="AW10" s="388"/>
    </row>
    <row r="11" spans="1:49" ht="15">
      <c r="A11" s="58" t="s">
        <v>1075</v>
      </c>
      <c r="B11" s="1182"/>
      <c r="C11" s="568" t="str">
        <f t="shared" si="7"/>
        <v>R-RSDDW_X0</v>
      </c>
      <c r="D11" s="568" t="str">
        <f t="shared" si="7"/>
        <v>Residential Dish Washing Demand Technology</v>
      </c>
      <c r="E11" s="568" t="str">
        <f>COMM!$E$24</f>
        <v>RSDELC</v>
      </c>
      <c r="F11" s="568" t="str">
        <f>COMM!E38</f>
        <v>RSDDW</v>
      </c>
      <c r="G11" s="572">
        <f>DwellingStocks!$R$28/1000*RSD_Balance!U39</f>
        <v>1111.1210991742248</v>
      </c>
      <c r="H11" s="572">
        <f>INDEX($Q$20:$T$45,MATCH(H3,$P$20:$P$45,0),MATCH($A$10,$Q$19:$T$19,0))/1000*RSD_Balance!$U$39</f>
        <v>13.655879115304085</v>
      </c>
      <c r="I11" s="572">
        <f>INDEX($Q$20:$T$45,MATCH(I3,$P$20:$P$45,0),MATCH($A$10,$Q$19:$T$19,0))/1000*RSD_Balance!$U$39</f>
        <v>310.05128174458758</v>
      </c>
      <c r="J11" s="572">
        <f>INDEX($Q$20:$T$45,MATCH(J3,$P$20:$P$45,0),MATCH($A$10,$Q$19:$T$19,0))/1000*RSD_Balance!$U$39</f>
        <v>49.050699614326874</v>
      </c>
      <c r="K11" s="572">
        <f>INDEX($Q$20:$T$45,MATCH(K3,$P$20:$P$45,0),MATCH($A$10,$Q$19:$T$19,0))/1000*RSD_Balance!$U$39</f>
        <v>22.742829871209299</v>
      </c>
      <c r="L11" s="572">
        <f>INDEX($Q$20:$T$45,MATCH(L3,$P$20:$P$45,0),MATCH($A$10,$Q$19:$T$19,0))/1000*RSD_Balance!$U$39</f>
        <v>18.91905501295221</v>
      </c>
      <c r="M11" s="572">
        <f>INDEX($Q$20:$T$45,MATCH(M3,$P$20:$P$45,0),MATCH($A$10,$Q$19:$T$19,0))/1000*RSD_Balance!$U$39</f>
        <v>9.8063317862716577</v>
      </c>
      <c r="N11" s="572">
        <f>INDEX($Q$20:$T$45,MATCH(N3,$P$20:$P$45,0),MATCH($A$10,$Q$19:$T$19,0))/1000*RSD_Balance!$U$39</f>
        <v>29.888228734795813</v>
      </c>
      <c r="O11" s="572">
        <f>INDEX($Q$20:$T$45,MATCH(O3,$P$20:$P$45,0),MATCH($A$10,$Q$19:$T$19,0))/1000*RSD_Balance!$U$39</f>
        <v>43.244765171466831</v>
      </c>
      <c r="P11" s="572">
        <f>INDEX($Q$20:$T$45,MATCH(P3,$P$20:$P$45,0),MATCH($A$10,$Q$19:$T$19,0))/1000*RSD_Balance!$U$39</f>
        <v>17.71534791793146</v>
      </c>
      <c r="Q11" s="572">
        <f>INDEX($Q$20:$T$45,MATCH(Q3,$P$20:$P$45,0),MATCH($A$10,$Q$19:$T$19,0))/1000*RSD_Balance!$U$39</f>
        <v>20.688530897683339</v>
      </c>
      <c r="R11" s="572">
        <f>INDEX($Q$20:$T$45,MATCH(R3,$P$20:$P$45,0),MATCH($A$10,$Q$19:$T$19,0))/1000*RSD_Balance!$U$39</f>
        <v>35.541501337526938</v>
      </c>
      <c r="S11" s="572">
        <f>INDEX($Q$20:$T$45,MATCH(S3,$P$20:$P$45,0),MATCH($A$10,$Q$19:$T$19,0))/1000*RSD_Balance!$U$39</f>
        <v>32.485941877202251</v>
      </c>
      <c r="T11" s="572">
        <f>INDEX($Q$20:$T$45,MATCH(T3,$P$20:$P$45,0),MATCH($A$10,$Q$19:$T$19,0))/1000*RSD_Balance!$U$39</f>
        <v>28.359118126480936</v>
      </c>
      <c r="U11" s="572">
        <f>INDEX($Q$20:$T$45,MATCH(U3,$P$20:$P$45,0),MATCH($A$10,$Q$19:$T$19,0))/1000*RSD_Balance!$U$39</f>
        <v>128.31180555876603</v>
      </c>
      <c r="V11" s="572">
        <f>INDEX($Q$20:$T$45,MATCH(V3,$P$20:$P$45,0),MATCH($A$10,$Q$19:$T$19,0))/1000*RSD_Balance!$U$39</f>
        <v>35.565170927605386</v>
      </c>
      <c r="W11" s="572">
        <f>INDEX($Q$20:$T$45,MATCH(W3,$P$20:$P$45,0),MATCH($A$10,$Q$19:$T$19,0))/1000*RSD_Balance!$U$39</f>
        <v>46.524412775244308</v>
      </c>
      <c r="X11" s="572">
        <f>INDEX($Q$20:$T$45,MATCH(X3,$P$20:$P$45,0),MATCH($A$10,$Q$19:$T$19,0))/1000*RSD_Balance!$U$39</f>
        <v>38.368074866016599</v>
      </c>
      <c r="Y11" s="572">
        <f>INDEX($Q$20:$T$45,MATCH(Y3,$P$20:$P$45,0),MATCH($A$10,$Q$19:$T$19,0))/1000*RSD_Balance!$U$39</f>
        <v>28.539883068313852</v>
      </c>
      <c r="Z11" s="572">
        <f>INDEX($Q$20:$T$45,MATCH(Z3,$P$20:$P$45,0),MATCH($A$10,$Q$19:$T$19,0))/1000*RSD_Balance!$U$39</f>
        <v>60.069834655045206</v>
      </c>
      <c r="AA11" s="572">
        <f>INDEX($Q$20:$T$45,MATCH(AA3,$P$20:$P$45,0),MATCH($A$10,$Q$19:$T$19,0))/1000*RSD_Balance!$U$39</f>
        <v>8.0111308780115653</v>
      </c>
      <c r="AB11" s="572">
        <f>INDEX($Q$20:$T$45,MATCH(AB3,$P$20:$P$45,0),MATCH($A$10,$Q$19:$T$19,0))/1000*RSD_Balance!$U$39</f>
        <v>31.936131304730161</v>
      </c>
      <c r="AC11" s="572">
        <f>INDEX($Q$20:$T$45,MATCH(AC3,$P$20:$P$45,0),MATCH($A$10,$Q$19:$T$19,0))/1000*RSD_Balance!$U$39</f>
        <v>15.611941817182361</v>
      </c>
      <c r="AD11" s="572">
        <f>INDEX($Q$20:$T$45,MATCH(AD3,$P$20:$P$45,0),MATCH($A$10,$Q$19:$T$19,0))/1000*RSD_Balance!$U$39</f>
        <v>16.213737923160565</v>
      </c>
      <c r="AE11" s="572">
        <f>INDEX($Q$20:$T$45,MATCH(AE3,$P$20:$P$45,0),MATCH($A$10,$Q$19:$T$19,0))/1000*RSD_Balance!$U$39</f>
        <v>17.532281237406593</v>
      </c>
      <c r="AF11" s="572">
        <f>INDEX($Q$20:$T$45,MATCH(AF3,$P$20:$P$45,0),MATCH($A$10,$Q$19:$T$19,0))/1000*RSD_Balance!$U$39</f>
        <v>38.181438437090854</v>
      </c>
      <c r="AG11" s="572">
        <f>INDEX($Q$20:$T$45,MATCH(AG3,$P$20:$P$45,0),MATCH($A$10,$Q$19:$T$19,0))/1000*RSD_Balance!$U$39</f>
        <v>14.105744517912305</v>
      </c>
      <c r="AH11" s="568">
        <v>0.7</v>
      </c>
      <c r="AI11" s="570">
        <f>AL11/G11/AK11</f>
        <v>1.0896637608966376E-2</v>
      </c>
      <c r="AJ11" s="571">
        <v>10</v>
      </c>
      <c r="AK11" s="578">
        <f t="shared" si="4"/>
        <v>6.9379200000000002E-2</v>
      </c>
      <c r="AL11" s="569">
        <f t="shared" si="2"/>
        <v>0.840007550975714</v>
      </c>
      <c r="AM11" s="572">
        <f>RSD_Balance!V29</f>
        <v>1.2000107871081629</v>
      </c>
      <c r="AN11" s="567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1075</v>
      </c>
      <c r="B12" s="1182"/>
      <c r="C12" s="573" t="str">
        <f t="shared" si="7"/>
        <v>R-RSDOE_X0</v>
      </c>
      <c r="D12" s="574" t="str">
        <f t="shared" si="7"/>
        <v>Residential ELC Appliances Demand Technology</v>
      </c>
      <c r="E12" s="574" t="str">
        <f>COMM!$E$24</f>
        <v>RSDELC</v>
      </c>
      <c r="F12" s="573" t="str">
        <f>COMM!E39</f>
        <v>RSDOE</v>
      </c>
      <c r="G12" s="576">
        <f>DwellingStocks!$R$28/1000*1</f>
        <v>1717.3432753852005</v>
      </c>
      <c r="H12" s="576">
        <f>INDEX($Q$20:$T$45,MATCH(H3,$P$20:$P$45,0),MATCH($A$12,$Q$19:$T$19,0))/1000</f>
        <v>21.10645921994449</v>
      </c>
      <c r="I12" s="576">
        <f t="shared" ref="I12:AG12" si="8">INDEX($Q$20:$T$45,MATCH(I3,$P$20:$P$45,0),MATCH($A$12,$Q$19:$T$19,0))/1000</f>
        <v>479.21372758050626</v>
      </c>
      <c r="J12" s="576">
        <f t="shared" si="8"/>
        <v>75.812518723843695</v>
      </c>
      <c r="K12" s="576">
        <f t="shared" si="8"/>
        <v>35.151205365083925</v>
      </c>
      <c r="L12" s="576">
        <f t="shared" si="8"/>
        <v>29.241197856185796</v>
      </c>
      <c r="M12" s="576">
        <f t="shared" si="8"/>
        <v>15.156617907684169</v>
      </c>
      <c r="N12" s="576">
        <f t="shared" si="8"/>
        <v>46.195098508185183</v>
      </c>
      <c r="O12" s="576">
        <f t="shared" si="8"/>
        <v>66.8388951645546</v>
      </c>
      <c r="P12" s="576">
        <f t="shared" si="8"/>
        <v>27.380754123541671</v>
      </c>
      <c r="Q12" s="576">
        <f t="shared" si="8"/>
        <v>31.976091031968068</v>
      </c>
      <c r="R12" s="576">
        <f t="shared" si="8"/>
        <v>54.932768682421852</v>
      </c>
      <c r="S12" s="576">
        <f t="shared" si="8"/>
        <v>50.210111093048297</v>
      </c>
      <c r="T12" s="576">
        <f t="shared" si="8"/>
        <v>43.831712714808248</v>
      </c>
      <c r="U12" s="576">
        <f t="shared" si="8"/>
        <v>198.31809205373418</v>
      </c>
      <c r="V12" s="576">
        <f t="shared" si="8"/>
        <v>54.969352283779571</v>
      </c>
      <c r="W12" s="576">
        <f t="shared" si="8"/>
        <v>71.907902280130301</v>
      </c>
      <c r="X12" s="576">
        <f t="shared" si="8"/>
        <v>59.301506748093658</v>
      </c>
      <c r="Y12" s="576">
        <f t="shared" si="8"/>
        <v>44.111102114859122</v>
      </c>
      <c r="Z12" s="576">
        <f t="shared" si="8"/>
        <v>92.843639343191967</v>
      </c>
      <c r="AA12" s="576">
        <f t="shared" si="8"/>
        <v>12.381964262769033</v>
      </c>
      <c r="AB12" s="576">
        <f t="shared" si="8"/>
        <v>49.360326591545842</v>
      </c>
      <c r="AC12" s="576">
        <f t="shared" si="8"/>
        <v>24.129740057468872</v>
      </c>
      <c r="AD12" s="576">
        <f t="shared" si="8"/>
        <v>25.05987314244291</v>
      </c>
      <c r="AE12" s="576">
        <f t="shared" si="8"/>
        <v>27.097807167552691</v>
      </c>
      <c r="AF12" s="576">
        <f t="shared" si="8"/>
        <v>59.013042406631925</v>
      </c>
      <c r="AG12" s="576">
        <f t="shared" si="8"/>
        <v>21.801768961224582</v>
      </c>
      <c r="AH12" s="573">
        <v>0.85</v>
      </c>
      <c r="AI12" s="575">
        <f>AL12/G12/AK12</f>
        <v>0.94547472765819451</v>
      </c>
      <c r="AJ12" s="574">
        <v>10</v>
      </c>
      <c r="AK12" s="573">
        <f t="shared" si="4"/>
        <v>5.6764799999999994E-3</v>
      </c>
      <c r="AL12" s="573">
        <f t="shared" si="2"/>
        <v>9.2169270601309012</v>
      </c>
      <c r="AM12" s="576">
        <f>RSD_Balance!W26</f>
        <v>10.843443600154002</v>
      </c>
      <c r="AN12" s="566">
        <v>0.18</v>
      </c>
      <c r="AP12" s="388" t="s">
        <v>264</v>
      </c>
      <c r="AQ12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8" t="str">
        <f>_xlfn.TEXTJOIN("",TRUE,,LEFT(SETUP!B$3,1),"-",COMM!E39,"_",SETUP!$B$66)</f>
        <v>R-RSDOE_X0</v>
      </c>
      <c r="AS12" s="388" t="str">
        <f>_xlfn.TEXTJOIN(" ",TRUE,COMM!F39,"Technology")</f>
        <v>Residential ELC Appliances Demand Technology</v>
      </c>
      <c r="AT12" s="561" t="s">
        <v>13</v>
      </c>
      <c r="AU12" s="388" t="s">
        <v>272</v>
      </c>
      <c r="AV12" s="561"/>
      <c r="AW12" s="388"/>
    </row>
    <row r="13" spans="1:49" ht="15">
      <c r="A13" s="58" t="s">
        <v>1075</v>
      </c>
      <c r="B13" s="1182"/>
      <c r="C13" s="568" t="str">
        <f t="shared" si="7"/>
        <v>R-RSDOA_X0</v>
      </c>
      <c r="D13" s="568" t="str">
        <f t="shared" si="7"/>
        <v>Residential Other Applications Demand Technology</v>
      </c>
      <c r="E13" s="568" t="str">
        <f>COMM!$E$24</f>
        <v>RSDELC</v>
      </c>
      <c r="F13" s="568" t="str">
        <f>COMM!E40</f>
        <v>RSDOA</v>
      </c>
      <c r="G13" s="572">
        <f>DwellingStocks!$R$28/1000*1</f>
        <v>1717.3432753852005</v>
      </c>
      <c r="H13" s="572">
        <f>INDEX($Q$20:$T$45,MATCH(H3,$P$20:$P$45,0),MATCH($A$13,$Q$19:$T$19,0))/1000</f>
        <v>21.10645921994449</v>
      </c>
      <c r="I13" s="572">
        <f t="shared" ref="I13:AG13" si="9">INDEX($Q$20:$T$45,MATCH(I3,$P$20:$P$45,0),MATCH($A$13,$Q$19:$T$19,0))/1000</f>
        <v>479.21372758050626</v>
      </c>
      <c r="J13" s="572">
        <f t="shared" si="9"/>
        <v>75.812518723843695</v>
      </c>
      <c r="K13" s="572">
        <f t="shared" si="9"/>
        <v>35.151205365083925</v>
      </c>
      <c r="L13" s="572">
        <f t="shared" si="9"/>
        <v>29.241197856185796</v>
      </c>
      <c r="M13" s="572">
        <f t="shared" si="9"/>
        <v>15.156617907684169</v>
      </c>
      <c r="N13" s="572">
        <f t="shared" si="9"/>
        <v>46.195098508185183</v>
      </c>
      <c r="O13" s="572">
        <f t="shared" si="9"/>
        <v>66.8388951645546</v>
      </c>
      <c r="P13" s="572">
        <f t="shared" si="9"/>
        <v>27.380754123541671</v>
      </c>
      <c r="Q13" s="572">
        <f t="shared" si="9"/>
        <v>31.976091031968068</v>
      </c>
      <c r="R13" s="572">
        <f t="shared" si="9"/>
        <v>54.932768682421852</v>
      </c>
      <c r="S13" s="572">
        <f t="shared" si="9"/>
        <v>50.210111093048297</v>
      </c>
      <c r="T13" s="572">
        <f t="shared" si="9"/>
        <v>43.831712714808248</v>
      </c>
      <c r="U13" s="572">
        <f t="shared" si="9"/>
        <v>198.31809205373418</v>
      </c>
      <c r="V13" s="572">
        <f t="shared" si="9"/>
        <v>54.969352283779571</v>
      </c>
      <c r="W13" s="572">
        <f t="shared" si="9"/>
        <v>71.907902280130301</v>
      </c>
      <c r="X13" s="572">
        <f t="shared" si="9"/>
        <v>59.301506748093658</v>
      </c>
      <c r="Y13" s="572">
        <f t="shared" si="9"/>
        <v>44.111102114859122</v>
      </c>
      <c r="Z13" s="572">
        <f t="shared" si="9"/>
        <v>92.843639343191967</v>
      </c>
      <c r="AA13" s="572">
        <f t="shared" si="9"/>
        <v>12.381964262769033</v>
      </c>
      <c r="AB13" s="572">
        <f t="shared" si="9"/>
        <v>49.360326591545842</v>
      </c>
      <c r="AC13" s="572">
        <f t="shared" si="9"/>
        <v>24.129740057468872</v>
      </c>
      <c r="AD13" s="572">
        <f t="shared" si="9"/>
        <v>25.05987314244291</v>
      </c>
      <c r="AE13" s="572">
        <f t="shared" si="9"/>
        <v>27.097807167552691</v>
      </c>
      <c r="AF13" s="572">
        <f t="shared" si="9"/>
        <v>59.013042406631925</v>
      </c>
      <c r="AG13" s="572">
        <f t="shared" si="9"/>
        <v>21.801768961224582</v>
      </c>
      <c r="AH13" s="568">
        <v>0.85</v>
      </c>
      <c r="AI13" s="570">
        <f>AL13/G13/AK13</f>
        <v>0</v>
      </c>
      <c r="AJ13" s="571">
        <v>10</v>
      </c>
      <c r="AK13" s="578">
        <f t="shared" si="4"/>
        <v>5.6764799999999994E-3</v>
      </c>
      <c r="AL13" s="569">
        <f t="shared" si="2"/>
        <v>0</v>
      </c>
      <c r="AM13" s="572">
        <v>0</v>
      </c>
      <c r="AN13" s="567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8"/>
      <c r="D14" s="358"/>
      <c r="E14" s="358"/>
      <c r="F14" s="358"/>
      <c r="G14" s="358"/>
      <c r="H14" s="358"/>
      <c r="I14" s="358"/>
      <c r="J14" s="358"/>
      <c r="K14" s="358"/>
      <c r="L14" s="358"/>
      <c r="M14" s="358"/>
      <c r="N14" s="358"/>
      <c r="O14" s="358"/>
      <c r="P14" s="358"/>
      <c r="Q14" s="577"/>
      <c r="R14" s="577"/>
      <c r="S14" s="577"/>
      <c r="T14" s="26"/>
      <c r="U14" s="26"/>
      <c r="V14" s="26"/>
      <c r="W14" s="26"/>
      <c r="X14" s="26"/>
    </row>
    <row r="17" spans="2:20" ht="19.5" thickBot="1">
      <c r="B17" s="1308" t="s">
        <v>607</v>
      </c>
      <c r="C17" s="1308"/>
      <c r="D17" s="1308"/>
      <c r="E17" s="1308"/>
      <c r="F17" s="1308"/>
      <c r="G17" s="1308"/>
      <c r="H17" s="358"/>
      <c r="I17" s="358"/>
    </row>
    <row r="18" spans="2:20" ht="15.75" thickBot="1">
      <c r="H18" s="358"/>
      <c r="I18" s="358"/>
      <c r="Q18" s="1311">
        <v>2018</v>
      </c>
      <c r="R18" s="1312"/>
      <c r="S18" s="1313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8"/>
      <c r="I19" s="1309" t="s">
        <v>809</v>
      </c>
      <c r="J19" s="1310"/>
      <c r="P19" s="819" t="s">
        <v>754</v>
      </c>
      <c r="Q19" s="819" t="s">
        <v>933</v>
      </c>
      <c r="R19" s="819" t="s">
        <v>929</v>
      </c>
      <c r="S19" s="819" t="s">
        <v>937</v>
      </c>
      <c r="T19" s="873" t="s">
        <v>1075</v>
      </c>
    </row>
    <row r="20" spans="2:20" ht="15">
      <c r="B20" s="259" t="s">
        <v>754</v>
      </c>
      <c r="C20" s="259" t="s">
        <v>230</v>
      </c>
      <c r="D20" s="259" t="s">
        <v>275</v>
      </c>
      <c r="E20" s="259" t="s">
        <v>276</v>
      </c>
      <c r="F20" s="356">
        <v>2018</v>
      </c>
      <c r="G20" s="259" t="s">
        <v>277</v>
      </c>
      <c r="H20" s="358"/>
      <c r="I20" s="663" t="s">
        <v>841</v>
      </c>
      <c r="J20" s="667">
        <v>0.75888</v>
      </c>
      <c r="P20" s="867" t="s">
        <v>655</v>
      </c>
      <c r="Q20" s="867">
        <v>1272.084432974631</v>
      </c>
      <c r="R20" s="868">
        <v>9017.3696255538798</v>
      </c>
      <c r="S20" s="869">
        <v>10817.00516141598</v>
      </c>
      <c r="T20" s="869">
        <f>SUM(Q20:S20)</f>
        <v>21106.459219944489</v>
      </c>
    </row>
    <row r="21" spans="2:20" ht="15">
      <c r="B21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357" t="str">
        <f>COMM!E34</f>
        <v>RSDRF</v>
      </c>
      <c r="D21" s="357" t="str">
        <f>COMM!F34</f>
        <v>Residential Refrigeration Demand</v>
      </c>
      <c r="E21" s="357" t="s">
        <v>278</v>
      </c>
      <c r="F21" s="359">
        <f>AL5</f>
        <v>1.1425141342482663</v>
      </c>
      <c r="G21" s="357" t="s">
        <v>272</v>
      </c>
      <c r="H21" s="358"/>
      <c r="I21" s="664" t="s">
        <v>828</v>
      </c>
      <c r="J21" s="666">
        <v>0.22769700000000001</v>
      </c>
      <c r="P21" s="823" t="s">
        <v>656</v>
      </c>
      <c r="Q21" s="823">
        <v>1271.052567009926</v>
      </c>
      <c r="R21" s="814">
        <v>7706.8792520168045</v>
      </c>
      <c r="S21" s="827">
        <v>18119.875348525962</v>
      </c>
      <c r="T21" s="827">
        <f t="shared" ref="T21:T45" si="10">SUM(Q21:S21)</f>
        <v>27097.807167552692</v>
      </c>
    </row>
    <row r="22" spans="2:20" ht="15.75" thickBot="1">
      <c r="B22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2" s="355" t="str">
        <f>COMM!E35</f>
        <v>RSDCK</v>
      </c>
      <c r="D22" s="355" t="str">
        <f>COMM!F35</f>
        <v>Residential Cooking Demand</v>
      </c>
      <c r="E22" s="355" t="s">
        <v>278</v>
      </c>
      <c r="F22" s="360">
        <f>SUM(AL6:AL8)</f>
        <v>2.0006897535500086</v>
      </c>
      <c r="G22" s="355" t="s">
        <v>272</v>
      </c>
      <c r="H22" s="358"/>
      <c r="I22" s="665" t="s">
        <v>763</v>
      </c>
      <c r="J22" s="668">
        <v>1.3422788999999999E-2</v>
      </c>
      <c r="P22" s="822" t="s">
        <v>657</v>
      </c>
      <c r="Q22" s="822">
        <v>2491.2235846235253</v>
      </c>
      <c r="R22" s="813">
        <v>15118.989670799881</v>
      </c>
      <c r="S22" s="826">
        <v>26221.499459384846</v>
      </c>
      <c r="T22" s="826">
        <f t="shared" si="10"/>
        <v>43831.712714808251</v>
      </c>
    </row>
    <row r="23" spans="2:20" ht="15">
      <c r="B23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3" s="357" t="str">
        <f>COMM!E36</f>
        <v>RSDCW</v>
      </c>
      <c r="D23" s="357" t="str">
        <f>COMM!F36</f>
        <v>Residential Cloth Washing Demand</v>
      </c>
      <c r="E23" s="357" t="s">
        <v>278</v>
      </c>
      <c r="F23" s="359">
        <f>AL9</f>
        <v>0.78060979910996586</v>
      </c>
      <c r="G23" s="357" t="s">
        <v>272</v>
      </c>
      <c r="H23" s="358"/>
      <c r="I23" s="358"/>
      <c r="P23" s="823" t="s">
        <v>658</v>
      </c>
      <c r="Q23" s="823">
        <v>18164.569738528382</v>
      </c>
      <c r="R23" s="814">
        <v>91446.903647123108</v>
      </c>
      <c r="S23" s="827">
        <v>88706.618668082694</v>
      </c>
      <c r="T23" s="827">
        <f t="shared" si="10"/>
        <v>198318.09205373417</v>
      </c>
    </row>
    <row r="24" spans="2:20" ht="15">
      <c r="B24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4" s="355" t="str">
        <f>COMM!E37</f>
        <v>RSDCD</v>
      </c>
      <c r="D24" s="355" t="str">
        <f>COMM!F37</f>
        <v>Residential Cloth Drying Demand</v>
      </c>
      <c r="E24" s="355" t="s">
        <v>278</v>
      </c>
      <c r="F24" s="360">
        <f>AL10</f>
        <v>1.0408155384542712</v>
      </c>
      <c r="G24" s="355" t="s">
        <v>272</v>
      </c>
      <c r="H24" s="358"/>
      <c r="I24" s="358"/>
      <c r="P24" s="822" t="s">
        <v>659</v>
      </c>
      <c r="Q24" s="822">
        <v>2392.9923596273825</v>
      </c>
      <c r="R24" s="813">
        <v>15881.582138278784</v>
      </c>
      <c r="S24" s="826">
        <v>40738.467908725754</v>
      </c>
      <c r="T24" s="826">
        <f t="shared" si="10"/>
        <v>59013.042406631925</v>
      </c>
    </row>
    <row r="25" spans="2:20" ht="15">
      <c r="B25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5" s="357" t="str">
        <f>COMM!E38</f>
        <v>RSDDW</v>
      </c>
      <c r="D25" s="357" t="str">
        <f>COMM!F38</f>
        <v>Residential Dish Washing Demand</v>
      </c>
      <c r="E25" s="357" t="s">
        <v>278</v>
      </c>
      <c r="F25" s="359">
        <f>AL11</f>
        <v>0.840007550975714</v>
      </c>
      <c r="G25" s="357" t="s">
        <v>272</v>
      </c>
      <c r="H25" s="358"/>
      <c r="I25" s="358"/>
      <c r="P25" s="823" t="s">
        <v>660</v>
      </c>
      <c r="Q25" s="823">
        <v>123314.67820831671</v>
      </c>
      <c r="R25" s="814">
        <v>299739.87494657928</v>
      </c>
      <c r="S25" s="827">
        <v>56159.174425610254</v>
      </c>
      <c r="T25" s="827">
        <f t="shared" si="10"/>
        <v>479213.72758050624</v>
      </c>
    </row>
    <row r="26" spans="2:20" ht="15">
      <c r="B26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6" s="355" t="str">
        <f>COMM!E39</f>
        <v>RSDOE</v>
      </c>
      <c r="D26" s="355" t="str">
        <f>COMM!F39</f>
        <v>Residential ELC Appliances Demand</v>
      </c>
      <c r="E26" s="355" t="s">
        <v>278</v>
      </c>
      <c r="F26" s="360">
        <f>AL12</f>
        <v>9.2169270601309012</v>
      </c>
      <c r="G26" s="355" t="s">
        <v>272</v>
      </c>
      <c r="H26" s="358"/>
      <c r="I26" s="358"/>
      <c r="P26" s="822" t="s">
        <v>661</v>
      </c>
      <c r="Q26" s="822">
        <v>9881.5892011882625</v>
      </c>
      <c r="R26" s="813">
        <v>27589.465054026703</v>
      </c>
      <c r="S26" s="826">
        <v>55372.585087977008</v>
      </c>
      <c r="T26" s="826">
        <f t="shared" si="10"/>
        <v>92843.639343191971</v>
      </c>
    </row>
    <row r="27" spans="2:20" ht="15">
      <c r="B27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7" s="357" t="str">
        <f>COMM!E40</f>
        <v>RSDOA</v>
      </c>
      <c r="D27" s="357" t="str">
        <f>COMM!F40</f>
        <v>Residential Other Applications Demand</v>
      </c>
      <c r="E27" s="357" t="s">
        <v>278</v>
      </c>
      <c r="F27" s="359">
        <f>AL13</f>
        <v>0</v>
      </c>
      <c r="G27" s="357" t="s">
        <v>272</v>
      </c>
      <c r="H27" s="358"/>
      <c r="I27" s="358"/>
      <c r="P27" s="823" t="s">
        <v>662</v>
      </c>
      <c r="Q27" s="823">
        <v>2906.0721193547802</v>
      </c>
      <c r="R27" s="814">
        <v>15686.699374231552</v>
      </c>
      <c r="S27" s="827">
        <v>36376.580790193235</v>
      </c>
      <c r="T27" s="827">
        <f t="shared" si="10"/>
        <v>54969.352283779568</v>
      </c>
    </row>
    <row r="28" spans="2:20" ht="15">
      <c r="H28" s="358"/>
      <c r="I28" s="358"/>
      <c r="P28" s="822" t="s">
        <v>663</v>
      </c>
      <c r="Q28" s="822">
        <v>7363.7968231969135</v>
      </c>
      <c r="R28" s="813">
        <v>38144.204386107944</v>
      </c>
      <c r="S28" s="826">
        <v>30304.517514538838</v>
      </c>
      <c r="T28" s="826">
        <f t="shared" si="10"/>
        <v>75812.518723843692</v>
      </c>
    </row>
    <row r="29" spans="2:20" ht="15">
      <c r="C29" s="358"/>
      <c r="D29" s="358"/>
      <c r="E29" s="358"/>
      <c r="F29" s="358"/>
      <c r="G29" s="358"/>
      <c r="H29" s="358"/>
      <c r="I29" s="358"/>
      <c r="J29" s="358"/>
      <c r="P29" s="823" t="s">
        <v>664</v>
      </c>
      <c r="Q29" s="823">
        <v>1751.3817529766175</v>
      </c>
      <c r="R29" s="814">
        <v>12508.441600918088</v>
      </c>
      <c r="S29" s="827">
        <v>20891.382011189213</v>
      </c>
      <c r="T29" s="827">
        <f t="shared" si="10"/>
        <v>35151.205365083923</v>
      </c>
    </row>
    <row r="30" spans="2:20" ht="15">
      <c r="C30" s="358"/>
      <c r="D30" s="358"/>
      <c r="E30" s="358"/>
      <c r="F30" s="358"/>
      <c r="G30" s="358"/>
      <c r="H30" s="358"/>
      <c r="I30" s="358"/>
      <c r="J30" s="358"/>
      <c r="K30" s="358"/>
      <c r="L30" s="358"/>
      <c r="M30" s="358"/>
      <c r="N30" s="358"/>
      <c r="O30" s="358"/>
      <c r="P30" s="822" t="s">
        <v>665</v>
      </c>
      <c r="Q30" s="822">
        <v>1434.9997251520253</v>
      </c>
      <c r="R30" s="813">
        <v>11510.58391452228</v>
      </c>
      <c r="S30" s="826">
        <v>16295.614216511489</v>
      </c>
      <c r="T30" s="826">
        <f t="shared" si="10"/>
        <v>29241.197856185794</v>
      </c>
    </row>
    <row r="31" spans="2:20" ht="15">
      <c r="C31" s="358"/>
      <c r="D31" s="358"/>
      <c r="E31" s="358"/>
      <c r="F31" s="358"/>
      <c r="G31" s="358"/>
      <c r="H31" s="358"/>
      <c r="I31" s="358"/>
      <c r="J31" s="358"/>
      <c r="K31" s="358"/>
      <c r="L31" s="358"/>
      <c r="M31" s="358"/>
      <c r="N31" s="358"/>
      <c r="O31" s="358"/>
      <c r="P31" s="823" t="s">
        <v>666</v>
      </c>
      <c r="Q31" s="823">
        <v>543.02409251525864</v>
      </c>
      <c r="R31" s="814">
        <v>2737.7793125602311</v>
      </c>
      <c r="S31" s="827">
        <v>9101.1608576935432</v>
      </c>
      <c r="T31" s="827">
        <f t="shared" si="10"/>
        <v>12381.964262769034</v>
      </c>
    </row>
    <row r="32" spans="2:20" ht="15">
      <c r="C32" s="358"/>
      <c r="D32" s="358"/>
      <c r="E32" s="358"/>
      <c r="F32" s="358"/>
      <c r="G32" s="358"/>
      <c r="H32" s="358"/>
      <c r="I32" s="358"/>
      <c r="J32" s="358"/>
      <c r="K32" s="358"/>
      <c r="L32" s="358"/>
      <c r="M32" s="358"/>
      <c r="N32" s="358"/>
      <c r="O32" s="358"/>
      <c r="P32" s="822" t="s">
        <v>667</v>
      </c>
      <c r="Q32" s="822">
        <v>7461.1258002920376</v>
      </c>
      <c r="R32" s="813">
        <v>31695.949118274744</v>
      </c>
      <c r="S32" s="826">
        <v>32750.827361563519</v>
      </c>
      <c r="T32" s="826">
        <f t="shared" si="10"/>
        <v>71907.902280130307</v>
      </c>
    </row>
    <row r="33" spans="3:20" ht="15"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823" t="s">
        <v>668</v>
      </c>
      <c r="Q33" s="823">
        <v>691.43208570294928</v>
      </c>
      <c r="R33" s="814">
        <v>4746.2770797513549</v>
      </c>
      <c r="S33" s="827">
        <v>9718.9087422298653</v>
      </c>
      <c r="T33" s="827">
        <f t="shared" si="10"/>
        <v>15156.617907684169</v>
      </c>
    </row>
    <row r="34" spans="3:20" ht="15">
      <c r="C34" s="358"/>
      <c r="D34" s="358"/>
      <c r="E34" s="358"/>
      <c r="F34" s="358"/>
      <c r="G34" s="358"/>
      <c r="H34" s="358"/>
      <c r="I34" s="358"/>
      <c r="J34" s="358"/>
      <c r="K34" s="358"/>
      <c r="L34" s="358"/>
      <c r="M34" s="358"/>
      <c r="N34" s="358"/>
      <c r="O34" s="358"/>
      <c r="P34" s="822" t="s">
        <v>669</v>
      </c>
      <c r="Q34" s="822">
        <v>3038.8153054039785</v>
      </c>
      <c r="R34" s="813">
        <v>24289.540001760251</v>
      </c>
      <c r="S34" s="826">
        <v>18866.743201020949</v>
      </c>
      <c r="T34" s="826">
        <f t="shared" si="10"/>
        <v>46195.098508185183</v>
      </c>
    </row>
    <row r="35" spans="3:20" ht="15">
      <c r="C35" s="358"/>
      <c r="D35" s="358"/>
      <c r="E35" s="358"/>
      <c r="F35" s="358"/>
      <c r="G35" s="358"/>
      <c r="H35" s="358"/>
      <c r="I35" s="358"/>
      <c r="J35" s="358"/>
      <c r="K35" s="358"/>
      <c r="L35" s="358"/>
      <c r="M35" s="358"/>
      <c r="N35" s="358"/>
      <c r="O35" s="358"/>
      <c r="P35" s="823" t="s">
        <v>670</v>
      </c>
      <c r="Q35" s="823">
        <v>2141.3166117916521</v>
      </c>
      <c r="R35" s="814">
        <v>12519.701036831018</v>
      </c>
      <c r="S35" s="827">
        <v>34699.30894292317</v>
      </c>
      <c r="T35" s="827">
        <f t="shared" si="10"/>
        <v>49360.32659154584</v>
      </c>
    </row>
    <row r="36" spans="3:20" ht="15">
      <c r="C36" s="358"/>
      <c r="D36" s="358"/>
      <c r="E36" s="358"/>
      <c r="F36" s="358"/>
      <c r="G36" s="358"/>
      <c r="H36" s="358"/>
      <c r="I36" s="358"/>
      <c r="J36" s="358"/>
      <c r="K36" s="358"/>
      <c r="L36" s="358"/>
      <c r="M36" s="358"/>
      <c r="N36" s="358"/>
      <c r="O36" s="358"/>
      <c r="P36" s="822" t="s">
        <v>671</v>
      </c>
      <c r="Q36" s="822">
        <v>5411.4225176697691</v>
      </c>
      <c r="R36" s="813">
        <v>27103.374443441171</v>
      </c>
      <c r="S36" s="826">
        <v>34324.09820344366</v>
      </c>
      <c r="T36" s="826">
        <f t="shared" si="10"/>
        <v>66838.895164554604</v>
      </c>
    </row>
    <row r="37" spans="3:20" ht="15">
      <c r="C37" s="358"/>
      <c r="D37" s="358"/>
      <c r="E37" s="358"/>
      <c r="F37" s="358"/>
      <c r="G37" s="358"/>
      <c r="H37" s="358"/>
      <c r="I37" s="358"/>
      <c r="J37" s="358"/>
      <c r="K37" s="358"/>
      <c r="L37" s="358"/>
      <c r="M37" s="358"/>
      <c r="N37" s="358"/>
      <c r="O37" s="358"/>
      <c r="P37" s="823" t="s">
        <v>672</v>
      </c>
      <c r="Q37" s="823">
        <v>1027.5356632394301</v>
      </c>
      <c r="R37" s="814">
        <v>6619.1242565355706</v>
      </c>
      <c r="S37" s="827">
        <v>14155.109041449583</v>
      </c>
      <c r="T37" s="827">
        <f t="shared" si="10"/>
        <v>21801.768961224581</v>
      </c>
    </row>
    <row r="38" spans="3:20" ht="15">
      <c r="C38" s="358"/>
      <c r="D38" s="358"/>
      <c r="E38" s="358"/>
      <c r="F38" s="358"/>
      <c r="G38" s="358"/>
      <c r="H38" s="358"/>
      <c r="I38" s="358"/>
      <c r="J38" s="358"/>
      <c r="K38" s="358"/>
      <c r="L38" s="358"/>
      <c r="M38" s="358"/>
      <c r="N38" s="358"/>
      <c r="O38" s="358"/>
      <c r="P38" s="822" t="s">
        <v>673</v>
      </c>
      <c r="Q38" s="822">
        <v>1175.2936766265591</v>
      </c>
      <c r="R38" s="813">
        <v>10239.258420802398</v>
      </c>
      <c r="S38" s="826">
        <v>15966.202026112715</v>
      </c>
      <c r="T38" s="826">
        <f t="shared" si="10"/>
        <v>27380.754123541672</v>
      </c>
    </row>
    <row r="39" spans="3:20" ht="15">
      <c r="C39" s="358"/>
      <c r="D39" s="358"/>
      <c r="E39" s="358"/>
      <c r="F39" s="358"/>
      <c r="G39" s="358"/>
      <c r="H39" s="358"/>
      <c r="I39" s="358"/>
      <c r="J39" s="358"/>
      <c r="K39" s="358"/>
      <c r="L39" s="358"/>
      <c r="M39" s="358"/>
      <c r="N39" s="358"/>
      <c r="O39" s="358"/>
      <c r="P39" s="823" t="s">
        <v>674</v>
      </c>
      <c r="Q39" s="823">
        <v>676.45175529921289</v>
      </c>
      <c r="R39" s="814">
        <v>5372.2948402948405</v>
      </c>
      <c r="S39" s="827">
        <v>18080.993461874819</v>
      </c>
      <c r="T39" s="827">
        <f t="shared" si="10"/>
        <v>24129.740057468873</v>
      </c>
    </row>
    <row r="40" spans="3:20" ht="15">
      <c r="C40" s="358"/>
      <c r="D40" s="358"/>
      <c r="E40" s="358"/>
      <c r="F40" s="358"/>
      <c r="G40" s="358"/>
      <c r="H40" s="358"/>
      <c r="I40" s="358"/>
      <c r="J40" s="358"/>
      <c r="K40" s="358"/>
      <c r="L40" s="358"/>
      <c r="M40" s="358"/>
      <c r="N40" s="358"/>
      <c r="O40" s="358"/>
      <c r="P40" s="822" t="s">
        <v>675</v>
      </c>
      <c r="Q40" s="822">
        <v>1676.0939551367242</v>
      </c>
      <c r="R40" s="813">
        <v>8889.5641738149861</v>
      </c>
      <c r="S40" s="826">
        <v>14494.215013491199</v>
      </c>
      <c r="T40" s="826">
        <f t="shared" si="10"/>
        <v>25059.87314244291</v>
      </c>
    </row>
    <row r="41" spans="3:20" ht="15">
      <c r="C41" s="358"/>
      <c r="D41" s="358"/>
      <c r="E41" s="358"/>
      <c r="F41" s="358"/>
      <c r="G41" s="358"/>
      <c r="H41" s="358"/>
      <c r="I41" s="358"/>
      <c r="J41" s="358"/>
      <c r="K41" s="358"/>
      <c r="L41" s="358"/>
      <c r="M41" s="358"/>
      <c r="N41" s="358"/>
      <c r="O41" s="358"/>
      <c r="P41" s="823" t="s">
        <v>676</v>
      </c>
      <c r="Q41" s="823">
        <v>2382.2341251096568</v>
      </c>
      <c r="R41" s="814">
        <v>21954.232438086234</v>
      </c>
      <c r="S41" s="827">
        <v>34965.040184897764</v>
      </c>
      <c r="T41" s="827">
        <f t="shared" si="10"/>
        <v>59301.506748093656</v>
      </c>
    </row>
    <row r="42" spans="3:20" ht="15">
      <c r="C42" s="358"/>
      <c r="D42" s="358"/>
      <c r="E42" s="358"/>
      <c r="F42" s="358"/>
      <c r="G42" s="358"/>
      <c r="H42" s="358"/>
      <c r="I42" s="358"/>
      <c r="J42" s="358"/>
      <c r="K42" s="358"/>
      <c r="L42" s="358"/>
      <c r="M42" s="358"/>
      <c r="N42" s="358"/>
      <c r="O42" s="358"/>
      <c r="P42" s="822" t="s">
        <v>677</v>
      </c>
      <c r="Q42" s="822">
        <v>3199.1719442467102</v>
      </c>
      <c r="R42" s="813">
        <v>21769.226916806354</v>
      </c>
      <c r="S42" s="826">
        <v>19142.703253806059</v>
      </c>
      <c r="T42" s="826">
        <f t="shared" si="10"/>
        <v>44111.102114859124</v>
      </c>
    </row>
    <row r="43" spans="3:20" ht="15">
      <c r="C43" s="358"/>
      <c r="D43" s="358"/>
      <c r="E43" s="358"/>
      <c r="F43" s="358"/>
      <c r="G43" s="358"/>
      <c r="H43" s="358"/>
      <c r="I43" s="358"/>
      <c r="J43" s="358"/>
      <c r="K43" s="358"/>
      <c r="L43" s="358"/>
      <c r="M43" s="358"/>
      <c r="N43" s="358"/>
      <c r="O43" s="358"/>
      <c r="P43" s="823" t="s">
        <v>678</v>
      </c>
      <c r="Q43" s="823">
        <v>2888.9605821519499</v>
      </c>
      <c r="R43" s="814">
        <v>12264.197780781444</v>
      </c>
      <c r="S43" s="827">
        <v>16822.932669034672</v>
      </c>
      <c r="T43" s="827">
        <f t="shared" si="10"/>
        <v>31976.091031968066</v>
      </c>
    </row>
    <row r="44" spans="3:20" ht="15">
      <c r="C44" s="358"/>
      <c r="D44" s="358"/>
      <c r="E44" s="358"/>
      <c r="F44" s="358"/>
      <c r="G44" s="358"/>
      <c r="H44" s="358"/>
      <c r="I44" s="358"/>
      <c r="J44" s="358"/>
      <c r="K44" s="358"/>
      <c r="L44" s="358"/>
      <c r="M44" s="358"/>
      <c r="N44" s="358"/>
      <c r="O44" s="358"/>
      <c r="P44" s="822" t="s">
        <v>679</v>
      </c>
      <c r="Q44" s="822">
        <v>2668.9797196485479</v>
      </c>
      <c r="R44" s="813">
        <v>18385.501077566361</v>
      </c>
      <c r="S44" s="826">
        <v>33878.287885206948</v>
      </c>
      <c r="T44" s="826">
        <f t="shared" si="10"/>
        <v>54932.768682421854</v>
      </c>
    </row>
    <row r="45" spans="3:20" ht="15.75" thickBot="1">
      <c r="C45" s="358"/>
      <c r="D45" s="358"/>
      <c r="E45" s="358"/>
      <c r="F45" s="358"/>
      <c r="G45" s="358"/>
      <c r="H45" s="358"/>
      <c r="I45" s="358"/>
      <c r="J45" s="358"/>
      <c r="K45" s="358"/>
      <c r="L45" s="358"/>
      <c r="M45" s="358"/>
      <c r="N45" s="358"/>
      <c r="O45" s="358"/>
      <c r="P45" s="870" t="s">
        <v>680</v>
      </c>
      <c r="Q45" s="870">
        <v>4513.1911767694201</v>
      </c>
      <c r="R45" s="871">
        <v>23167.339151815657</v>
      </c>
      <c r="S45" s="872">
        <v>22529.580764463226</v>
      </c>
      <c r="T45" s="872">
        <f t="shared" si="10"/>
        <v>50210.111093048297</v>
      </c>
    </row>
    <row r="46" spans="3:20" ht="15"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</row>
    <row r="47" spans="3:20" ht="15"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</row>
    <row r="48" spans="3:20" ht="15"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</row>
    <row r="49" spans="3:17" ht="15"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</row>
    <row r="50" spans="3:17" ht="15">
      <c r="C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</row>
    <row r="51" spans="3:17" ht="15"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</row>
    <row r="52" spans="3:17" ht="15"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</row>
    <row r="53" spans="3:17" ht="15"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</row>
    <row r="54" spans="3:17" ht="15"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</row>
    <row r="55" spans="3:17" ht="15"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</row>
    <row r="56" spans="3:17" ht="15"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</row>
    <row r="57" spans="3:17" ht="15"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</row>
    <row r="58" spans="3:17" ht="15"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</row>
    <row r="59" spans="3:17" ht="15"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</row>
    <row r="60" spans="3:17" ht="15"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</row>
    <row r="61" spans="3:17" ht="15"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</row>
    <row r="62" spans="3:17" ht="15"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</row>
    <row r="63" spans="3:17" ht="15"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</row>
    <row r="64" spans="3:17" ht="15"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</row>
    <row r="65" spans="3:17" ht="15"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</row>
    <row r="66" spans="3:17" ht="15"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</row>
    <row r="67" spans="3:17" ht="15"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</row>
    <row r="68" spans="3:17" ht="15"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</row>
    <row r="69" spans="3:17" ht="15"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</row>
    <row r="70" spans="3:17" ht="15"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</row>
    <row r="71" spans="3:17" ht="15"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</row>
    <row r="72" spans="3:17" ht="15"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</row>
    <row r="73" spans="3:17" ht="15"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</row>
    <row r="74" spans="3:17" ht="15"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</row>
    <row r="75" spans="3:17" ht="15"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</row>
    <row r="76" spans="3:17" ht="15"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</row>
    <row r="77" spans="3:17" ht="15"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</row>
    <row r="78" spans="3:17" ht="15"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</row>
    <row r="79" spans="3:17" ht="15"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</row>
    <row r="80" spans="3:17" ht="15"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</row>
    <row r="81" spans="3:17" ht="15"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</row>
    <row r="82" spans="3:17" ht="15"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</row>
    <row r="83" spans="3:17" ht="15"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</row>
    <row r="84" spans="3:17" ht="15"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</row>
    <row r="85" spans="3:17" ht="15"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</row>
    <row r="86" spans="3:17" ht="15"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</row>
    <row r="87" spans="3:17" ht="15"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</row>
    <row r="88" spans="3:17" ht="15"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</row>
    <row r="89" spans="3:17" ht="15"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</row>
    <row r="90" spans="3:17" ht="15"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</row>
    <row r="91" spans="3:17" ht="15"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</row>
    <row r="92" spans="3:17" ht="15"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</row>
    <row r="93" spans="3:17" ht="15"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</row>
    <row r="94" spans="3:17" ht="15"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</row>
    <row r="95" spans="3:17" ht="15"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</row>
    <row r="96" spans="3:17" ht="15"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</row>
    <row r="97" spans="3:17" ht="15"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</row>
    <row r="98" spans="3:17" ht="15"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</row>
    <row r="99" spans="3:17" ht="15"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</row>
    <row r="100" spans="3:17" ht="15"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</row>
    <row r="101" spans="3:17" ht="15"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</row>
    <row r="102" spans="3:17" ht="15"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</row>
    <row r="103" spans="3:17" ht="15"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</row>
    <row r="104" spans="3:17" ht="15"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</row>
    <row r="105" spans="3:17" ht="15"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</row>
    <row r="106" spans="3:17" ht="15"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</row>
    <row r="107" spans="3:17" ht="15"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</row>
    <row r="108" spans="3:17" ht="15"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</row>
    <row r="109" spans="3:17" ht="15"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</row>
    <row r="110" spans="3:17" ht="15"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</row>
    <row r="111" spans="3:17" ht="15"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</row>
    <row r="112" spans="3:17" ht="15"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</row>
    <row r="113" spans="3:13" ht="15"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U1" zoomScale="70" zoomScaleNormal="70" workbookViewId="0">
      <selection activeCell="AS11" sqref="AS11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7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29" width="23.28515625" style="48" customWidth="1"/>
    <col min="30" max="30" width="29.57031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9.855468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633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759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47"/>
      <c r="S2" s="261"/>
      <c r="T2" s="547"/>
      <c r="U2" s="547"/>
      <c r="V2" s="547"/>
      <c r="W2" s="261"/>
      <c r="X2" s="261"/>
      <c r="Y2" s="261"/>
      <c r="Z2" s="261"/>
      <c r="AA2" s="261"/>
      <c r="AB2" s="261"/>
      <c r="AC2" s="261"/>
      <c r="AD2" s="552"/>
      <c r="AE2" s="547"/>
      <c r="AF2" s="261"/>
      <c r="AG2" s="547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492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492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</row>
    <row r="4" spans="1:45" ht="15" customHeight="1" thickBot="1">
      <c r="A4" s="261"/>
      <c r="B4" s="1314" t="s">
        <v>631</v>
      </c>
      <c r="C4" s="1315"/>
      <c r="D4" s="1315"/>
      <c r="E4" s="1315"/>
      <c r="F4" s="1315"/>
      <c r="G4" s="1316"/>
      <c r="H4" s="1314" t="s">
        <v>632</v>
      </c>
      <c r="I4" s="1315"/>
      <c r="J4" s="1316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7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571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2">
        <f>(E7+E14+E16)/SUM($E$7:$E$25)</f>
        <v>2.1588177690732664E-3</v>
      </c>
      <c r="S7" s="383">
        <f>R7*DwellingStocks!$O$28/1000</f>
        <v>0.45710697240010773</v>
      </c>
      <c r="T7" s="437">
        <f>(S7*1000)/(E7+E14+E16)*DwellingStocks!$Z$27+0.68468</f>
        <v>1.8771106321761706</v>
      </c>
      <c r="U7" s="555">
        <f>(G7+G14+G16)/300</f>
        <v>0.59018803418803423</v>
      </c>
      <c r="V7" s="1194">
        <f>W7*$AQ$4</f>
        <v>0.18824790162170746</v>
      </c>
      <c r="W7" s="1194">
        <f>IFERROR((AC7/S7/Y7)*$AR$4,0)</f>
        <v>0.37649580324341492</v>
      </c>
      <c r="X7" s="386">
        <v>20</v>
      </c>
      <c r="Y7" s="384">
        <f>31.536*(AE7/1000)</f>
        <v>0.47304000000000002</v>
      </c>
      <c r="Z7" s="386"/>
      <c r="AA7" s="386"/>
      <c r="AB7" s="386"/>
      <c r="AC7" s="387">
        <f t="shared" ref="AC7:AC12" si="0">AD7*U7</f>
        <v>7.4008766539281096E-2</v>
      </c>
      <c r="AD7" s="387">
        <f>IF(((D7+I7+D14+I14+D16+I16)*$B$2)&lt;=0,0,((D7+I7+D14+I14+D16+I16)*T7*$B$2))</f>
        <v>0.12539862256119863</v>
      </c>
      <c r="AE7" s="386">
        <v>15</v>
      </c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1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89">
        <f>E8/SUM($E$7:$E$25)</f>
        <v>2.2255853289415115E-5</v>
      </c>
      <c r="S8" s="390">
        <f>R8*DwellingStocks!$O$28/1000</f>
        <v>4.7124430144340999E-3</v>
      </c>
      <c r="T8" s="391">
        <f>(S8*1000)/E8*DwellingStocks!$Z$27</f>
        <v>1.1924306321761704</v>
      </c>
      <c r="U8" s="557">
        <f>IF((G8/100)&gt;1,0.9)</f>
        <v>0.9</v>
      </c>
      <c r="V8" s="1211">
        <f t="shared" ref="V8:V18" si="2">W8*$AQ$4</f>
        <v>5.3152000067602156E-3</v>
      </c>
      <c r="W8" s="1211">
        <f t="shared" ref="W8:W20" si="3">IFERROR((AC8/S8/Y8)*$AR$4,0)</f>
        <v>1.0630400013520431E-2</v>
      </c>
      <c r="X8" s="392">
        <v>20</v>
      </c>
      <c r="Y8" s="553">
        <f t="shared" ref="Y8:Y13" si="4">31.536*(AE8/1000)</f>
        <v>0.47304000000000002</v>
      </c>
      <c r="Z8" s="392"/>
      <c r="AA8" s="392"/>
      <c r="AB8" s="392"/>
      <c r="AC8" s="393">
        <f t="shared" si="0"/>
        <v>2.1542737984246417E-5</v>
      </c>
      <c r="AD8" s="394">
        <f>IF(((D8+I8)*$B$2)&lt;=0,0,((D8+I8)*T8*$B$2))</f>
        <v>2.3936375538051573E-5</v>
      </c>
      <c r="AE8" s="549">
        <v>15</v>
      </c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ref="AI8:AJ12" si="5">M8</f>
        <v>R-SH_Apt_BDL_X0</v>
      </c>
      <c r="AJ8" s="26" t="str">
        <f t="shared" si="5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2">
        <f>E9/SUM($E$7:$E$25)</f>
        <v>7.4186177631383719E-6</v>
      </c>
      <c r="S9" s="383">
        <f>R9*DwellingStocks!$O$28/1000</f>
        <v>1.5708143381447E-3</v>
      </c>
      <c r="T9" s="384">
        <f>(S9*1000)/E9*DwellingStocks!$Z$27</f>
        <v>1.1924306321761704</v>
      </c>
      <c r="U9" s="555">
        <f>IF((G9/100)&gt;1,0.9)</f>
        <v>0.9</v>
      </c>
      <c r="V9" s="1194">
        <f t="shared" si="2"/>
        <v>1.1438737460746518E-5</v>
      </c>
      <c r="W9" s="1194">
        <f t="shared" si="3"/>
        <v>2.2877474921493037E-5</v>
      </c>
      <c r="X9" s="386">
        <v>20</v>
      </c>
      <c r="Y9" s="384">
        <f t="shared" si="4"/>
        <v>0.47304000000000002</v>
      </c>
      <c r="Z9" s="386"/>
      <c r="AA9" s="386"/>
      <c r="AB9" s="386"/>
      <c r="AC9" s="387">
        <f t="shared" si="0"/>
        <v>1.5453900993003169E-8</v>
      </c>
      <c r="AD9" s="387">
        <f>IF(((D9+I9)*$B$2)&lt;=0,0,((D9+I9)*T9*$B$2))</f>
        <v>1.7171001103336854E-8</v>
      </c>
      <c r="AE9" s="386">
        <v>15</v>
      </c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5"/>
        <v>R-SH_Apt_ETH_X0</v>
      </c>
      <c r="AJ9" s="291" t="str">
        <f t="shared" si="5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419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89">
        <f>(E10+E11)/SUM($E$7:$E$25)</f>
        <v>1.4139885456541736E-2</v>
      </c>
      <c r="S10" s="390">
        <f>(R10)*DwellingStocks!$O$28/1000</f>
        <v>2.9939721285037981</v>
      </c>
      <c r="T10" s="391">
        <f>(S10*1000)/(E10+E11)*DwellingStocks!$Z$27+0.5456</f>
        <v>1.7380306321761703</v>
      </c>
      <c r="U10" s="557">
        <f>(G10+G11)/200</f>
        <v>0.80677902621722841</v>
      </c>
      <c r="V10" s="1211">
        <f t="shared" si="2"/>
        <v>2.6422458498086523E-2</v>
      </c>
      <c r="W10" s="1211">
        <f t="shared" si="3"/>
        <v>5.2844916996173046E-2</v>
      </c>
      <c r="X10" s="392">
        <v>20</v>
      </c>
      <c r="Y10" s="553">
        <f t="shared" si="4"/>
        <v>0.47304000000000002</v>
      </c>
      <c r="Z10" s="392"/>
      <c r="AA10" s="392"/>
      <c r="AB10" s="392"/>
      <c r="AC10" s="393">
        <f t="shared" si="0"/>
        <v>6.8038723023121736E-2</v>
      </c>
      <c r="AD10" s="394">
        <f>IF(((D10+I10+D11+I11)*T10*$B$2)&lt;=0,0,((D10+I10+D11+I11)*T10*$B$2))</f>
        <v>8.4333777666651996E-2</v>
      </c>
      <c r="AE10" s="549">
        <v>15</v>
      </c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5"/>
        <v>R-SH_Apt_LPG_X0</v>
      </c>
      <c r="AJ10" s="26" t="str">
        <f t="shared" si="5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2">
        <f>(ArchetypeDemand!AX50*SUM(E12+E25))/SUM($E$7:$E$25)</f>
        <v>0.32462892073948779</v>
      </c>
      <c r="S11" s="383">
        <f>(R11)*DwellingStocks!$O$28/1000</f>
        <v>68.736761962285712</v>
      </c>
      <c r="T11" s="384">
        <f>(S11*1000)/(E25)*DwellingStocks!$Z$27-0.58345</f>
        <v>0.79797514178742834</v>
      </c>
      <c r="U11" s="555">
        <f>(G25)/100</f>
        <v>1</v>
      </c>
      <c r="V11" s="1194">
        <f t="shared" si="2"/>
        <v>8.6665469259765045E-3</v>
      </c>
      <c r="W11" s="1194">
        <f t="shared" si="3"/>
        <v>1.7333093851953009E-2</v>
      </c>
      <c r="X11" s="386">
        <v>20</v>
      </c>
      <c r="Y11" s="384">
        <f>31.536*(AE11/1000)</f>
        <v>0.47304000000000002</v>
      </c>
      <c r="Z11" s="386"/>
      <c r="AA11" s="386"/>
      <c r="AB11" s="386"/>
      <c r="AC11" s="387">
        <f t="shared" si="0"/>
        <v>0.51235424524458018</v>
      </c>
      <c r="AD11" s="387">
        <f>IF(((D25+I25)*T11*$B$2)&lt;=0,0,((D25+I25)*T11*$B$2))</f>
        <v>0.51235424524458018</v>
      </c>
      <c r="AE11" s="386">
        <v>15</v>
      </c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5"/>
        <v>R-SH_Apt_ELC_X0</v>
      </c>
      <c r="AJ11" s="291" t="str">
        <f t="shared" si="5"/>
        <v>Residential Space Heating Apartment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5">
      <c r="A12" s="380" t="s">
        <v>640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89">
        <f>(ArchetypeDemand!AY50*SUM(E12+E25))/SUM($E$7:$E$25)</f>
        <v>0.15276655093622957</v>
      </c>
      <c r="S12" s="390">
        <f>R12*DwellingStocks!$O$28/1000</f>
        <v>32.346711511663869</v>
      </c>
      <c r="T12" s="391">
        <f>((S12)*1000)/E12*DwellingStocks!$Z$27-0.008</f>
        <v>0.91584638833567855</v>
      </c>
      <c r="U12" s="557">
        <f>G12/100</f>
        <v>3.0701960784313722</v>
      </c>
      <c r="V12" s="1211">
        <f t="shared" si="2"/>
        <v>2.3137277601074265E-2</v>
      </c>
      <c r="W12" s="1211">
        <f t="shared" si="3"/>
        <v>4.6274555202148529E-2</v>
      </c>
      <c r="X12" s="392">
        <v>20</v>
      </c>
      <c r="Y12" s="553">
        <f t="shared" si="4"/>
        <v>0.47304000000000002</v>
      </c>
      <c r="Z12" s="392"/>
      <c r="AA12" s="392"/>
      <c r="AB12" s="392"/>
      <c r="AC12" s="393">
        <f t="shared" si="0"/>
        <v>0.64369119577587186</v>
      </c>
      <c r="AD12" s="394">
        <f>IF(((D12+I12)*T12*$B$2)&lt;=0,0,((D12+I12)*T12*$B$2))</f>
        <v>0.20965800858710862</v>
      </c>
      <c r="AE12" s="549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5"/>
        <v>R-SH_Apt_ELC_X1</v>
      </c>
      <c r="AJ12" s="26" t="str">
        <f t="shared" si="5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2"/>
      <c r="S13" s="383"/>
      <c r="T13" s="437"/>
      <c r="U13" s="555"/>
      <c r="V13" s="1194"/>
      <c r="W13" s="1194"/>
      <c r="X13" s="386"/>
      <c r="Y13" s="384">
        <f t="shared" si="4"/>
        <v>0.47304000000000002</v>
      </c>
      <c r="Z13" s="386"/>
      <c r="AA13" s="386"/>
      <c r="AB13" s="387">
        <f>AD13/AC12</f>
        <v>0.24243504422903556</v>
      </c>
      <c r="AC13" s="387"/>
      <c r="AD13" s="387">
        <f>RSD_Balance!F22</f>
        <v>0.15605330351776428</v>
      </c>
      <c r="AE13" s="386">
        <v>15</v>
      </c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5">
      <c r="A14" s="261"/>
      <c r="B14" s="230" t="s">
        <v>421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89">
        <f>E13/SUM($E$7:$E$25)</f>
        <v>2.9103237484791832E-2</v>
      </c>
      <c r="S14" s="390">
        <f>R14*DwellingStocks!$O$28/1000</f>
        <v>6.1623046485416584</v>
      </c>
      <c r="T14" s="391">
        <f>(S14*1000)/E13*DwellingStocks!$Z$27+0.2021</f>
        <v>1.3945306321761703</v>
      </c>
      <c r="U14" s="557">
        <f>G13/100</f>
        <v>0.81016216216216219</v>
      </c>
      <c r="V14" s="1217">
        <f t="shared" si="2"/>
        <v>4.2840999630354447E-2</v>
      </c>
      <c r="W14" s="1217">
        <f t="shared" si="3"/>
        <v>8.5681999260708894E-2</v>
      </c>
      <c r="X14" s="392">
        <v>20</v>
      </c>
      <c r="Y14" s="553">
        <f>31.536*(AE14/1000)</f>
        <v>0.47304000000000002</v>
      </c>
      <c r="Z14" s="392"/>
      <c r="AA14" s="392"/>
      <c r="AB14" s="392"/>
      <c r="AC14" s="393">
        <f>AD14*U14</f>
        <v>0.22705859035491077</v>
      </c>
      <c r="AD14" s="394">
        <f>IF(((D13+I13)*$B$2)&lt;=0,0,((D13+I13)*T14*$B$2))</f>
        <v>0.28026313861528218</v>
      </c>
      <c r="AE14" s="549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497" t="s">
        <v>252</v>
      </c>
      <c r="M15" s="497" t="s">
        <v>252</v>
      </c>
      <c r="N15" s="395"/>
      <c r="O15" s="395"/>
      <c r="P15" s="395"/>
      <c r="Q15" s="396"/>
      <c r="R15" s="397"/>
      <c r="S15" s="395"/>
      <c r="T15" s="397"/>
      <c r="U15" s="559"/>
      <c r="V15" s="1218"/>
      <c r="W15" s="1218"/>
      <c r="X15" s="395"/>
      <c r="Y15" s="550"/>
      <c r="Z15" s="395"/>
      <c r="AA15" s="395"/>
      <c r="AB15" s="395"/>
      <c r="AC15" s="395"/>
      <c r="AD15" s="395"/>
      <c r="AE15" s="551"/>
      <c r="AF15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5">
      <c r="A16" s="261"/>
      <c r="B16" s="230" t="s">
        <v>572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1">
        <f>E15/SUM($E$7:$E$25)</f>
        <v>0.4073933944627437</v>
      </c>
      <c r="S16" s="390">
        <f>R16*DwellingStocks!$O$28/1000</f>
        <v>86.261269379216202</v>
      </c>
      <c r="T16" s="391">
        <f>(S16*1000)/E15*DwellingStocks!$Z$27-0.163425</f>
        <v>1.0290056321761705</v>
      </c>
      <c r="U16" s="557">
        <f>G15/100</f>
        <v>0.81026881720430111</v>
      </c>
      <c r="V16" s="1217">
        <f t="shared" si="2"/>
        <v>1.2159081571734174E-2</v>
      </c>
      <c r="W16" s="1217">
        <f t="shared" si="3"/>
        <v>2.4318163143468349E-2</v>
      </c>
      <c r="X16" s="392">
        <v>20</v>
      </c>
      <c r="Y16" s="553">
        <f>31.536*(AE16/1000)</f>
        <v>0.47304000000000002</v>
      </c>
      <c r="Z16" s="392"/>
      <c r="AA16" s="392"/>
      <c r="AB16" s="392"/>
      <c r="AC16" s="393">
        <f>AD16*U16</f>
        <v>0.90209399791043643</v>
      </c>
      <c r="AD16" s="394">
        <f>IF(((D15+I15)*$B$2)&lt;=0,0,((D15+I15)*T16*$B$2))</f>
        <v>1.11332681050588</v>
      </c>
      <c r="AE16" s="549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422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497" t="s">
        <v>252</v>
      </c>
      <c r="M17" s="497" t="s">
        <v>252</v>
      </c>
      <c r="N17" s="395"/>
      <c r="O17" s="395"/>
      <c r="P17" s="395"/>
      <c r="Q17" s="396"/>
      <c r="R17" s="397"/>
      <c r="S17" s="395"/>
      <c r="T17" s="397"/>
      <c r="U17" s="559"/>
      <c r="V17" s="1218"/>
      <c r="W17" s="1218"/>
      <c r="X17" s="395"/>
      <c r="Y17" s="550"/>
      <c r="Z17" s="395"/>
      <c r="AA17" s="395"/>
      <c r="AB17" s="395"/>
      <c r="AC17" s="395"/>
      <c r="AD17" s="395"/>
      <c r="AE17" s="551"/>
      <c r="AF17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89">
        <f>(E17+E18)/SUM($E$7:$E$25)</f>
        <v>1.0386064868393721E-4</v>
      </c>
      <c r="S18" s="390">
        <f>R18*DwellingStocks!$O$28/1000</f>
        <v>2.19914007340258E-2</v>
      </c>
      <c r="T18" s="391">
        <f>(S18*1000)/(E17+E18)*DwellingStocks!$Z$27+0.4445</f>
        <v>1.6369306321761705</v>
      </c>
      <c r="U18" s="557">
        <f>(G17+G18)/200</f>
        <v>0.52500000000000002</v>
      </c>
      <c r="V18" s="1217">
        <f t="shared" si="2"/>
        <v>0.12212015392032621</v>
      </c>
      <c r="W18" s="1217">
        <f t="shared" si="3"/>
        <v>0.24424030784065243</v>
      </c>
      <c r="X18" s="392">
        <v>20</v>
      </c>
      <c r="Y18" s="553">
        <f>31.536*(AE18/1000)</f>
        <v>0.47304000000000002</v>
      </c>
      <c r="Z18" s="392"/>
      <c r="AA18" s="392"/>
      <c r="AB18" s="392"/>
      <c r="AC18" s="393">
        <f>AD18*U18</f>
        <v>2.3098055044761989E-3</v>
      </c>
      <c r="AD18" s="394">
        <f>IF(((D17+I17)+D18+I18*$B$2)&lt;=0,0,((D17+I17+D18+I18)*T18*$B$2))</f>
        <v>4.3996295323356169E-3</v>
      </c>
      <c r="AE18" s="549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497" t="s">
        <v>252</v>
      </c>
      <c r="M19" s="497" t="s">
        <v>252</v>
      </c>
      <c r="N19" s="395"/>
      <c r="O19" s="395"/>
      <c r="P19" s="395"/>
      <c r="Q19" s="395"/>
      <c r="R19" s="395"/>
      <c r="S19" s="395"/>
      <c r="T19" s="395"/>
      <c r="U19" s="395"/>
      <c r="V19" s="396"/>
      <c r="W19" s="396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89">
        <f>E19/SUM($E$7:$E$25)</f>
        <v>3.2493545802546068E-3</v>
      </c>
      <c r="S20" s="390">
        <f>R20*DwellingStocks!$O$28/1000</f>
        <v>0.68801668010737849</v>
      </c>
      <c r="T20" s="391">
        <f>(S20*1000)/E19*DwellingStocks!$Z$27-0.19617</f>
        <v>0.99626063217617045</v>
      </c>
      <c r="U20" s="557">
        <f>G19/100</f>
        <v>0.58177777777777773</v>
      </c>
      <c r="V20" s="1217">
        <f>W20*$AQ$5</f>
        <v>6.0919420247016647E-3</v>
      </c>
      <c r="W20" s="1217">
        <f t="shared" si="3"/>
        <v>3.0459710123508323E-2</v>
      </c>
      <c r="X20" s="392">
        <v>20</v>
      </c>
      <c r="Y20" s="553">
        <f>31.536*(AE20/1000)</f>
        <v>0.47304000000000002</v>
      </c>
      <c r="Z20" s="504">
        <f>RSD_Balance!H2</f>
        <v>0.19400000000000001</v>
      </c>
      <c r="AA20" s="392">
        <v>5</v>
      </c>
      <c r="AB20" s="392"/>
      <c r="AC20" s="393">
        <f>AD20*$U$20</f>
        <v>9.0121811786113178E-3</v>
      </c>
      <c r="AD20" s="394">
        <f>IF(((D19+I19)*$B$2)&lt;=0,0,((D19+I19)*T20*$B$2))*Z20</f>
        <v>1.5490762148109601E-2</v>
      </c>
      <c r="AE20" s="549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2"/>
      <c r="S21" s="383"/>
      <c r="T21" s="384"/>
      <c r="U21" s="558"/>
      <c r="V21" s="1219"/>
      <c r="W21" s="1219"/>
      <c r="X21" s="386"/>
      <c r="Y21" s="384"/>
      <c r="Z21" s="505">
        <f>RSD_Balance!H3</f>
        <v>0.74399999999999999</v>
      </c>
      <c r="AA21" s="386">
        <v>5</v>
      </c>
      <c r="AB21" s="386"/>
      <c r="AC21" s="387">
        <f>AD21*$U$20</f>
        <v>3.4562179365395983E-2</v>
      </c>
      <c r="AD21" s="387">
        <f>IF(((D19+I19)*$B$2)&lt;=0,0,((D19+I19)*T20*$B$2))*Z21</f>
        <v>5.9407871330894549E-2</v>
      </c>
      <c r="AE21" s="386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89"/>
      <c r="S22" s="390"/>
      <c r="T22" s="391"/>
      <c r="U22" s="556"/>
      <c r="V22" s="1217"/>
      <c r="W22" s="1217"/>
      <c r="X22" s="392"/>
      <c r="Y22" s="553"/>
      <c r="Z22" s="504">
        <f>RSD_Balance!H4</f>
        <v>6.2E-2</v>
      </c>
      <c r="AA22" s="392">
        <v>5</v>
      </c>
      <c r="AB22" s="392"/>
      <c r="AC22" s="393">
        <f>AD22*$U$20</f>
        <v>2.8801816137829983E-3</v>
      </c>
      <c r="AD22" s="394">
        <f>IF(((D19+I19)*$B$2)&lt;=0,0,((D19+I19)*T20*$B$2))*Z22</f>
        <v>4.9506559442412121E-3</v>
      </c>
      <c r="AE22" s="549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2">
        <f>(E20+E21+E22+E23)/SUM($E$7:$E$25)</f>
        <v>1.3872815217068756E-3</v>
      </c>
      <c r="S23" s="383">
        <f>R23*DwellingStocks!$O$28/1000</f>
        <v>0.2937422812330589</v>
      </c>
      <c r="T23" s="384">
        <f>(S23*1000)/(E20+E21+E22+E23)*DwellingStocks!$Z$27+0.1165</f>
        <v>1.3089306321761707</v>
      </c>
      <c r="U23" s="555">
        <f>(G21+G22+G23)/300</f>
        <v>0.6880451127819549</v>
      </c>
      <c r="V23" s="1219">
        <f>W23*$AQ$4</f>
        <v>1.8909978325164865E-2</v>
      </c>
      <c r="W23" s="1219">
        <f t="shared" ref="W23:W24" si="6">IFERROR((AC23/S23/Y23)*$AR$4,0)</f>
        <v>3.7819956650329729E-2</v>
      </c>
      <c r="X23" s="386">
        <v>20</v>
      </c>
      <c r="Y23" s="384">
        <f>31.536*(AE23/1000)</f>
        <v>0.47304000000000002</v>
      </c>
      <c r="Z23" s="386"/>
      <c r="AA23" s="386"/>
      <c r="AB23" s="386"/>
      <c r="AC23" s="387">
        <f>AD23*U23</f>
        <v>4.7774117226045843E-3</v>
      </c>
      <c r="AD23" s="387">
        <f>IF(((D20+I20+D21+I21+D22+I22+D23+I23)*$B$2)&lt;=0,0,((D20+I20+D21+I21+D22+I22+D23+I23)*T23*$B$2))</f>
        <v>6.9434570987477835E-3</v>
      </c>
      <c r="AE23" s="386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89">
        <f>E24/SUM($E$7:$E$25)</f>
        <v>6.5039021929434102E-2</v>
      </c>
      <c r="S24" s="390">
        <f>R24*DwellingStocks!$O$28/1000</f>
        <v>13.771329302514584</v>
      </c>
      <c r="T24" s="391">
        <f>(S24*1000)/E24*DwellingStocks!$Z$27</f>
        <v>1.1924306321761702</v>
      </c>
      <c r="U24" s="557">
        <v>0.98</v>
      </c>
      <c r="V24" s="1217">
        <f>W24*$AQ$4</f>
        <v>3.2475012819605745E-3</v>
      </c>
      <c r="W24" s="1217">
        <f t="shared" si="6"/>
        <v>6.4950025639211491E-3</v>
      </c>
      <c r="X24" s="392">
        <v>20</v>
      </c>
      <c r="Y24" s="553">
        <f>31.536*(AE24/1000)</f>
        <v>0.47304000000000002</v>
      </c>
      <c r="Z24" s="392"/>
      <c r="AA24" s="392"/>
      <c r="AB24" s="392"/>
      <c r="AC24" s="393">
        <f>AD24*U24</f>
        <v>3.8464524764104308E-2</v>
      </c>
      <c r="AD24" s="394">
        <f>IF(((D24+I24)*$B$2)&lt;=0,0,((D24+I24)*T24*$B$2))</f>
        <v>3.9249515065412556E-2</v>
      </c>
      <c r="AE24" s="549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8"/>
      <c r="M25" s="395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5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493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211.73948952455299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2.5192733611890632</v>
      </c>
      <c r="AD27" s="375">
        <f>SUM(AD6:AD25)</f>
        <v>2.6118537513647464</v>
      </c>
      <c r="AE27" s="261"/>
      <c r="AF27" s="261"/>
      <c r="AG27" s="381"/>
      <c r="AH27" s="381"/>
      <c r="AI27" s="381"/>
      <c r="AJ27" s="381"/>
      <c r="AK27" s="381"/>
      <c r="AL27" s="381"/>
      <c r="AM27" s="381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4" t="s">
        <v>631</v>
      </c>
      <c r="C28" s="1315"/>
      <c r="D28" s="1315"/>
      <c r="E28" s="1315"/>
      <c r="F28" s="1315"/>
      <c r="G28" s="1316"/>
      <c r="H28" s="1314" t="s">
        <v>632</v>
      </c>
      <c r="I28" s="1315"/>
      <c r="J28" s="1316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547"/>
      <c r="AG28" s="381"/>
      <c r="AH28" s="547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493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7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31" t="s">
        <v>698</v>
      </c>
      <c r="AA30" s="3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2">
        <f>(E31+E38+E40)/SUM($E$31:$E$49)-($R$51/7)</f>
        <v>3.5291010812410961E-4</v>
      </c>
      <c r="S33" s="383">
        <f>R33*DwellingStocks!$O$28/1000</f>
        <v>7.4725006142253761E-2</v>
      </c>
      <c r="T33" s="437">
        <f>IFERROR((S33*1000)/(E31+E38+E40),0)+0.68468</f>
        <v>0.99733692946549679</v>
      </c>
      <c r="U33" s="555">
        <f>U7</f>
        <v>0.59018803418803423</v>
      </c>
      <c r="V33" s="1194">
        <f t="shared" ref="V33:V44" si="7">W33*$AQ$4</f>
        <v>0.17206604052757085</v>
      </c>
      <c r="W33" s="1194">
        <f t="shared" ref="W33:W46" si="8">IFERROR((AC33/S33/Y33)*$AR$4,0)</f>
        <v>0.3441320810551417</v>
      </c>
      <c r="X33" s="386">
        <v>20</v>
      </c>
      <c r="Y33" s="384">
        <f t="shared" ref="Y33:Y38" si="9">31.536*(AE33/1000)</f>
        <v>9.4608000000000012E-2</v>
      </c>
      <c r="Z33" s="386"/>
      <c r="AA33" s="386"/>
      <c r="AB33" s="386"/>
      <c r="AC33" s="387">
        <f t="shared" ref="AC33:AC40" si="10">AD33*U33</f>
        <v>2.2117004010299736E-3</v>
      </c>
      <c r="AD33" s="387">
        <f>IF(((D31+I31+D38+I38+D40+I40)*$B$2)&lt;=0,0,((D31+I31+D38+I38+D40+I40)*T33*$B$2))</f>
        <v>3.7474504275112511E-3</v>
      </c>
      <c r="AE33" s="386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11">M33</f>
        <v>R-WH_Apt_COA_X0</v>
      </c>
      <c r="AJ33" s="291" t="str">
        <f t="shared" si="11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8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89">
        <f>E32/SUM($E$31:$E$49)</f>
        <v>2.9815590572310261E-5</v>
      </c>
      <c r="S34" s="390">
        <f>R34*DwellingStocks!$O$28/1000</f>
        <v>6.313137927654049E-3</v>
      </c>
      <c r="T34" s="391">
        <f>IFERROR((S34*1000)/E32,0)</f>
        <v>1.5782844819135122</v>
      </c>
      <c r="U34" s="556">
        <f t="shared" ref="U34:U38" si="12">U8</f>
        <v>0.9</v>
      </c>
      <c r="V34" s="1211">
        <f t="shared" si="7"/>
        <v>4.1278253424657532E-2</v>
      </c>
      <c r="W34" s="1211">
        <f t="shared" si="8"/>
        <v>8.2556506849315064E-2</v>
      </c>
      <c r="X34" s="392">
        <v>20</v>
      </c>
      <c r="Y34" s="553">
        <f t="shared" si="9"/>
        <v>9.4608000000000012E-2</v>
      </c>
      <c r="Z34" s="392"/>
      <c r="AA34" s="392"/>
      <c r="AB34" s="392"/>
      <c r="AC34" s="393">
        <f t="shared" si="10"/>
        <v>4.482618332979047E-5</v>
      </c>
      <c r="AD34" s="394">
        <f>IF(((D32+I32)*$B$2)&lt;=0,0,((D32+I32)*T34*$B$2))</f>
        <v>4.9806870366433856E-5</v>
      </c>
      <c r="AE34" s="549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11"/>
        <v>R-WH_Apt_BDL_X0</v>
      </c>
      <c r="AJ34" s="26" t="str">
        <f t="shared" si="11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2">
        <f>E33/SUM($E$31:$E$49)</f>
        <v>2.2361692929232695E-5</v>
      </c>
      <c r="S35" s="383">
        <f>R35*DwellingStocks!$O$28/1000</f>
        <v>4.7348534457405363E-3</v>
      </c>
      <c r="T35" s="384">
        <f>IFERROR((S35*1000)/E33,0)</f>
        <v>1.578284481913512</v>
      </c>
      <c r="U35" s="558">
        <f t="shared" si="12"/>
        <v>0.9</v>
      </c>
      <c r="V35" s="1194">
        <f t="shared" si="7"/>
        <v>4.9732305936073043E-2</v>
      </c>
      <c r="W35" s="1194">
        <f t="shared" si="8"/>
        <v>9.9464611872146086E-2</v>
      </c>
      <c r="X35" s="386">
        <v>20</v>
      </c>
      <c r="Y35" s="384">
        <f t="shared" si="9"/>
        <v>9.4608000000000012E-2</v>
      </c>
      <c r="Z35" s="386"/>
      <c r="AA35" s="386"/>
      <c r="AB35" s="386"/>
      <c r="AC35" s="387">
        <f t="shared" si="10"/>
        <v>4.0505156075207648E-5</v>
      </c>
      <c r="AD35" s="387">
        <f>IF(((D33+I33)*$B$2)&lt;=0,0,((D33+I33)*T35*$B$2))</f>
        <v>4.5005728972452945E-5</v>
      </c>
      <c r="AE35" s="386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11"/>
        <v>R-WH_Apt_ETH_X0</v>
      </c>
      <c r="AJ35" s="291" t="str">
        <f t="shared" si="11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8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89">
        <f>(E34+E35)/SUM($E$31:$E$49)-($R$51/7)</f>
        <v>1.2920181534352884E-2</v>
      </c>
      <c r="S36" s="390">
        <f>(R36)*DwellingStocks!$O$28/1000</f>
        <v>2.7357126426484353</v>
      </c>
      <c r="T36" s="391">
        <f>IFERROR((S36*1000)/(E34+E35),0)+0.5456</f>
        <v>1.9667494247524338</v>
      </c>
      <c r="U36" s="557">
        <f t="shared" si="12"/>
        <v>0.80677902621722841</v>
      </c>
      <c r="V36" s="1211">
        <f t="shared" si="7"/>
        <v>7.0987714378856148E-2</v>
      </c>
      <c r="W36" s="1211">
        <f t="shared" si="8"/>
        <v>0.1419754287577123</v>
      </c>
      <c r="X36" s="392">
        <v>20</v>
      </c>
      <c r="Y36" s="553">
        <f t="shared" si="9"/>
        <v>9.4608000000000012E-2</v>
      </c>
      <c r="Z36" s="392"/>
      <c r="AA36" s="392"/>
      <c r="AB36" s="392"/>
      <c r="AC36" s="393">
        <f t="shared" si="10"/>
        <v>3.3405566640404609E-2</v>
      </c>
      <c r="AD36" s="394">
        <f>IF(((D34+I34+D35+I35)*$B$2)&lt;=0,0,((D34+I34+D35+I35)*T36*$B$2))</f>
        <v>4.1406092070878933E-2</v>
      </c>
      <c r="AE36" s="549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11"/>
        <v>R-WH_Apt_LPG_X0</v>
      </c>
      <c r="AJ36" s="26" t="str">
        <f t="shared" si="11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2">
        <f>(ArchetypeDemand!AX50*SUM(E36+E49))/SUM($E$31:$E$49)-($R$51/7)</f>
        <v>0.32466305188125721</v>
      </c>
      <c r="S37" s="383">
        <f>R37*DwellingStocks!$O$28/1000</f>
        <v>68.743988872820864</v>
      </c>
      <c r="T37" s="384">
        <f>IFERROR((S37*1000)/E49,0)-0.58345</f>
        <v>1.2365221717891788</v>
      </c>
      <c r="U37" s="555">
        <f t="shared" si="12"/>
        <v>1</v>
      </c>
      <c r="V37" s="1194">
        <f t="shared" si="7"/>
        <v>3.1730850356605091E-2</v>
      </c>
      <c r="W37" s="1194">
        <f t="shared" si="8"/>
        <v>6.3461700713210181E-2</v>
      </c>
      <c r="X37" s="386">
        <v>20</v>
      </c>
      <c r="Y37" s="384">
        <f t="shared" si="9"/>
        <v>9.4608000000000012E-2</v>
      </c>
      <c r="Z37" s="386"/>
      <c r="AA37" s="386"/>
      <c r="AB37" s="386"/>
      <c r="AC37" s="387">
        <f t="shared" si="10"/>
        <v>0.37521622657639508</v>
      </c>
      <c r="AD37" s="387">
        <f>IF(((D49+I49)*$B$2)&lt;=0,0,((D49+I49)*T37*$B$2))</f>
        <v>0.37521622657639508</v>
      </c>
      <c r="AE37" s="386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11"/>
        <v>R-WH_Apt_ELC_X0</v>
      </c>
      <c r="AJ37" s="291" t="str">
        <f t="shared" si="11"/>
        <v>Residential Water Heating Apartment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8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89">
        <f>(ArchetypeDemand!AY50*SUM(E36+E49))/SUM($E$31:$E$49)-($R$51/7)</f>
        <v>0.15202631012899503</v>
      </c>
      <c r="S38" s="390">
        <f>R38*DwellingStocks!$O$28/1000</f>
        <v>32.189973301014788</v>
      </c>
      <c r="T38" s="391">
        <f>IFERROR((S38*1000)/E36,0)-0.008</f>
        <v>1.2038350073792414</v>
      </c>
      <c r="U38" s="557">
        <f t="shared" si="12"/>
        <v>3.0701960784313722</v>
      </c>
      <c r="V38" s="1211">
        <f t="shared" si="7"/>
        <v>0.20254755075892711</v>
      </c>
      <c r="W38" s="1211">
        <f t="shared" si="8"/>
        <v>0.40509510151785422</v>
      </c>
      <c r="X38" s="392">
        <v>20</v>
      </c>
      <c r="Y38" s="553">
        <f t="shared" si="9"/>
        <v>9.4608000000000012E-2</v>
      </c>
      <c r="Z38" s="392"/>
      <c r="AA38" s="392"/>
      <c r="AB38" s="392"/>
      <c r="AC38" s="393">
        <f t="shared" si="10"/>
        <v>1.1215348795592068</v>
      </c>
      <c r="AD38" s="394">
        <f>IF(((D49+I49)*$B$2)&lt;=0,0,((D49+I49)*T38*$B$2))</f>
        <v>0.36529747641793048</v>
      </c>
      <c r="AE38" s="549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11"/>
        <v>R-WH_Apt_ELC_X1</v>
      </c>
      <c r="AJ38" s="26" t="str">
        <f t="shared" si="11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1"/>
      <c r="W39" s="1211"/>
      <c r="X39" s="392"/>
      <c r="Y39" s="553">
        <f>31.536*(AE35/1000)</f>
        <v>9.4608000000000012E-2</v>
      </c>
      <c r="Z39" s="392"/>
      <c r="AA39" s="392"/>
      <c r="AB39" s="392">
        <f>AD39/AC38</f>
        <v>0.2955694368845973</v>
      </c>
      <c r="AC39" s="393"/>
      <c r="AD39" s="394">
        <f>RSD_Balance!I22</f>
        <v>0.33149143279774945</v>
      </c>
      <c r="AE39" s="549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2">
        <f>E37/SUM($E$31:$E$49)-($R$51/7)</f>
        <v>2.6940963000981786E-2</v>
      </c>
      <c r="S40" s="383">
        <f>R40*DwellingStocks!$O$28/1000</f>
        <v>5.7044657531277529</v>
      </c>
      <c r="T40" s="437">
        <f>IFERROR((S40*1000)/E37,0)+0.2021</f>
        <v>1.7009086582048745</v>
      </c>
      <c r="U40" s="555">
        <f>U14</f>
        <v>0.81016216216216219</v>
      </c>
      <c r="V40" s="1194">
        <f t="shared" si="7"/>
        <v>7.9377013943401908E-2</v>
      </c>
      <c r="W40" s="1194">
        <f t="shared" si="8"/>
        <v>0.15875402788680382</v>
      </c>
      <c r="X40" s="386">
        <v>20</v>
      </c>
      <c r="Y40" s="384">
        <f>31.536*(AE36/1000)</f>
        <v>9.4608000000000012E-2</v>
      </c>
      <c r="Z40" s="386"/>
      <c r="AA40" s="386"/>
      <c r="AB40" s="386"/>
      <c r="AC40" s="387">
        <f t="shared" si="10"/>
        <v>7.7888780943727934E-2</v>
      </c>
      <c r="AD40" s="387">
        <f>IF(((D37+I37)*$B$2)&lt;=0,0,((D37+I37)*T40*$B$2))</f>
        <v>9.6139741623896893E-2</v>
      </c>
      <c r="AE40" s="386">
        <v>3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497" t="s">
        <v>252</v>
      </c>
      <c r="M41" s="497" t="s">
        <v>252</v>
      </c>
      <c r="N41" s="395"/>
      <c r="O41" s="395"/>
      <c r="P41" s="395"/>
      <c r="Q41" s="395"/>
      <c r="R41" s="396"/>
      <c r="S41" s="397"/>
      <c r="T41" s="395"/>
      <c r="U41" s="559"/>
      <c r="V41" s="1213"/>
      <c r="W41" s="1213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2">
        <f>E39/SUM($E$31:$E$49)-($R$51/7)</f>
        <v>0.40480139622151279</v>
      </c>
      <c r="S42" s="383">
        <f>R42*DwellingStocks!$O$28/1000</f>
        <v>85.712440994769423</v>
      </c>
      <c r="T42" s="437">
        <f>IFERROR((S42*1000)/E39,0)-0.163425</f>
        <v>1.4093091968617668</v>
      </c>
      <c r="U42" s="555">
        <f>U16</f>
        <v>0.81026881720430111</v>
      </c>
      <c r="V42" s="1194">
        <f t="shared" si="7"/>
        <v>5.1881420489547511E-2</v>
      </c>
      <c r="W42" s="1194">
        <f t="shared" si="8"/>
        <v>0.10376284097909502</v>
      </c>
      <c r="X42" s="386">
        <v>20</v>
      </c>
      <c r="Y42" s="384">
        <f>31.536*(AE38/1000)</f>
        <v>9.4608000000000012E-2</v>
      </c>
      <c r="Z42" s="386"/>
      <c r="AA42" s="386"/>
      <c r="AB42" s="386"/>
      <c r="AC42" s="387">
        <f>AD42*U42</f>
        <v>0.76492859103619248</v>
      </c>
      <c r="AD42" s="387">
        <f>IF(((D39+I39)*$B$2)&lt;=0,0,((D39+I39)*T42*$B$2))</f>
        <v>0.94404298276645071</v>
      </c>
      <c r="AE42" s="386">
        <v>3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497" t="s">
        <v>252</v>
      </c>
      <c r="M43" s="497" t="s">
        <v>252</v>
      </c>
      <c r="N43" s="395"/>
      <c r="O43" s="395"/>
      <c r="P43" s="395"/>
      <c r="Q43" s="395"/>
      <c r="R43" s="396"/>
      <c r="S43" s="397"/>
      <c r="T43" s="395"/>
      <c r="U43" s="559"/>
      <c r="V43" s="1213"/>
      <c r="W43" s="1213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2">
        <f>(E41+E42)/SUM($E$31:$E$49)</f>
        <v>9.6900669360008349E-5</v>
      </c>
      <c r="S44" s="383">
        <f>R44*DwellingStocks!$O$28/1000</f>
        <v>2.0517698264875657E-2</v>
      </c>
      <c r="T44" s="384">
        <f>(S44*1000)/(E42+E41)+0.4445</f>
        <v>2.0227844819135123</v>
      </c>
      <c r="U44" s="555">
        <f>U18</f>
        <v>0.52500000000000002</v>
      </c>
      <c r="V44" s="1194">
        <f t="shared" si="7"/>
        <v>6.3883037252572578E-2</v>
      </c>
      <c r="W44" s="1194">
        <f t="shared" si="8"/>
        <v>0.12776607450514516</v>
      </c>
      <c r="X44" s="386">
        <v>20</v>
      </c>
      <c r="Y44" s="384">
        <f>31.536*(AE40/1000)</f>
        <v>9.4608000000000012E-2</v>
      </c>
      <c r="Z44" s="386"/>
      <c r="AA44" s="386"/>
      <c r="AB44" s="386"/>
      <c r="AC44" s="387">
        <f>AD44*U44</f>
        <v>2.2546512101140537E-4</v>
      </c>
      <c r="AD44" s="387">
        <f>IF(((D41+I41+D42+I42)*$B$2)&lt;=0,0,((D41+I41+D42+I42)*T44*$B$2))</f>
        <v>4.2945737335505781E-4</v>
      </c>
      <c r="AE44" s="386">
        <v>3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497" t="s">
        <v>252</v>
      </c>
      <c r="M45" s="497" t="s">
        <v>252</v>
      </c>
      <c r="N45" s="395"/>
      <c r="O45" s="395"/>
      <c r="P45" s="395"/>
      <c r="Q45" s="395"/>
      <c r="R45" s="396"/>
      <c r="S45" s="397"/>
      <c r="T45" s="395"/>
      <c r="U45" s="559"/>
      <c r="V45" s="1213"/>
      <c r="W45" s="1213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89">
        <f>E43/SUM($E$31:$E$49)</f>
        <v>2.9070200808002503E-3</v>
      </c>
      <c r="S46" s="390">
        <f>R46*DwellingStocks!$O$28/1000</f>
        <v>0.61553094794626972</v>
      </c>
      <c r="T46" s="391">
        <f>(S46*1000)/E43-0.19617</f>
        <v>1.3821144819135123</v>
      </c>
      <c r="U46" s="556">
        <f>U20</f>
        <v>0.58177777777777773</v>
      </c>
      <c r="V46" s="1211">
        <f>W46*$AQ$5</f>
        <v>3.7017866680855759E-3</v>
      </c>
      <c r="W46" s="1211">
        <f t="shared" si="8"/>
        <v>1.8508933340427879E-2</v>
      </c>
      <c r="X46" s="392">
        <v>20</v>
      </c>
      <c r="Y46" s="553">
        <f>31.536*(AE42/1000)</f>
        <v>9.4608000000000012E-2</v>
      </c>
      <c r="Z46" s="504">
        <f>RSD_Balance!H2</f>
        <v>0.19400000000000001</v>
      </c>
      <c r="AA46" s="392">
        <v>5</v>
      </c>
      <c r="AB46" s="392"/>
      <c r="AC46" s="393">
        <f>AD46*$U$46</f>
        <v>9.798654873497477E-4</v>
      </c>
      <c r="AD46" s="394">
        <f>IF(((D43+I43)*$B$2)&lt;=0,0,((D43+I43)*T46*$B$2))*Z46</f>
        <v>1.6842607689357774E-3</v>
      </c>
      <c r="AE46" s="549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3">M49</f>
        <v>R-WH_Apt_WOO_X0</v>
      </c>
      <c r="AJ46" s="26" t="str">
        <f t="shared" si="13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RSD_Balance!H3</f>
        <v>0.74399999999999999</v>
      </c>
      <c r="AA47" s="386">
        <v>5</v>
      </c>
      <c r="AB47" s="386"/>
      <c r="AC47" s="387">
        <f>AD47*$U$46</f>
        <v>3.757834652516558E-3</v>
      </c>
      <c r="AD47" s="387">
        <f>IF(((D43+I43)*$B$2)&lt;=0,0,((D43+I43)*T46*$B$2))*Z47</f>
        <v>6.4592268664341148E-3</v>
      </c>
      <c r="AE47" s="386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3"/>
        <v>R-WH_Apt_HET_X0</v>
      </c>
      <c r="AJ47" s="291" t="str">
        <f t="shared" si="13"/>
        <v>Residential Water Heating Apartment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1"/>
      <c r="W48" s="1211"/>
      <c r="X48" s="392"/>
      <c r="Y48" s="553"/>
      <c r="Z48" s="504">
        <f>RSD_Balance!H4</f>
        <v>6.2E-2</v>
      </c>
      <c r="AA48" s="392">
        <v>5</v>
      </c>
      <c r="AB48" s="392"/>
      <c r="AC48" s="393">
        <f>AD48*$U$46</f>
        <v>3.1315288770971316E-4</v>
      </c>
      <c r="AD48" s="394">
        <f>IF(((D43+I43)*$B$2)&lt;=0,0,((D43+I43)*T46*$B$2))*Z48</f>
        <v>5.3826890553617627E-4</v>
      </c>
      <c r="AE48" s="549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3"/>
        <v>R-WH_Apt_SOL_X0</v>
      </c>
      <c r="AJ48" s="26" t="str">
        <f t="shared" si="13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2">
        <f>(E47+E44+E45+E46)/SUM($E$31:$E$49)</f>
        <v>1.319339882824729E-3</v>
      </c>
      <c r="S49" s="383">
        <f>R49*DwellingStocks!$O$28/1000</f>
        <v>0.27935635329869168</v>
      </c>
      <c r="T49" s="384">
        <f>(S49*1000)/(E47+E44+E45+E46)+0.1165</f>
        <v>1.6947844819135123</v>
      </c>
      <c r="U49" s="555">
        <f>U23</f>
        <v>0.6880451127819549</v>
      </c>
      <c r="V49" s="1194">
        <f>W49*$AQ$4</f>
        <v>5.2497646749334659E-2</v>
      </c>
      <c r="W49" s="1194">
        <f t="shared" ref="W49:W51" si="14">IFERROR((AC49/S49/Y49)*$AR$4,0)</f>
        <v>0.10499529349866932</v>
      </c>
      <c r="X49" s="386">
        <v>20</v>
      </c>
      <c r="Y49" s="384">
        <f>31.536*(AE49/1000)</f>
        <v>9.4608000000000012E-2</v>
      </c>
      <c r="Z49" s="386"/>
      <c r="AA49" s="386"/>
      <c r="AB49" s="386"/>
      <c r="AC49" s="387">
        <f>AD49*U49</f>
        <v>2.5226881153646869E-3</v>
      </c>
      <c r="AD49" s="387">
        <f>IF(((D44+I44+D45+I45+D46+I46+D47+I47)*$B$2)&lt;=0,0,((D44+I44+D45+I45+D46+I46+D47+I47)*T49*$B$2))</f>
        <v>3.6664574291717118E-3</v>
      </c>
      <c r="AE49" s="386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8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89">
        <f>E48/SUM($E$31:$E$49)-($R$51/7)</f>
        <v>6.3919749208289578E-2</v>
      </c>
      <c r="S50" s="390">
        <f>R50*DwellingStocks!$O$28/1000</f>
        <v>13.534335067900685</v>
      </c>
      <c r="T50" s="391">
        <f>(S50*1000)/E48</f>
        <v>1.5437818031140282</v>
      </c>
      <c r="U50" s="557">
        <f>U24</f>
        <v>0.98</v>
      </c>
      <c r="V50" s="1211">
        <f>W50*$AQ$4</f>
        <v>4.3799786201807458E-3</v>
      </c>
      <c r="W50" s="1211">
        <f t="shared" si="14"/>
        <v>8.7599572403614916E-3</v>
      </c>
      <c r="X50" s="392">
        <v>20</v>
      </c>
      <c r="Y50" s="553">
        <f>31.536*(AE50/1000)</f>
        <v>9.4608000000000012E-2</v>
      </c>
      <c r="Z50" s="392"/>
      <c r="AA50" s="392"/>
      <c r="AB50" s="392"/>
      <c r="AC50" s="393">
        <f>AD50*U50</f>
        <v>1.0197039152526351E-2</v>
      </c>
      <c r="AD50" s="394">
        <f>IF(((D48+I48)*$B$2)&lt;=0,0,((D48+I48)*T50*$B$2))</f>
        <v>1.0405141992373827E-2</v>
      </c>
      <c r="AE50" s="549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635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2">
        <v>0.01</v>
      </c>
      <c r="S51" s="383">
        <f>R51*DwellingStocks!$O$28/1000</f>
        <v>2.1173948952455297</v>
      </c>
      <c r="T51" s="384">
        <f>MAX(T33:T50)</f>
        <v>2.0227844819135123</v>
      </c>
      <c r="U51" s="555">
        <v>1</v>
      </c>
      <c r="V51" s="1194">
        <f>W51*$AQ$4</f>
        <v>7.6900297826371602E-2</v>
      </c>
      <c r="W51" s="1194">
        <f t="shared" si="14"/>
        <v>0.1538005956527432</v>
      </c>
      <c r="X51" s="386">
        <v>20</v>
      </c>
      <c r="Y51" s="384">
        <f>31.536*(AE51/1000)</f>
        <v>9.4608000000000012E-2</v>
      </c>
      <c r="Z51" s="386"/>
      <c r="AA51" s="386"/>
      <c r="AB51" s="386"/>
      <c r="AC51" s="387">
        <f>AD51*U51</f>
        <v>2.8008835678000416E-2</v>
      </c>
      <c r="AD51" s="387">
        <f>RSD_Balance!I18</f>
        <v>2.8008835678000416E-2</v>
      </c>
      <c r="AE51" s="386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5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211.73948952455294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2.4212759575908409</v>
      </c>
      <c r="AD54" s="375">
        <f>SUM(AD31:AD52)</f>
        <v>2.208627864293959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635</v>
      </c>
      <c r="N56" s="49"/>
      <c r="O56" s="53"/>
      <c r="P56" s="53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31" t="s">
        <v>698</v>
      </c>
      <c r="AA57" s="3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4">
        <f>DwellingStocks!$O$28/1000</f>
        <v>211.73948952455297</v>
      </c>
      <c r="T59" s="291">
        <f>(S59*1000)/SUM(G54:G62)-0.1837</f>
        <v>1.387102684959999</v>
      </c>
      <c r="U59" s="555">
        <v>0.4</v>
      </c>
      <c r="V59" s="1194">
        <f>W59*$AQ$4</f>
        <v>0.11603643846468496</v>
      </c>
      <c r="W59" s="1194">
        <f t="shared" ref="W59:W60" si="15">IFERROR((AC59/S59/Y59)*$AR$4,0)</f>
        <v>0.23207287692936993</v>
      </c>
      <c r="X59" s="386">
        <v>10</v>
      </c>
      <c r="Y59" s="385">
        <f>31.536*(AE59/1000)</f>
        <v>3.0747599999999997E-3</v>
      </c>
      <c r="Z59" s="386"/>
      <c r="AA59" s="386"/>
      <c r="AB59" s="386"/>
      <c r="AC59" s="722">
        <f>AD59*U59</f>
        <v>0.13735509869033913</v>
      </c>
      <c r="AD59" s="387">
        <f>((D54+D55+D56+D57+D58+D59+D60+D61+D62)*T59*$B$2)</f>
        <v>0.34338774672584782</v>
      </c>
      <c r="AE59" s="383">
        <f>0.0065*15</f>
        <v>9.7499999999999989E-2</v>
      </c>
      <c r="AF59" s="261"/>
      <c r="AG59" s="388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R-PF_Apt_X0</v>
      </c>
      <c r="AJ59" s="388" t="str">
        <f>N60</f>
        <v>Residential Pumps &amp; Fans Apartment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LEFT(SETUP!B3,1)&amp;"-"&amp;RIGHT(COMM!$O$36,6)&amp;"_"&amp;SETUP!$B$66</f>
        <v>R-PF_Apt_X0</v>
      </c>
      <c r="N60" s="388" t="str">
        <f>COMM!$P$36&amp;" "&amp;SETUP!$C$66</f>
        <v>Residential Pumps &amp; Fans Apartment Existing 00</v>
      </c>
      <c r="O60" s="388" t="str">
        <f>COMM!E24</f>
        <v>RSDELC</v>
      </c>
      <c r="P60" s="388"/>
      <c r="Q60" s="388" t="str">
        <f>COMM!$O$36</f>
        <v>RSDPF_Apt</v>
      </c>
      <c r="R60" s="388">
        <v>1</v>
      </c>
      <c r="S60" s="561">
        <f>DwellingStocks!$O$28/1000</f>
        <v>211.73948952455297</v>
      </c>
      <c r="T60" s="388">
        <f>(S60*1000)/SUM(G54:G62)-0.1837</f>
        <v>1.387102684959999</v>
      </c>
      <c r="U60" s="562">
        <v>0.6</v>
      </c>
      <c r="V60" s="1216">
        <f>W60*$AQ$4</f>
        <v>6.993770934278716E-2</v>
      </c>
      <c r="W60" s="1216">
        <f t="shared" si="15"/>
        <v>0.13987541868557432</v>
      </c>
      <c r="X60" s="563">
        <v>15</v>
      </c>
      <c r="Y60" s="564">
        <f>31.536*(AE60/1000)</f>
        <v>1.5768000000000002E-3</v>
      </c>
      <c r="Z60" s="563"/>
      <c r="AA60" s="563"/>
      <c r="AB60" s="563"/>
      <c r="AC60" s="565">
        <f>AD60*U60</f>
        <v>4.2454837931852556E-2</v>
      </c>
      <c r="AD60" s="394">
        <f>(F54+F55+F56+F57+F58+F59+F60+F61+F62)*T60*$B$2</f>
        <v>7.0758063219754266E-2</v>
      </c>
      <c r="AE60" s="548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1"/>
      <c r="V63" s="51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4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AJ1" workbookViewId="0">
      <selection activeCell="AR4" sqref="AR4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11.71093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636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759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495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</row>
    <row r="4" spans="1:45" ht="15" customHeight="1" thickBot="1">
      <c r="A4" s="261"/>
      <c r="B4" s="1314" t="s">
        <v>631</v>
      </c>
      <c r="C4" s="1315"/>
      <c r="D4" s="1315"/>
      <c r="E4" s="1315"/>
      <c r="F4" s="1315"/>
      <c r="G4" s="1316"/>
      <c r="H4" s="1314" t="s">
        <v>632</v>
      </c>
      <c r="I4" s="1315"/>
      <c r="J4" s="1316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7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56"/>
      <c r="AQ6" s="261"/>
      <c r="AR6" s="261"/>
      <c r="AS6" s="261"/>
    </row>
    <row r="7" spans="1:45">
      <c r="A7" s="1143"/>
      <c r="B7" s="231" t="s">
        <v>571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2">
        <f>(E7+E14+E16)/SUM($E$7:$E$25)</f>
        <v>1.6565651697171984E-2</v>
      </c>
      <c r="S7" s="383">
        <f>R7*DwellingStocks!$P$28/1000</f>
        <v>12.856674403378431</v>
      </c>
      <c r="T7" s="437">
        <f>(S7*1000)/(E7+E14+E16)*DwellingStocks!$AA$27+0.68468</f>
        <v>2.0280333829215076</v>
      </c>
      <c r="U7" s="555">
        <f>(G7+G14+G16)/300</f>
        <v>0.55798087905732663</v>
      </c>
      <c r="V7" s="1194">
        <f>W7*$AQ$4</f>
        <v>0.14612116458095434</v>
      </c>
      <c r="W7" s="1194">
        <f>IFERROR((AC7/S7/Y7)*$AR$4,0)</f>
        <v>0.29224232916190868</v>
      </c>
      <c r="X7" s="386">
        <v>20</v>
      </c>
      <c r="Y7" s="384">
        <f>31.536*(AE7/1000)</f>
        <v>0.63072000000000006</v>
      </c>
      <c r="Z7" s="386"/>
      <c r="AA7" s="386"/>
      <c r="AB7" s="386"/>
      <c r="AC7" s="387">
        <f>AD7*U7</f>
        <v>2.154347134872594</v>
      </c>
      <c r="AD7" s="387">
        <f>IF(((D7+I7+D14+I14+D16+I16)*$B$2)&lt;=0,0,((D7+I7+D14+I14+D16+I16)*T7*$B$2))</f>
        <v>3.8609694628106741</v>
      </c>
      <c r="AE7" s="386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89">
        <f>E8/SUM($E$7:$E$25)</f>
        <v>2.4098998686604574E-6</v>
      </c>
      <c r="S8" s="390">
        <f>R8*DwellingStocks!$P$28/1000</f>
        <v>1.8703337799503099E-3</v>
      </c>
      <c r="T8" s="391">
        <f>(S8*1000)/E8*DwellingStocks!$AA$27</f>
        <v>1.3433533829215076</v>
      </c>
      <c r="U8" s="557">
        <f>(G8)/100</f>
        <v>1</v>
      </c>
      <c r="V8" s="1214">
        <f t="shared" ref="V8:V18" si="1">W8*$AQ$4</f>
        <v>1.3923124456181815E-2</v>
      </c>
      <c r="W8" s="1214">
        <f t="shared" ref="W8:W20" si="2">IFERROR((AC8/S8/Y8)*$AR$4,0)</f>
        <v>2.784624891236363E-2</v>
      </c>
      <c r="X8" s="392">
        <v>20</v>
      </c>
      <c r="Y8" s="553">
        <f t="shared" ref="Y8:Y13" si="3">31.536*(AE8/1000)</f>
        <v>0.63072000000000006</v>
      </c>
      <c r="Z8" s="392"/>
      <c r="AA8" s="392"/>
      <c r="AB8" s="392"/>
      <c r="AC8" s="393">
        <f>AD8*U8</f>
        <v>2.9862745702345111E-5</v>
      </c>
      <c r="AD8" s="394">
        <f>IF(((D8+I8)*$B$2)&lt;=0,0,((D8+I8)*T8*$B$2))</f>
        <v>2.9862745702345111E-5</v>
      </c>
      <c r="AE8" s="549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2">
        <f>E9/SUM($E$7:$E$25)</f>
        <v>0</v>
      </c>
      <c r="S9" s="383">
        <f>R9*DwellingStocks!$P$28/1000</f>
        <v>0</v>
      </c>
      <c r="T9" s="384">
        <f>IFERROR((S9*1000)/E9*DwellingStocks!$AA$27,0)</f>
        <v>0</v>
      </c>
      <c r="U9" s="558">
        <v>0.9</v>
      </c>
      <c r="V9" s="1194">
        <f t="shared" si="1"/>
        <v>0</v>
      </c>
      <c r="W9" s="1194">
        <f t="shared" si="2"/>
        <v>0</v>
      </c>
      <c r="X9" s="386">
        <v>20</v>
      </c>
      <c r="Y9" s="384">
        <f t="shared" si="3"/>
        <v>0.63072000000000006</v>
      </c>
      <c r="Z9" s="386"/>
      <c r="AA9" s="386"/>
      <c r="AB9" s="386"/>
      <c r="AC9" s="387">
        <f>IFERROR(AD9*U9,0)</f>
        <v>0</v>
      </c>
      <c r="AD9" s="387">
        <f>IF(((D9+I9)*$B$2)&lt;=0,0,((D9+I9)*T9*$B$2))</f>
        <v>0</v>
      </c>
      <c r="AE9" s="386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419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89">
        <f>(E10+E11)/SUM($E$7:$E$25)</f>
        <v>1.1165066091503898E-2</v>
      </c>
      <c r="S10" s="390">
        <f>(R10)*DwellingStocks!$P$28/1000</f>
        <v>8.6652564025097849</v>
      </c>
      <c r="T10" s="391">
        <f>(S10*1000)/(E10+E11)*DwellingStocks!$AA$27+0.5456</f>
        <v>1.8889533829215077</v>
      </c>
      <c r="U10" s="557">
        <f>(G10+G11)/200</f>
        <v>0.8070757743362833</v>
      </c>
      <c r="V10" s="1214">
        <f t="shared" si="1"/>
        <v>2.6818090454785667E-2</v>
      </c>
      <c r="W10" s="1214">
        <f t="shared" si="2"/>
        <v>5.3636180909571333E-2</v>
      </c>
      <c r="X10" s="392">
        <v>20</v>
      </c>
      <c r="Y10" s="553">
        <f t="shared" si="3"/>
        <v>0.63072000000000006</v>
      </c>
      <c r="Z10" s="392"/>
      <c r="AA10" s="392"/>
      <c r="AB10" s="392"/>
      <c r="AC10" s="393">
        <f>AD10*U10</f>
        <v>0.2664913901162822</v>
      </c>
      <c r="AD10" s="394">
        <f>IF(((D10+I10+D11+I11)*T10*$B$2)&lt;=0,0,((D10+I10+D11+I11)*T10*$B$2))</f>
        <v>0.3301937669179047</v>
      </c>
      <c r="AE10" s="549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2">
        <f>(ArchetypeDemand!AX51*SUM(E12+E25))/SUM($E$7:$E$25)</f>
        <v>5.4427347543709564E-2</v>
      </c>
      <c r="S11" s="383">
        <f>(R11)*DwellingStocks!$P$28/1000</f>
        <v>42.241301386799755</v>
      </c>
      <c r="T11" s="384">
        <f>(S11*1000)/(E25)*DwellingStocks!$AA$27-0.58345</f>
        <v>1.7970523003486822</v>
      </c>
      <c r="U11" s="555">
        <f>(G25)/100</f>
        <v>1</v>
      </c>
      <c r="V11" s="1194">
        <f t="shared" si="1"/>
        <v>2.0266150809438308E-2</v>
      </c>
      <c r="W11" s="1194">
        <f t="shared" si="2"/>
        <v>4.0532301618876616E-2</v>
      </c>
      <c r="X11" s="386">
        <v>20</v>
      </c>
      <c r="Y11" s="384">
        <f t="shared" si="3"/>
        <v>0.63072000000000006</v>
      </c>
      <c r="Z11" s="386"/>
      <c r="AA11" s="386"/>
      <c r="AB11" s="386"/>
      <c r="AC11" s="387">
        <f>AD11*U11</f>
        <v>0.98170832269915698</v>
      </c>
      <c r="AD11" s="387">
        <f>IF(((D25+I25)*T11*$B$2)&lt;=0,0,((D25+I25)*T11*$B$2))</f>
        <v>0.98170832269915698</v>
      </c>
      <c r="AE11" s="386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5">
      <c r="A12" s="380" t="s">
        <v>640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89">
        <f>(ArchetypeDemand!AY51*SUM(E12+E25))/SUM($E$7:$E$25)</f>
        <v>2.9307033292766682E-2</v>
      </c>
      <c r="S12" s="390">
        <f>R12*DwellingStocks!$P$28/1000</f>
        <v>22.745316131353711</v>
      </c>
      <c r="T12" s="391">
        <f>(S12*1000)/E12*DwellingStocks!$AA$27-0.008</f>
        <v>0.73454146743542303</v>
      </c>
      <c r="U12" s="557">
        <f>G12/100</f>
        <v>3.1157627118644071</v>
      </c>
      <c r="V12" s="1214">
        <f t="shared" si="1"/>
        <v>1.428824218965255E-2</v>
      </c>
      <c r="W12" s="1214">
        <f t="shared" si="2"/>
        <v>2.85764843793051E-2</v>
      </c>
      <c r="X12" s="392">
        <v>20</v>
      </c>
      <c r="Y12" s="553">
        <f>31.536*(AE12/1000)</f>
        <v>0.63072000000000006</v>
      </c>
      <c r="Z12" s="392"/>
      <c r="AA12" s="392"/>
      <c r="AB12" s="392"/>
      <c r="AC12" s="393">
        <f>AD12*U12</f>
        <v>0.37268738568645865</v>
      </c>
      <c r="AD12" s="394">
        <f>IF(((D12+I12)*T12*$B$2)&lt;=0,0,((D12+I12)*T12*$B$2))</f>
        <v>0.1196135329135672</v>
      </c>
      <c r="AE12" s="549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0"/>
      <c r="V13" s="1212"/>
      <c r="W13" s="1212"/>
      <c r="Y13" s="554">
        <f t="shared" si="3"/>
        <v>0.63072000000000006</v>
      </c>
      <c r="AB13" s="598">
        <f>AD13/AC12</f>
        <v>0.23888954034658627</v>
      </c>
      <c r="AD13" s="546">
        <f>RSD_Balance!G22</f>
        <v>8.9031118259609021E-2</v>
      </c>
      <c r="AE13" s="549">
        <v>20</v>
      </c>
      <c r="AF13" s="261"/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5">
      <c r="A14" s="261"/>
      <c r="B14" s="230" t="s">
        <v>421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2">
        <f>E13/SUM($E$7:$E$25)</f>
        <v>0.29959152197226208</v>
      </c>
      <c r="S14" s="383">
        <f>R14*DwellingStocks!$P$28/1000</f>
        <v>232.51428452208268</v>
      </c>
      <c r="T14" s="384">
        <f>(S14*1000)/E13*DwellingStocks!$AA$27+0.2021</f>
        <v>1.5454533829215076</v>
      </c>
      <c r="U14" s="555">
        <f>G13/100</f>
        <v>0.81941558441558437</v>
      </c>
      <c r="V14" s="1194">
        <f t="shared" si="1"/>
        <v>2.4619143420991342E-2</v>
      </c>
      <c r="W14" s="1194">
        <f t="shared" si="2"/>
        <v>4.9238286841982684E-2</v>
      </c>
      <c r="X14" s="386">
        <v>20</v>
      </c>
      <c r="Y14" s="384">
        <f>31.536*(AE14/1000)</f>
        <v>0.63072000000000006</v>
      </c>
      <c r="Z14" s="386"/>
      <c r="AA14" s="386"/>
      <c r="AB14" s="386"/>
      <c r="AC14" s="387">
        <f>AD14*U14</f>
        <v>6.5644219712770386</v>
      </c>
      <c r="AD14" s="387">
        <f>IF(((D13+I13)*$B$2)&lt;=0,0,((D13+I13)*T14*$B$2))</f>
        <v>8.0111021758987562</v>
      </c>
      <c r="AE14" s="386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497" t="s">
        <v>252</v>
      </c>
      <c r="M15" s="497" t="s">
        <v>252</v>
      </c>
      <c r="N15" s="395"/>
      <c r="O15" s="395"/>
      <c r="P15" s="395"/>
      <c r="Q15" s="395"/>
      <c r="R15" s="396"/>
      <c r="S15" s="397"/>
      <c r="T15" s="395"/>
      <c r="U15" s="559"/>
      <c r="V15" s="1215"/>
      <c r="W15" s="1215"/>
      <c r="X15" s="395"/>
      <c r="Y15" s="550"/>
      <c r="Z15" s="395"/>
      <c r="AA15" s="395"/>
      <c r="AB15" s="395"/>
      <c r="AC15" s="395"/>
      <c r="AD15" s="395"/>
      <c r="AE15" s="551"/>
      <c r="AF15" s="261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5">
      <c r="A16" s="261"/>
      <c r="B16" s="230" t="s">
        <v>572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2">
        <f>E15/SUM($E$7:$E$25)</f>
        <v>0.54312877299948192</v>
      </c>
      <c r="S16" s="383">
        <f>R16*DwellingStocks!$P$28/1000</f>
        <v>421.52460532252115</v>
      </c>
      <c r="T16" s="384">
        <f>(S16*1000)/E15*DwellingStocks!$AA$27-0.163425</f>
        <v>1.1799283829215079</v>
      </c>
      <c r="U16" s="555">
        <f>G15/100</f>
        <v>0.81729411764705884</v>
      </c>
      <c r="V16" s="1194">
        <f t="shared" si="1"/>
        <v>1.7374118837146551E-2</v>
      </c>
      <c r="W16" s="1194">
        <f t="shared" si="2"/>
        <v>3.4748237674293102E-2</v>
      </c>
      <c r="X16" s="386">
        <v>20</v>
      </c>
      <c r="Y16" s="384">
        <f>31.536*(AE16/1000)</f>
        <v>0.63072000000000006</v>
      </c>
      <c r="Z16" s="386"/>
      <c r="AA16" s="386"/>
      <c r="AB16" s="386"/>
      <c r="AC16" s="387">
        <f>AD16*U16</f>
        <v>8.3984594806257853</v>
      </c>
      <c r="AD16" s="387">
        <f>IF(((D15+I15)*$B$2)&lt;=0,0,((D15+I15)*T16*$B$2))</f>
        <v>10.275932860993116</v>
      </c>
      <c r="AE16" s="386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422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497" t="s">
        <v>252</v>
      </c>
      <c r="M17" s="497" t="s">
        <v>252</v>
      </c>
      <c r="N17" s="395"/>
      <c r="O17" s="395"/>
      <c r="P17" s="395"/>
      <c r="Q17" s="395"/>
      <c r="R17" s="396"/>
      <c r="S17" s="397"/>
      <c r="T17" s="395"/>
      <c r="U17" s="559"/>
      <c r="V17" s="1215"/>
      <c r="W17" s="1215"/>
      <c r="X17" s="395"/>
      <c r="Y17" s="550"/>
      <c r="Z17" s="395"/>
      <c r="AA17" s="395"/>
      <c r="AB17" s="395"/>
      <c r="AC17" s="395"/>
      <c r="AD17" s="395"/>
      <c r="AE17" s="551"/>
      <c r="AF17" s="261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2">
        <f>(E17+E18)/SUM($E$7:$E$25)</f>
        <v>1.4917280187008229E-3</v>
      </c>
      <c r="S18" s="383">
        <f>R18*DwellingStocks!$P$28/1000</f>
        <v>1.1577366097892419</v>
      </c>
      <c r="T18" s="384">
        <f>(S18*1000)/(E17+E18)*DwellingStocks!$AA$27+0.4445</f>
        <v>1.7878533829215075</v>
      </c>
      <c r="U18" s="555">
        <f>(G17+G18)/200</f>
        <v>0.5509294871794872</v>
      </c>
      <c r="V18" s="1194">
        <f t="shared" si="1"/>
        <v>5.3273455951385086E-2</v>
      </c>
      <c r="W18" s="1194">
        <f t="shared" si="2"/>
        <v>0.10654691190277017</v>
      </c>
      <c r="X18" s="386">
        <v>20</v>
      </c>
      <c r="Y18" s="384">
        <f>31.536*(AE18/1000)</f>
        <v>0.63072000000000006</v>
      </c>
      <c r="Z18" s="386"/>
      <c r="AA18" s="386"/>
      <c r="AB18" s="386"/>
      <c r="AC18" s="387">
        <f>AD18*U18</f>
        <v>7.0728516824182505E-2</v>
      </c>
      <c r="AD18" s="387">
        <f>IF(((D17+I17)+D18+I18*$B$2)&lt;=0,0,((D17+I17+D18+I18)*T18*$B$2))</f>
        <v>0.1283803435286808</v>
      </c>
      <c r="AE18" s="386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497" t="s">
        <v>252</v>
      </c>
      <c r="M19" s="497" t="s">
        <v>252</v>
      </c>
      <c r="N19" s="395"/>
      <c r="O19" s="395"/>
      <c r="P19" s="395"/>
      <c r="Q19" s="395"/>
      <c r="R19" s="396"/>
      <c r="S19" s="397"/>
      <c r="T19" s="395"/>
      <c r="U19" s="559"/>
      <c r="V19" s="1215"/>
      <c r="W19" s="1215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89">
        <f>E19/SUM($E$7:$E$25)</f>
        <v>4.0705618681543779E-2</v>
      </c>
      <c r="S20" s="390">
        <f>R20*DwellingStocks!$P$28/1000</f>
        <v>31.591807877140681</v>
      </c>
      <c r="T20" s="391">
        <f>(S20*1000)/E19*DwellingStocks!$AA$27-0.19617</f>
        <v>1.1471833829215075</v>
      </c>
      <c r="U20" s="556">
        <f>G19/100</f>
        <v>0.57113772455089817</v>
      </c>
      <c r="V20" s="1214">
        <f>W20*$AQ$5</f>
        <v>3.0836817666240351E-3</v>
      </c>
      <c r="W20" s="1214">
        <f t="shared" si="2"/>
        <v>1.5418408833120175E-2</v>
      </c>
      <c r="X20" s="392">
        <v>20</v>
      </c>
      <c r="Y20" s="553">
        <f>31.536*(AE20/1000)</f>
        <v>0.63072000000000006</v>
      </c>
      <c r="Z20" s="504">
        <f>RSD_Balance!$H$2</f>
        <v>0.19400000000000001</v>
      </c>
      <c r="AA20" s="392">
        <v>5</v>
      </c>
      <c r="AB20" s="392"/>
      <c r="AC20" s="393">
        <f>AD20*$U$20</f>
        <v>0.27929165160002783</v>
      </c>
      <c r="AD20" s="394">
        <f>IF(((D19+I19)*$B$2)&lt;=0,0,((D19+I19)*T20*$B$2))*Z20</f>
        <v>0.4890092872426573</v>
      </c>
      <c r="AE20" s="549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2"/>
      <c r="S21" s="383"/>
      <c r="T21" s="384"/>
      <c r="U21" s="558"/>
      <c r="V21" s="1194"/>
      <c r="W21" s="1194"/>
      <c r="X21" s="386"/>
      <c r="Y21" s="384"/>
      <c r="Z21" s="505">
        <f>RSD_Balance!$H$3</f>
        <v>0.74399999999999999</v>
      </c>
      <c r="AA21" s="386">
        <v>5</v>
      </c>
      <c r="AB21" s="386"/>
      <c r="AC21" s="387">
        <f>AD21*$U$20</f>
        <v>1.0710978803629934</v>
      </c>
      <c r="AD21" s="387">
        <f>IF(((D19+I19)*$B$2)&lt;=0,0,((D19+I19)*T20*$B$2))*Z21</f>
        <v>1.8753758232398814</v>
      </c>
      <c r="AE21" s="386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89"/>
      <c r="S22" s="390"/>
      <c r="T22" s="391"/>
      <c r="U22" s="556"/>
      <c r="V22" s="1214"/>
      <c r="W22" s="1214"/>
      <c r="X22" s="392"/>
      <c r="Y22" s="553"/>
      <c r="Z22" s="504">
        <f>RSD_Balance!$H$4</f>
        <v>6.2E-2</v>
      </c>
      <c r="AA22" s="392">
        <v>5</v>
      </c>
      <c r="AB22" s="392"/>
      <c r="AC22" s="393">
        <f>AD22*$U$20</f>
        <v>8.9258156696916113E-2</v>
      </c>
      <c r="AD22" s="394">
        <f>IF(((D19+I19)*$B$2)&lt;=0,0,((D19+I19)*T20*$B$2))*Z22</f>
        <v>0.15628131860332345</v>
      </c>
      <c r="AE22" s="549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2">
        <f>(E20+E21+E22+E23)/SUM($E$7:$E$25)</f>
        <v>1.1639816365630008E-3</v>
      </c>
      <c r="S23" s="383">
        <f>R23*DwellingStocks!$P$28/1000</f>
        <v>0.90337121571599954</v>
      </c>
      <c r="T23" s="384">
        <f>(S23*1000)/(E20+E21+E22+E23)*DwellingStocks!$AA$27+0.1165</f>
        <v>1.4598533829215075</v>
      </c>
      <c r="U23" s="555">
        <f>(G21+G22+G23)/300</f>
        <v>0.70400656814449913</v>
      </c>
      <c r="V23" s="1194">
        <f>W23*$AQ$4</f>
        <v>6.1288888620015282E-2</v>
      </c>
      <c r="W23" s="1194">
        <f t="shared" ref="W23:W24" si="4">IFERROR((AC23/S23/Y23)*$AR$4,0)</f>
        <v>0.12257777724003056</v>
      </c>
      <c r="X23" s="386">
        <v>20</v>
      </c>
      <c r="Y23" s="384">
        <f>31.536*(AE23/1000)</f>
        <v>0.63072000000000006</v>
      </c>
      <c r="Z23" s="386"/>
      <c r="AA23" s="386"/>
      <c r="AB23" s="386"/>
      <c r="AC23" s="387">
        <f>AD23*U23</f>
        <v>6.3492423987338217E-2</v>
      </c>
      <c r="AD23" s="387">
        <f>IF(((D20+I20+D21+I21+D22+I22+D23+I23)*$B$2)&lt;=0,0,((D20+I20+D21+I21+D22+I22+D23+I23)*T23*$B$2))</f>
        <v>9.018726083008112E-2</v>
      </c>
      <c r="AE23" s="386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8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89">
        <f>E24/SUM($E$7:$E$25)</f>
        <v>2.4508681664276851E-3</v>
      </c>
      <c r="S24" s="390">
        <f>R24*DwellingStocks!$P$28/1000</f>
        <v>1.9021294542094651</v>
      </c>
      <c r="T24" s="391">
        <f>(S24*1000)/E24*DwellingStocks!$AA$27</f>
        <v>1.3433533829215076</v>
      </c>
      <c r="U24" s="557">
        <v>0.98</v>
      </c>
      <c r="V24" s="1214">
        <f>W24*$AQ$4</f>
        <v>2.0765201526552788E-2</v>
      </c>
      <c r="W24" s="1214">
        <f t="shared" si="4"/>
        <v>4.1530403053105576E-2</v>
      </c>
      <c r="X24" s="392">
        <v>20</v>
      </c>
      <c r="Y24" s="553">
        <f>31.536*(AE24/1000)</f>
        <v>0.63072000000000006</v>
      </c>
      <c r="Z24" s="392"/>
      <c r="AA24" s="392"/>
      <c r="AB24" s="392"/>
      <c r="AC24" s="393">
        <f>AD24*U24</f>
        <v>4.529498644396307E-2</v>
      </c>
      <c r="AD24" s="394">
        <f>IF(((D24+I24)*$B$2)&lt;=0,0,((D24+I24)*T24*$B$2))</f>
        <v>4.6219373922411294E-2</v>
      </c>
      <c r="AE24" s="549">
        <v>20</v>
      </c>
      <c r="AF24" s="261"/>
      <c r="AG24" s="381"/>
      <c r="AH24" s="381"/>
      <c r="AI24" s="381"/>
      <c r="AJ24" s="381"/>
      <c r="AK24" s="381"/>
      <c r="AL24" s="381"/>
      <c r="AM24" s="381"/>
      <c r="AN24" s="261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8"/>
      <c r="M25" s="395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381"/>
      <c r="AH25" s="381"/>
      <c r="AI25" s="381"/>
      <c r="AJ25" s="381"/>
      <c r="AK25" s="381"/>
      <c r="AL25" s="381"/>
      <c r="AM25" s="381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5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776.10435365928083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20.357309163938442</v>
      </c>
      <c r="AD27" s="375">
        <f>SUM(AD6:AD25)</f>
        <v>26.454034510605521</v>
      </c>
      <c r="AE27" s="261"/>
      <c r="AF27" s="261"/>
      <c r="AG27" s="381"/>
      <c r="AH27" s="381"/>
      <c r="AI27" s="381"/>
      <c r="AJ27" s="261"/>
      <c r="AK27" s="381"/>
      <c r="AL27" s="381"/>
      <c r="AM27" s="38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4" t="s">
        <v>631</v>
      </c>
      <c r="C28" s="1315"/>
      <c r="D28" s="1315"/>
      <c r="E28" s="1315"/>
      <c r="F28" s="1315"/>
      <c r="G28" s="1316"/>
      <c r="H28" s="1314" t="s">
        <v>632</v>
      </c>
      <c r="I28" s="1315"/>
      <c r="J28" s="1316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261"/>
      <c r="AG28" s="381"/>
      <c r="AH28" s="381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494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7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27" t="s">
        <v>698</v>
      </c>
      <c r="AA30" s="2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2">
        <f>(E31+E38+E40)/SUM($E$31:$E$49)-($R$51/7)</f>
        <v>1.4005877019013029E-2</v>
      </c>
      <c r="S33" s="383">
        <f>R33*DwellingStocks!$P$28/1000</f>
        <v>10.870022131272481</v>
      </c>
      <c r="T33" s="437">
        <f>IFERROR((S33*1000)/(E31+E38+E40),0)+0.68468</f>
        <v>2.3921921161282564</v>
      </c>
      <c r="U33" s="555">
        <f>U7</f>
        <v>0.55798087905732663</v>
      </c>
      <c r="V33" s="1194">
        <f t="shared" ref="V33:V44" si="5">W33*$AQ$4</f>
        <v>4.859976060781699E-2</v>
      </c>
      <c r="W33" s="1194">
        <f t="shared" ref="W33:W38" si="6">IFERROR((AC33/S33/Y33)*$AR$4,0)</f>
        <v>9.719952121563398E-2</v>
      </c>
      <c r="X33" s="386">
        <v>20</v>
      </c>
      <c r="Y33" s="384">
        <f t="shared" ref="Y33:Y38" si="7">31.536*(AE33/1000)</f>
        <v>0.15768000000000001</v>
      </c>
      <c r="Z33" s="386"/>
      <c r="AA33" s="386"/>
      <c r="AB33" s="386"/>
      <c r="AC33" s="387">
        <f>AD33*U33</f>
        <v>0.1514532091687224</v>
      </c>
      <c r="AD33" s="387">
        <f>IF(((D31+I31+D38+I38+D40+I40)*$B$2)&lt;=0,0,((D31+I31+D38+I38+D40+I40)*T33*$B$2))</f>
        <v>0.27143082290667919</v>
      </c>
      <c r="AE33" s="386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8">M33</f>
        <v>R-WH_Att_COA_X0</v>
      </c>
      <c r="AJ33" s="291" t="str">
        <f t="shared" si="8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8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89">
        <f>E32/SUM($E$31:$E$49)</f>
        <v>7.2735383824620442E-6</v>
      </c>
      <c r="S34" s="390">
        <f>R34*DwellingStocks!$P$28/1000</f>
        <v>5.6450248051366754E-3</v>
      </c>
      <c r="T34" s="391">
        <f>IFERROR((S34*1000)/E32,0)</f>
        <v>1.8816749350455586</v>
      </c>
      <c r="U34" s="557">
        <f>U8</f>
        <v>1</v>
      </c>
      <c r="V34" s="1214">
        <f t="shared" si="5"/>
        <v>4.8905631659056321E-2</v>
      </c>
      <c r="W34" s="1214">
        <f t="shared" si="6"/>
        <v>9.7811263318112643E-2</v>
      </c>
      <c r="X34" s="392">
        <v>20</v>
      </c>
      <c r="Y34" s="553">
        <f t="shared" si="7"/>
        <v>0.15768000000000001</v>
      </c>
      <c r="Z34" s="392"/>
      <c r="AA34" s="392"/>
      <c r="AB34" s="392"/>
      <c r="AC34" s="393">
        <f>AD34*U34</f>
        <v>7.9147763787860303E-5</v>
      </c>
      <c r="AD34" s="394">
        <f>IF(((D32+I32)*$B$2)&lt;=0,0,((D32+I32)*T34*$B$2))</f>
        <v>7.9147763787860303E-5</v>
      </c>
      <c r="AE34" s="549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8"/>
        <v>R-WH_Att_BDL_X0</v>
      </c>
      <c r="AJ34" s="26" t="str">
        <f t="shared" si="8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2">
        <f>E33/SUM($E$31:$E$49)</f>
        <v>2.4245127941540146E-6</v>
      </c>
      <c r="S35" s="383">
        <f>R35*DwellingStocks!$P$28/1000</f>
        <v>1.8816749350455584E-3</v>
      </c>
      <c r="T35" s="384">
        <f>IFERROR((S35*1000)/E33,0)</f>
        <v>1.8816749350455584</v>
      </c>
      <c r="U35" s="558">
        <v>0.9</v>
      </c>
      <c r="V35" s="1194">
        <f t="shared" si="5"/>
        <v>3.6966780821917809E-2</v>
      </c>
      <c r="W35" s="1194">
        <f t="shared" si="6"/>
        <v>7.3933561643835619E-2</v>
      </c>
      <c r="X35" s="386">
        <v>20</v>
      </c>
      <c r="Y35" s="384">
        <f t="shared" si="7"/>
        <v>0.15768000000000001</v>
      </c>
      <c r="Z35" s="386"/>
      <c r="AA35" s="386"/>
      <c r="AB35" s="386"/>
      <c r="AC35" s="387">
        <f>IFERROR(AD35*U35,0)</f>
        <v>1.9942066228610229E-5</v>
      </c>
      <c r="AD35" s="387">
        <f>IF(((D33+I33)*$B$2)&lt;=0,0,((D33+I33)*T35*$B$2))</f>
        <v>2.2157851365122476E-5</v>
      </c>
      <c r="AE35" s="386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8"/>
        <v>R-WH_Att_ETH_X0</v>
      </c>
      <c r="AJ35" s="291" t="str">
        <f t="shared" si="8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8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89">
        <f>(E34+E35)/SUM($E$31:$E$49)-($R$51/7)</f>
        <v>9.9423935760109012E-3</v>
      </c>
      <c r="S36" s="390">
        <f>(R36)*DwellingStocks!$P$28/1000</f>
        <v>7.7163349401361252</v>
      </c>
      <c r="T36" s="391">
        <f>IFERROR((S36*1000)/(E34+E35),0)+0.5456</f>
        <v>2.1908739744426708</v>
      </c>
      <c r="U36" s="557">
        <f>U10</f>
        <v>0.8070757743362833</v>
      </c>
      <c r="V36" s="1214">
        <f t="shared" si="5"/>
        <v>5.417378281945217E-2</v>
      </c>
      <c r="W36" s="1214">
        <f t="shared" si="6"/>
        <v>0.10834756563890434</v>
      </c>
      <c r="X36" s="392">
        <v>20</v>
      </c>
      <c r="Y36" s="553">
        <f t="shared" si="7"/>
        <v>0.15768000000000001</v>
      </c>
      <c r="Z36" s="392"/>
      <c r="AA36" s="392"/>
      <c r="AB36" s="392"/>
      <c r="AC36" s="393">
        <f>AD36*U36</f>
        <v>0.11984340914547004</v>
      </c>
      <c r="AD36" s="394">
        <f>IF(((D34+I34+D35+I35)*$B$2)&lt;=0,0,((D34+I34+D35+I35)*T36*$B$2))</f>
        <v>0.1484909012961341</v>
      </c>
      <c r="AE36" s="549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8"/>
        <v>R-WH_Att_LPG_X0</v>
      </c>
      <c r="AJ36" s="26" t="str">
        <f t="shared" si="8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2">
        <f>(ArchetypeDemand!AX51*SUM(E36+E49))/SUM($E$31:$E$49)-($R$51/7)</f>
        <v>5.2846571981360342E-2</v>
      </c>
      <c r="S37" s="383">
        <f>R37*DwellingStocks!$P$28/1000</f>
        <v>41.014454590702329</v>
      </c>
      <c r="T37" s="384">
        <f>IFERROR((S37*1000)/E49,0)-0.58345</f>
        <v>2.6346319608240352</v>
      </c>
      <c r="U37" s="555">
        <f>U11</f>
        <v>1</v>
      </c>
      <c r="V37" s="1194">
        <f t="shared" si="5"/>
        <v>3.5246254189673726E-2</v>
      </c>
      <c r="W37" s="1194">
        <f t="shared" si="6"/>
        <v>7.0492508379347452E-2</v>
      </c>
      <c r="X37" s="386">
        <v>20</v>
      </c>
      <c r="Y37" s="384">
        <f t="shared" si="7"/>
        <v>0.15768000000000001</v>
      </c>
      <c r="Z37" s="386"/>
      <c r="AA37" s="386"/>
      <c r="AB37" s="386"/>
      <c r="AC37" s="387">
        <f>AD37*U37</f>
        <v>0.41444206735167455</v>
      </c>
      <c r="AD37" s="387">
        <f>IF(((D49+I49)*$B$2)&lt;=0,0,((D49+I49)*T37*$B$2))</f>
        <v>0.41444206735167455</v>
      </c>
      <c r="AE37" s="386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8"/>
        <v>R-WH_Att_ELC_X0</v>
      </c>
      <c r="AJ37" s="291" t="str">
        <f t="shared" si="8"/>
        <v>Residential Water Heating Attached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8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89">
        <f>(ArchetypeDemand!AY51*SUM(E36+E49))/SUM($E$31:$E$49)-($R$51/7)</f>
        <v>2.7796505792161065E-2</v>
      </c>
      <c r="S38" s="390">
        <f>R38*DwellingStocks!$P$28/1000</f>
        <v>21.57298916181162</v>
      </c>
      <c r="T38" s="391">
        <f>IFERROR((S38*1000)/E36,0)-0.008</f>
        <v>0.98637608489567274</v>
      </c>
      <c r="U38" s="557">
        <f>U12</f>
        <v>3.1157627118644071</v>
      </c>
      <c r="V38" s="1214">
        <f t="shared" si="5"/>
        <v>7.8167556821745351E-2</v>
      </c>
      <c r="W38" s="1214">
        <f t="shared" si="6"/>
        <v>0.1563351136434907</v>
      </c>
      <c r="X38" s="392">
        <v>20</v>
      </c>
      <c r="Y38" s="553">
        <f t="shared" si="7"/>
        <v>0.15768000000000001</v>
      </c>
      <c r="Z38" s="392"/>
      <c r="AA38" s="392"/>
      <c r="AB38" s="392"/>
      <c r="AC38" s="393">
        <f>AD38*U38</f>
        <v>0.48344913227841591</v>
      </c>
      <c r="AD38" s="394">
        <f>IF(((D49+I49)*$B$2)&lt;=0,0,((D49+I49)*T38*$B$2))</f>
        <v>0.15516237178059367</v>
      </c>
      <c r="AE38" s="549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8"/>
        <v>R-WH_Att_ELC_X1</v>
      </c>
      <c r="AJ38" s="26" t="str">
        <f t="shared" si="8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4"/>
      <c r="W39" s="1214"/>
      <c r="X39" s="392"/>
      <c r="Y39" s="553"/>
      <c r="Z39" s="392"/>
      <c r="AA39" s="392"/>
      <c r="AB39" s="392">
        <f>AD39/AC38</f>
        <v>0.29337385075504274</v>
      </c>
      <c r="AC39" s="393"/>
      <c r="AD39" s="394">
        <f>RSD_Balance!J22</f>
        <v>0.14183133358070291</v>
      </c>
      <c r="AE39" s="386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2">
        <f>E37/SUM($E$31:$E$49)-($R$51/7)</f>
        <v>0.2981830216218051</v>
      </c>
      <c r="S40" s="383">
        <f>R40*DwellingStocks!$P$28/1000</f>
        <v>231.42114126796241</v>
      </c>
      <c r="T40" s="437">
        <f>IFERROR((S40*1000)/E37,0)+0.2021</f>
        <v>2.0748029622901081</v>
      </c>
      <c r="U40" s="555">
        <f>U14</f>
        <v>0.81941558441558437</v>
      </c>
      <c r="V40" s="1194">
        <f t="shared" si="5"/>
        <v>4.6850837552784859E-2</v>
      </c>
      <c r="W40" s="1194">
        <f t="shared" ref="W40" si="9">IFERROR((AC40/S40/Y40)*$AR$4,0)</f>
        <v>9.3701675105569718E-2</v>
      </c>
      <c r="X40" s="386">
        <v>20</v>
      </c>
      <c r="Y40" s="384">
        <f>31.536*(AE36/1000)</f>
        <v>0.15768000000000001</v>
      </c>
      <c r="Z40" s="386"/>
      <c r="AA40" s="386"/>
      <c r="AB40" s="386"/>
      <c r="AC40" s="387">
        <f>AD40*U40</f>
        <v>3.1083814744831755</v>
      </c>
      <c r="AD40" s="387">
        <f>IF(((D37+I37)*$B$2)&lt;=0,0,((D37+I37)*T40*$B$2))</f>
        <v>3.7934126877756484</v>
      </c>
      <c r="AE40" s="386">
        <v>5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8" t="s">
        <v>252</v>
      </c>
      <c r="M41" s="398" t="s">
        <v>252</v>
      </c>
      <c r="N41" s="395"/>
      <c r="O41" s="395"/>
      <c r="P41" s="395"/>
      <c r="Q41" s="395"/>
      <c r="R41" s="396"/>
      <c r="S41" s="397"/>
      <c r="T41" s="395"/>
      <c r="U41" s="559"/>
      <c r="V41" s="1215"/>
      <c r="W41" s="1215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2">
        <f>E39/SUM($E$31:$E$49)-($R$51/7)</f>
        <v>0.54301032357547752</v>
      </c>
      <c r="S42" s="383">
        <f>R42*DwellingStocks!$P$28/1000</f>
        <v>421.43267620886292</v>
      </c>
      <c r="T42" s="437">
        <f>IFERROR((S42*1000)/E39,0)-0.163425</f>
        <v>1.7133125452397751</v>
      </c>
      <c r="U42" s="555">
        <f>U16</f>
        <v>0.81729411764705884</v>
      </c>
      <c r="V42" s="1194">
        <f t="shared" si="5"/>
        <v>3.8472729745358564E-2</v>
      </c>
      <c r="W42" s="1194">
        <f t="shared" ref="W42" si="10">IFERROR((AC42/S42/Y42)*$AR$4,0)</f>
        <v>7.6945459490717127E-2</v>
      </c>
      <c r="X42" s="386">
        <v>20</v>
      </c>
      <c r="Y42" s="384">
        <f>31.536*(AE38/1000)</f>
        <v>0.15768000000000001</v>
      </c>
      <c r="Z42" s="386"/>
      <c r="AA42" s="386"/>
      <c r="AB42" s="386"/>
      <c r="AC42" s="387">
        <f>AD42*U42</f>
        <v>4.6483104897486269</v>
      </c>
      <c r="AD42" s="387">
        <f>IF(((D39+I39)*$B$2)&lt;=0,0,((D39+I39)*T42*$B$2))</f>
        <v>5.6874390618775479</v>
      </c>
      <c r="AE42" s="386">
        <v>5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8" t="s">
        <v>252</v>
      </c>
      <c r="M43" s="398" t="s">
        <v>252</v>
      </c>
      <c r="N43" s="395"/>
      <c r="O43" s="395"/>
      <c r="P43" s="395"/>
      <c r="Q43" s="395"/>
      <c r="R43" s="396"/>
      <c r="S43" s="397"/>
      <c r="T43" s="395"/>
      <c r="U43" s="559"/>
      <c r="V43" s="1215"/>
      <c r="W43" s="1215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2">
        <f>(E41+E42)/SUM($E$31:$E$49)</f>
        <v>1.5516881882585694E-3</v>
      </c>
      <c r="S44" s="383">
        <f>R44*DwellingStocks!$P$28/1000</f>
        <v>1.2042719584291575</v>
      </c>
      <c r="T44" s="384">
        <f>(S44*1000)/(E42+E41)+0.4445</f>
        <v>2.3261749350455583</v>
      </c>
      <c r="U44" s="555">
        <f>U18</f>
        <v>0.5509294871794872</v>
      </c>
      <c r="V44" s="1194">
        <f t="shared" si="5"/>
        <v>4.6876900038236413E-2</v>
      </c>
      <c r="W44" s="1194">
        <f t="shared" ref="W44" si="11">IFERROR((AC44/S44/Y44)*$AR$4,0)</f>
        <v>9.3753800076472826E-2</v>
      </c>
      <c r="X44" s="386">
        <v>20</v>
      </c>
      <c r="Y44" s="384">
        <f>31.536*(AE40/1000)</f>
        <v>0.15768000000000001</v>
      </c>
      <c r="Z44" s="386"/>
      <c r="AA44" s="386"/>
      <c r="AB44" s="386"/>
      <c r="AC44" s="387">
        <f>AD44*U44</f>
        <v>1.6184428927717775E-2</v>
      </c>
      <c r="AD44" s="387">
        <f>IF(((D41+I41+D42+I42)*$B$2)&lt;=0,0,((D41+I41+D42+I42)*T44*$B$2))</f>
        <v>2.9376588663959192E-2</v>
      </c>
      <c r="AE44" s="386">
        <v>5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8" t="s">
        <v>252</v>
      </c>
      <c r="M45" s="398" t="s">
        <v>252</v>
      </c>
      <c r="N45" s="395"/>
      <c r="O45" s="395"/>
      <c r="P45" s="395"/>
      <c r="Q45" s="395"/>
      <c r="R45" s="396"/>
      <c r="S45" s="397"/>
      <c r="T45" s="395"/>
      <c r="U45" s="559"/>
      <c r="V45" s="1215"/>
      <c r="W45" s="1215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89">
        <f>E43/SUM($E$31:$E$49)-($R$51/7)</f>
        <v>3.9012301977917531E-2</v>
      </c>
      <c r="S46" s="390">
        <f>R46*DwellingStocks!$P$28/1000</f>
        <v>30.277617411332368</v>
      </c>
      <c r="T46" s="391">
        <f>(S46*1000)/E43-0.19617</f>
        <v>1.6190348807753219</v>
      </c>
      <c r="U46" s="556">
        <f>U20</f>
        <v>0.57113772455089817</v>
      </c>
      <c r="V46" s="1214">
        <f>W46*$AQ$5</f>
        <v>2.4345673125445921E-3</v>
      </c>
      <c r="W46" s="1214">
        <f>IFERROR((AC46/S46/Y46)*$AR$4,0)</f>
        <v>1.217283656272296E-2</v>
      </c>
      <c r="X46" s="392">
        <v>20</v>
      </c>
      <c r="Y46" s="553">
        <f>31.536*(AE42/1000)</f>
        <v>0.15768000000000001</v>
      </c>
      <c r="Z46" s="504">
        <f>RSD_Balance!$H$2</f>
        <v>0.19400000000000001</v>
      </c>
      <c r="AA46" s="392">
        <v>5</v>
      </c>
      <c r="AB46" s="392"/>
      <c r="AC46" s="393">
        <f>AD46*$U$46</f>
        <v>5.2832044098484403E-2</v>
      </c>
      <c r="AD46" s="394">
        <f>IF(((D43+I43)*$B$2)&lt;=0,0,((D43+I43)*T46*$B$2))*Z46</f>
        <v>9.2503159618860298E-2</v>
      </c>
      <c r="AE46" s="549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2">M49</f>
        <v>R-WH_Att_WOO_X0</v>
      </c>
      <c r="AJ46" s="26" t="str">
        <f t="shared" si="12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RSD_Balance!$H$3</f>
        <v>0.74399999999999999</v>
      </c>
      <c r="AA47" s="386">
        <v>5</v>
      </c>
      <c r="AB47" s="386"/>
      <c r="AC47" s="387">
        <f>AD47*$U$46</f>
        <v>0.20261361241892986</v>
      </c>
      <c r="AD47" s="387">
        <f>IF(((D43+I43)*$B$2)&lt;=0,0,((D43+I43)*T46*$B$2))*Z47</f>
        <v>0.35475438534243331</v>
      </c>
      <c r="AE47" s="386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2"/>
        <v>R-WH_Att_HET_X0</v>
      </c>
      <c r="AJ47" s="291" t="str">
        <f t="shared" si="12"/>
        <v>Residential Water Heating Attached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4"/>
      <c r="W48" s="1214"/>
      <c r="X48" s="392"/>
      <c r="Y48" s="553"/>
      <c r="Z48" s="504">
        <f>RSD_Balance!$H$4</f>
        <v>6.2E-2</v>
      </c>
      <c r="AA48" s="392">
        <v>5</v>
      </c>
      <c r="AB48" s="392"/>
      <c r="AC48" s="393">
        <f>AD48*$U$46</f>
        <v>1.6884467701577487E-2</v>
      </c>
      <c r="AD48" s="394">
        <f>IF(((D43+I43)*$B$2)&lt;=0,0,((D43+I43)*T46*$B$2))*Z48</f>
        <v>2.9562865445202775E-2</v>
      </c>
      <c r="AE48" s="549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2"/>
        <v>R-WH_Att_SOL_X0</v>
      </c>
      <c r="AJ48" s="26" t="str">
        <f t="shared" si="12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2">
        <f>(E47+E44+E45+E46)/SUM($E$31:$E$49)</f>
        <v>1.1758887051646972E-3</v>
      </c>
      <c r="S49" s="383">
        <f>R49*DwellingStocks!$P$28/1000</f>
        <v>0.91261234349709597</v>
      </c>
      <c r="T49" s="384">
        <f>(S49*1000)/(E47+E44+E45+E46)+0.1165</f>
        <v>1.9981749350455587</v>
      </c>
      <c r="U49" s="555">
        <f>U23</f>
        <v>0.70400656814449913</v>
      </c>
      <c r="V49" s="1194">
        <f>W49*$AQ$4</f>
        <v>3.5448127315867113E-2</v>
      </c>
      <c r="W49" s="1194">
        <f>IFERROR((AC49/S49/Y49)*$AR$4,0)</f>
        <v>7.0896254631734226E-2</v>
      </c>
      <c r="X49" s="386">
        <v>20</v>
      </c>
      <c r="Y49" s="384">
        <f>31.536*(AE49/1000)</f>
        <v>0.15768000000000001</v>
      </c>
      <c r="Z49" s="386"/>
      <c r="AA49" s="386"/>
      <c r="AB49" s="386"/>
      <c r="AC49" s="387">
        <f>AD49*U49</f>
        <v>9.2745651675500539E-3</v>
      </c>
      <c r="AD49" s="387">
        <f>IF(((D44+I44+D45+I45+D46+I46+D47+I47)*$B$2)&lt;=0,0,((D44+I44+D45+I45+D46+I46+D47+I47)*T49*$B$2))</f>
        <v>1.3173975339455109E-2</v>
      </c>
      <c r="AE49" s="386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8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89">
        <f>E48/SUM($E$31:$E$49)</f>
        <v>2.465729511654633E-3</v>
      </c>
      <c r="S50" s="390">
        <f>R50*DwellingStocks!$P$28/1000</f>
        <v>1.9136634089413331</v>
      </c>
      <c r="T50" s="391">
        <f>(S50*1000)/E48</f>
        <v>1.8816749350455586</v>
      </c>
      <c r="U50" s="557">
        <f>U24</f>
        <v>0.98</v>
      </c>
      <c r="V50" s="1214">
        <f>W50*$AQ$4</f>
        <v>4.3150603022105933E-3</v>
      </c>
      <c r="W50" s="1214">
        <f>IFERROR((AC50/S50/Y50)*$AR$4,0)</f>
        <v>8.6301206044211865E-3</v>
      </c>
      <c r="X50" s="392">
        <v>20</v>
      </c>
      <c r="Y50" s="553">
        <f>31.536*(AE50/1000)</f>
        <v>0.15768000000000001</v>
      </c>
      <c r="Z50" s="392"/>
      <c r="AA50" s="392"/>
      <c r="AB50" s="392"/>
      <c r="AC50" s="393">
        <f>AD50*U50</f>
        <v>2.3673711124665791E-3</v>
      </c>
      <c r="AD50" s="394">
        <f>IF(((D48+I48)*$B$2)&lt;=0,0,((D48+I48)*T50*$B$2))</f>
        <v>2.4156848086393664E-3</v>
      </c>
      <c r="AE50" s="549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2">
        <v>0.01</v>
      </c>
      <c r="S51" s="383">
        <f>R51*DwellingStocks!$P$28/1000</f>
        <v>7.7610435365928074</v>
      </c>
      <c r="T51" s="384">
        <f>MAX(T33:T50)</f>
        <v>2.6346319608240352</v>
      </c>
      <c r="U51" s="555">
        <v>1</v>
      </c>
      <c r="V51" s="1194">
        <f>W51*$AQ$4</f>
        <v>0.11958717852417194</v>
      </c>
      <c r="W51" s="1194">
        <f>IFERROR((AC51/S51/Y51)*$AR$4,0)</f>
        <v>0.23917435704834389</v>
      </c>
      <c r="X51" s="386">
        <v>20</v>
      </c>
      <c r="Y51" s="384">
        <f>31.536*(AE51/1000)</f>
        <v>0.15768000000000001</v>
      </c>
      <c r="Z51" s="386"/>
      <c r="AA51" s="386"/>
      <c r="AB51" s="386"/>
      <c r="AC51" s="387">
        <f>AD51*U51</f>
        <v>0.26608393894100396</v>
      </c>
      <c r="AD51" s="387">
        <f>RSD_Balance!J18</f>
        <v>0.26608393894100396</v>
      </c>
      <c r="AE51" s="386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8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776.10435365928072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9.4922193003738293</v>
      </c>
      <c r="AD54" s="375">
        <f>SUM(AD31:AD52)</f>
        <v>11.400181150343688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637</v>
      </c>
      <c r="N56" s="49"/>
      <c r="O56" s="49"/>
      <c r="P56" s="49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27" t="s">
        <v>698</v>
      </c>
      <c r="AA57" s="2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4">
        <f>DwellingStocks!P28/1000</f>
        <v>776.10435365928083</v>
      </c>
      <c r="T59" s="291">
        <f>(S59*1000)/SUM(G54:G62)-0.188</f>
        <v>1.682320258096677</v>
      </c>
      <c r="U59" s="555">
        <v>0.4</v>
      </c>
      <c r="V59" s="1194">
        <f>W59*$AQ$4</f>
        <v>0.16388126507363593</v>
      </c>
      <c r="W59" s="1194">
        <f>IFERROR((AC59/S59/Y59)*$AR$4,0)</f>
        <v>0.32776253014727186</v>
      </c>
      <c r="X59" s="386">
        <v>10</v>
      </c>
      <c r="Y59" s="1221">
        <f>31.536*(AE59/1000)</f>
        <v>3.0747599999999997E-3</v>
      </c>
      <c r="Z59" s="386"/>
      <c r="AA59" s="386"/>
      <c r="AB59" s="386"/>
      <c r="AC59" s="387">
        <f>AD59*U59</f>
        <v>0.71104643057697769</v>
      </c>
      <c r="AD59" s="387">
        <f>(D54+D55+D56+D57+D58+D59+D60+D61+D62)*T59*$B$2</f>
        <v>1.777616076442444</v>
      </c>
      <c r="AE59" s="383">
        <f>0.0065*15</f>
        <v>9.7499999999999989E-2</v>
      </c>
      <c r="AF59" s="261"/>
      <c r="AG59" s="388" t="s">
        <v>264</v>
      </c>
      <c r="AH59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R-PF_Att_X0</v>
      </c>
      <c r="AJ59" s="388" t="str">
        <f>N60</f>
        <v>Residential Pumps &amp; Fans Attached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LEFT(SETUP!B3,1)&amp;"-"&amp;RIGHT(COMM!$O$37,6)&amp;"_"&amp;SETUP!$B$66</f>
        <v>R-PF_Att_X0</v>
      </c>
      <c r="N60" s="388" t="str">
        <f>COMM!$P$37&amp;" "&amp;SETUP!$C$66</f>
        <v>Residential Pumps &amp; Fans Attached Existing 00</v>
      </c>
      <c r="O60" s="388" t="str">
        <f>COMM!E24</f>
        <v>RSDELC</v>
      </c>
      <c r="P60" s="388"/>
      <c r="Q60" s="388" t="str">
        <f>COMM!$O$37</f>
        <v>RSDPF_Att</v>
      </c>
      <c r="R60" s="388">
        <v>1</v>
      </c>
      <c r="S60" s="561">
        <f>DwellingStocks!P28/1000</f>
        <v>776.10435365928083</v>
      </c>
      <c r="T60" s="388">
        <f>(S60*1000)/SUM(G54:G62)-0.188</f>
        <v>1.682320258096677</v>
      </c>
      <c r="U60" s="562">
        <v>0.6</v>
      </c>
      <c r="V60" s="1216">
        <f>W60*$AQ$4</f>
        <v>0.13274071743680874</v>
      </c>
      <c r="W60" s="1216">
        <f>IFERROR((AC60/S60/Y60)*$AR$4,0)</f>
        <v>0.26548143487361747</v>
      </c>
      <c r="X60" s="563">
        <v>15</v>
      </c>
      <c r="Y60" s="1222">
        <f>31.536*(AE60/1000)</f>
        <v>1.5768000000000002E-3</v>
      </c>
      <c r="Z60" s="563"/>
      <c r="AA60" s="563"/>
      <c r="AB60" s="563"/>
      <c r="AC60" s="565">
        <f>AD60*U60</f>
        <v>0.29535083433966691</v>
      </c>
      <c r="AD60" s="394">
        <f>(F54+F55+F56+F57+F58+F59+F60+F61+F62)*T60*$B$2</f>
        <v>0.4922513905661115</v>
      </c>
      <c r="AE60" s="548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R1" zoomScale="60" zoomScaleNormal="60" workbookViewId="0">
      <selection activeCell="AR4" sqref="AR4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3" width="12.28515625" style="48" customWidth="1"/>
    <col min="24" max="24" width="8.5703125" style="48" customWidth="1"/>
    <col min="25" max="25" width="12" style="48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5.14062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643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759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644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644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  <c r="AT3" s="261"/>
    </row>
    <row r="4" spans="1:46" ht="15" customHeight="1" thickBot="1">
      <c r="A4" s="261"/>
      <c r="B4" s="1314" t="s">
        <v>631</v>
      </c>
      <c r="C4" s="1315"/>
      <c r="D4" s="1315"/>
      <c r="E4" s="1315"/>
      <c r="F4" s="1315"/>
      <c r="G4" s="1316"/>
      <c r="H4" s="1314" t="s">
        <v>632</v>
      </c>
      <c r="I4" s="1315"/>
      <c r="J4" s="1316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1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1.1000000000000001</v>
      </c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571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2">
        <f>(E7+E14+E16)/SUM($E$7:$E$25)</f>
        <v>6.0080307972788707E-3</v>
      </c>
      <c r="S7" s="384">
        <f>R7*DwellingStocks!$Q$28/1000</f>
        <v>4.3828550552632617</v>
      </c>
      <c r="T7" s="384">
        <f>(S7*1000)/(E7+E14+E16)*DwellingStocks!$AB$27+0.68468</f>
        <v>2.670057144341774</v>
      </c>
      <c r="U7" s="555">
        <f>(G7+G14+G16)/300</f>
        <v>0.61986329460013678</v>
      </c>
      <c r="V7" s="1194">
        <f t="shared" ref="V7:V12" si="0">$AQ$4*W7</f>
        <v>0.22609968578479989</v>
      </c>
      <c r="W7" s="1194">
        <f>IFERROR((AC7/S7/Y7)*$AR$4,0)</f>
        <v>0.45219937156959977</v>
      </c>
      <c r="X7" s="386">
        <v>20</v>
      </c>
      <c r="Y7" s="384">
        <f>31.536*(AE7/1000)</f>
        <v>0.94608000000000003</v>
      </c>
      <c r="Z7" s="386"/>
      <c r="AA7" s="386"/>
      <c r="AB7" s="386"/>
      <c r="AC7" s="387">
        <f>AD7*U7</f>
        <v>1.7045990393860062</v>
      </c>
      <c r="AD7" s="387">
        <f>IF(((D7+I7+D14+I14+D16+I16)*$B$2)&lt;=0,0,((D7+I7+D14+I14+D16+I16)*T7*$B$2))</f>
        <v>2.7499596350282589</v>
      </c>
      <c r="AE7" s="386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89">
        <f>E8/SUM($E$7:$E$25)</f>
        <v>0</v>
      </c>
      <c r="S8" s="391">
        <f>R8*DwellingStocks!$Q$28/1000</f>
        <v>0</v>
      </c>
      <c r="T8" s="391">
        <f>IFERROR((S8*1000)/E8*DwellingStocks!$AB$27,0)</f>
        <v>0</v>
      </c>
      <c r="U8" s="556">
        <v>0.9</v>
      </c>
      <c r="V8" s="1211">
        <f t="shared" si="0"/>
        <v>0</v>
      </c>
      <c r="W8" s="1211">
        <f t="shared" ref="W8:W20" si="2">IFERROR((AC8/S8/Y8)*$AR$4,0)</f>
        <v>0</v>
      </c>
      <c r="X8" s="392">
        <v>20</v>
      </c>
      <c r="Y8" s="553">
        <f t="shared" ref="Y8:Y13" si="3">31.536*(AE8/1000)</f>
        <v>0.94608000000000003</v>
      </c>
      <c r="Z8" s="392"/>
      <c r="AA8" s="392"/>
      <c r="AB8" s="392"/>
      <c r="AC8" s="393">
        <f>IFERROR(AD8*U8,0)</f>
        <v>0</v>
      </c>
      <c r="AD8" s="394">
        <f>IF(((D8+I8)*$B$2)&lt;=0,0,((D8+I8)*T8*$B$2))</f>
        <v>0</v>
      </c>
      <c r="AE8" s="549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2">
        <f>E9/SUM($E$7:$E$25)</f>
        <v>0</v>
      </c>
      <c r="S9" s="384">
        <f>R9*DwellingStocks!$Q$28/1000</f>
        <v>0</v>
      </c>
      <c r="T9" s="384">
        <f>IFERROR((S9*1000)/E9*DwellingStocks!$AB$27,0)</f>
        <v>0</v>
      </c>
      <c r="U9" s="558">
        <v>0.9</v>
      </c>
      <c r="V9" s="1194">
        <f t="shared" si="0"/>
        <v>0</v>
      </c>
      <c r="W9" s="1194">
        <f t="shared" si="2"/>
        <v>0</v>
      </c>
      <c r="X9" s="386">
        <v>20</v>
      </c>
      <c r="Y9" s="384">
        <f t="shared" si="3"/>
        <v>0.94608000000000003</v>
      </c>
      <c r="Z9" s="386"/>
      <c r="AA9" s="386"/>
      <c r="AB9" s="386"/>
      <c r="AC9" s="387">
        <f>IFERROR(AD9*U9,0)</f>
        <v>0</v>
      </c>
      <c r="AD9" s="387">
        <f>IF(((D9+I9)*$B$2)&lt;=0,0,((D9+I9)*T9*$B$2))</f>
        <v>0</v>
      </c>
      <c r="AE9" s="386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419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89">
        <f>(E10+E11)/SUM($E$7:$E$25)</f>
        <v>2.2058324983614461E-2</v>
      </c>
      <c r="S10" s="391">
        <f>(R10)*DwellingStocks!$Q$28/1000</f>
        <v>16.091535550859977</v>
      </c>
      <c r="T10" s="391">
        <f>(S10*1000)/(E10+E11)*DwellingStocks!$AB$27+0.5456</f>
        <v>2.5309771443417741</v>
      </c>
      <c r="U10" s="557">
        <f>(G10+G11)/200</f>
        <v>0.82661774762699336</v>
      </c>
      <c r="V10" s="1211">
        <f t="shared" si="0"/>
        <v>3.8715094978532628E-2</v>
      </c>
      <c r="W10" s="1211">
        <f t="shared" si="2"/>
        <v>7.7430189957065257E-2</v>
      </c>
      <c r="X10" s="392">
        <v>20</v>
      </c>
      <c r="Y10" s="553">
        <f t="shared" si="3"/>
        <v>0.94608000000000003</v>
      </c>
      <c r="Z10" s="392"/>
      <c r="AA10" s="392"/>
      <c r="AB10" s="392"/>
      <c r="AC10" s="393">
        <f>AD10*U10</f>
        <v>1.0716253788349956</v>
      </c>
      <c r="AD10" s="394">
        <f>IF(((D10+I10+D11+I11)*T10*$B$2)&lt;=0,0,((D10+I10+D11+I11)*T10*$B$2))</f>
        <v>1.2963977387508991</v>
      </c>
      <c r="AE10" s="549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2">
        <f>(ArchetypeDemand!AX52*SUM(E12+E25))/SUM($E$7:$E$25)</f>
        <v>4.7184700803833086E-2</v>
      </c>
      <c r="S11" s="384">
        <f>(R11)*DwellingStocks!$Q$28/1000</f>
        <v>34.421212444987617</v>
      </c>
      <c r="T11" s="384">
        <f>(S11*1000)/(E25)*DwellingStocks!$AB$27-0.58345</f>
        <v>3.364768256643472</v>
      </c>
      <c r="U11" s="555">
        <f>(G25)/100</f>
        <v>0.99952095808383234</v>
      </c>
      <c r="V11" s="1194">
        <f t="shared" si="0"/>
        <v>2.4756137287015305E-2</v>
      </c>
      <c r="W11" s="1194">
        <f t="shared" si="2"/>
        <v>4.951227457403061E-2</v>
      </c>
      <c r="X11" s="386">
        <v>20</v>
      </c>
      <c r="Y11" s="384">
        <f t="shared" si="3"/>
        <v>0.94608000000000003</v>
      </c>
      <c r="Z11" s="386"/>
      <c r="AA11" s="386"/>
      <c r="AB11" s="386"/>
      <c r="AC11" s="387">
        <f>AD11*U11</f>
        <v>1.4657983157951395</v>
      </c>
      <c r="AD11" s="387">
        <f>IF(((D25+I25)*T11*$B$2)&lt;=0,0,((D25+I25)*T11*$B$2))</f>
        <v>1.4665008311633614</v>
      </c>
      <c r="AE11" s="386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6">
      <c r="A12" s="380" t="s">
        <v>640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89">
        <f>(ArchetypeDemand!AY52*SUM(E12+E25))/SUM($E$7:$E$25)</f>
        <v>2.0222014630214179E-2</v>
      </c>
      <c r="S12" s="391">
        <f>R12*DwellingStocks!$Q$28/1000</f>
        <v>14.751948190708978</v>
      </c>
      <c r="T12" s="391">
        <f>(S12*1000)/E12*DwellingStocks!$AB$27-0.008</f>
        <v>0.91115291474636206</v>
      </c>
      <c r="U12" s="557">
        <f>G12/100</f>
        <v>3.0897837837837834</v>
      </c>
      <c r="V12" s="1211">
        <f t="shared" si="0"/>
        <v>1.7664674946854662E-2</v>
      </c>
      <c r="W12" s="1211">
        <f t="shared" si="2"/>
        <v>3.5329349893709325E-2</v>
      </c>
      <c r="X12" s="392">
        <v>20</v>
      </c>
      <c r="Y12" s="553">
        <f t="shared" si="3"/>
        <v>0.94608000000000003</v>
      </c>
      <c r="Z12" s="392"/>
      <c r="AA12" s="392"/>
      <c r="AB12" s="392"/>
      <c r="AC12" s="393">
        <f>AD12*U12</f>
        <v>0.44824989951220356</v>
      </c>
      <c r="AD12" s="394">
        <f>IF(((D12+I12)*T12*$B$2)&lt;=0,0,((D12+I12)*T12*$B$2))</f>
        <v>0.14507484370419985</v>
      </c>
      <c r="AE12" s="549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0"/>
      <c r="V13" s="1212"/>
      <c r="W13" s="1212"/>
      <c r="Y13" s="554">
        <f t="shared" si="3"/>
        <v>0.94608000000000003</v>
      </c>
      <c r="AB13" s="1168">
        <f>AD13/AC12</f>
        <v>0.24089812561408908</v>
      </c>
      <c r="AD13" s="546">
        <f>RSD_Balance!H22</f>
        <v>0.10798256059919362</v>
      </c>
      <c r="AE13" s="546">
        <v>30</v>
      </c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6">
      <c r="A14" s="261"/>
      <c r="B14" s="230" t="s">
        <v>421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2">
        <f>E13/SUM($E$7:$E$25)</f>
        <v>0.69522898319258097</v>
      </c>
      <c r="S14" s="384">
        <f>R14*DwellingStocks!$Q$28/1000</f>
        <v>507.16914848892145</v>
      </c>
      <c r="T14" s="384">
        <f>(S14*1000)/E13*DwellingStocks!$AB$27+0.2021</f>
        <v>2.1874771443417744</v>
      </c>
      <c r="U14" s="555">
        <f>G13/100</f>
        <v>0.82280373831775711</v>
      </c>
      <c r="V14" s="1194">
        <f>$AQ$4*W14</f>
        <v>2.692061339903358E-2</v>
      </c>
      <c r="W14" s="1194">
        <f t="shared" si="2"/>
        <v>5.384122679806716E-2</v>
      </c>
      <c r="X14" s="386">
        <v>20</v>
      </c>
      <c r="Y14" s="384">
        <f>31.536*(AE14/1000)</f>
        <v>0.94608000000000003</v>
      </c>
      <c r="Z14" s="386"/>
      <c r="AA14" s="386"/>
      <c r="AB14" s="386"/>
      <c r="AC14" s="387">
        <f>AD14*U14</f>
        <v>23.485669803156991</v>
      </c>
      <c r="AD14" s="387">
        <f>IF(((D13+I13)*$B$2)&lt;=0,0,((D13+I13)*T14*$B$2))</f>
        <v>28.543465117421601</v>
      </c>
      <c r="AE14" s="386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8" t="s">
        <v>252</v>
      </c>
      <c r="M15" s="398" t="s">
        <v>252</v>
      </c>
      <c r="N15" s="395"/>
      <c r="O15" s="395"/>
      <c r="P15" s="395"/>
      <c r="Q15" s="395"/>
      <c r="R15" s="396"/>
      <c r="S15" s="395"/>
      <c r="T15" s="395"/>
      <c r="U15" s="559"/>
      <c r="V15" s="1213"/>
      <c r="W15" s="1213"/>
      <c r="X15" s="395"/>
      <c r="Y15" s="550"/>
      <c r="Z15" s="395"/>
      <c r="AA15" s="395"/>
      <c r="AB15" s="395"/>
      <c r="AC15" s="395"/>
      <c r="AD15" s="395"/>
      <c r="AE15" s="551"/>
      <c r="AF15" s="261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6">
      <c r="A16" s="261"/>
      <c r="B16" s="230" t="s">
        <v>572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2">
        <f>E15/SUM($E$7:$E$25)</f>
        <v>0.15689058980405157</v>
      </c>
      <c r="S16" s="384">
        <f>R16*DwellingStocks!$Q$28/1000</f>
        <v>114.45159617979319</v>
      </c>
      <c r="T16" s="384">
        <f>(S16*1000)/E15*DwellingStocks!$AB$27-0.163425</f>
        <v>1.8219521443417743</v>
      </c>
      <c r="U16" s="555">
        <f>G15/100</f>
        <v>0.82728758169934635</v>
      </c>
      <c r="V16" s="1194">
        <f>$AQ$4*W16</f>
        <v>2.0023536194354017E-2</v>
      </c>
      <c r="W16" s="1194">
        <f t="shared" si="2"/>
        <v>4.0047072388708034E-2</v>
      </c>
      <c r="X16" s="386">
        <v>20</v>
      </c>
      <c r="Y16" s="384">
        <f>31.536*(AE16/1000)</f>
        <v>0.94608000000000003</v>
      </c>
      <c r="Z16" s="386"/>
      <c r="AA16" s="386"/>
      <c r="AB16" s="386"/>
      <c r="AC16" s="387">
        <f>AD16*U16</f>
        <v>3.9421015091220957</v>
      </c>
      <c r="AD16" s="387">
        <f>IF(((D15+I15)*$B$2)&lt;=0,0,((D15+I15)*T16*$B$2))</f>
        <v>4.7650920868708724</v>
      </c>
      <c r="AE16" s="386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422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8" t="s">
        <v>252</v>
      </c>
      <c r="M17" s="398" t="s">
        <v>252</v>
      </c>
      <c r="N17" s="395"/>
      <c r="O17" s="395"/>
      <c r="P17" s="395"/>
      <c r="Q17" s="395"/>
      <c r="R17" s="396"/>
      <c r="S17" s="395"/>
      <c r="T17" s="395"/>
      <c r="U17" s="559"/>
      <c r="V17" s="1213"/>
      <c r="W17" s="1213"/>
      <c r="X17" s="395"/>
      <c r="Y17" s="550"/>
      <c r="Z17" s="395"/>
      <c r="AA17" s="395"/>
      <c r="AB17" s="395"/>
      <c r="AC17" s="395"/>
      <c r="AD17" s="395"/>
      <c r="AE17" s="551"/>
      <c r="AF17" s="261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2">
        <f>(E17+E18)/SUM($E$7:$E$25)</f>
        <v>2.90419545122383E-3</v>
      </c>
      <c r="S18" s="384">
        <f>R18*DwellingStocks!$Q$28/1000</f>
        <v>2.1186089326695763</v>
      </c>
      <c r="T18" s="384">
        <f>(S18*1000)/(E17+E18)*DwellingStocks!$AB$27+0.4445</f>
        <v>2.4298771443417739</v>
      </c>
      <c r="U18" s="555">
        <f>(G17+G18)/200</f>
        <v>0.5457894736842106</v>
      </c>
      <c r="V18" s="1194">
        <f>$AQ$4*W18</f>
        <v>6.3290494112619847E-2</v>
      </c>
      <c r="W18" s="1194">
        <f t="shared" si="2"/>
        <v>0.12658098822523969</v>
      </c>
      <c r="X18" s="386">
        <v>20</v>
      </c>
      <c r="Y18" s="384">
        <f>31.536*(AE18/1000)</f>
        <v>0.94608000000000003</v>
      </c>
      <c r="Z18" s="386"/>
      <c r="AA18" s="386"/>
      <c r="AB18" s="386"/>
      <c r="AC18" s="387">
        <f>AD18*U18</f>
        <v>0.23065053031061525</v>
      </c>
      <c r="AD18" s="387">
        <f>IF(((D17+I17)+D18+I18*$B$2)&lt;=0,0,((D17+I17+D18+I18)*T18*$B$2))</f>
        <v>0.42259981445532202</v>
      </c>
      <c r="AE18" s="386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8" t="s">
        <v>252</v>
      </c>
      <c r="M19" s="398" t="s">
        <v>252</v>
      </c>
      <c r="N19" s="395"/>
      <c r="O19" s="395"/>
      <c r="P19" s="395"/>
      <c r="Q19" s="395"/>
      <c r="R19" s="396"/>
      <c r="S19" s="395"/>
      <c r="T19" s="395"/>
      <c r="U19" s="559"/>
      <c r="V19" s="1213"/>
      <c r="W19" s="1213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89">
        <f>E19/SUM($E$7:$E$25)</f>
        <v>4.3826607101153388E-2</v>
      </c>
      <c r="S20" s="391">
        <f>R20*DwellingStocks!$Q$28/1000</f>
        <v>31.971484995603792</v>
      </c>
      <c r="T20" s="391">
        <f>(S20*1000)/E19*DwellingStocks!$AB$27-0.19617</f>
        <v>1.7892071443417741</v>
      </c>
      <c r="U20" s="556">
        <f>G19/100</f>
        <v>0.61474226804123711</v>
      </c>
      <c r="V20" s="1211">
        <f>$AQ$5*W20</f>
        <v>5.7548574098077974E-3</v>
      </c>
      <c r="W20" s="1211">
        <f t="shared" si="2"/>
        <v>2.8774287049038984E-2</v>
      </c>
      <c r="X20" s="392">
        <v>20</v>
      </c>
      <c r="Y20" s="553">
        <f>31.536*(AE20/1000)</f>
        <v>0.94608000000000003</v>
      </c>
      <c r="Z20" s="504">
        <f>RSD_Balance!$H$2</f>
        <v>0.19400000000000001</v>
      </c>
      <c r="AA20" s="392">
        <v>5</v>
      </c>
      <c r="AB20" s="392"/>
      <c r="AC20" s="393">
        <f>AD20*$U$20</f>
        <v>0.79122965645773691</v>
      </c>
      <c r="AD20" s="394">
        <f>IF(((D19+I19)*$B$2)&lt;=0,0,((D19+I19)*T20*$B$2))*Z20</f>
        <v>1.2870916766124514</v>
      </c>
      <c r="AE20" s="549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2"/>
      <c r="S21" s="384"/>
      <c r="T21" s="384"/>
      <c r="U21" s="558"/>
      <c r="V21" s="1194"/>
      <c r="W21" s="1194"/>
      <c r="X21" s="386"/>
      <c r="Y21" s="384"/>
      <c r="Z21" s="505">
        <f>RSD_Balance!$H$3</f>
        <v>0.74399999999999999</v>
      </c>
      <c r="AA21" s="386">
        <v>5</v>
      </c>
      <c r="AB21" s="386"/>
      <c r="AC21" s="387">
        <f>AD21*$U$20</f>
        <v>3.0344065175492592</v>
      </c>
      <c r="AD21" s="387">
        <f>IF(((D19+I19)*$B$2)&lt;=0,0,((D19+I19)*T20*$B$2))*Z21</f>
        <v>4.9360629247405354</v>
      </c>
      <c r="AE21" s="386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89"/>
      <c r="S22" s="391"/>
      <c r="T22" s="391"/>
      <c r="U22" s="556"/>
      <c r="V22" s="1211"/>
      <c r="W22" s="1211"/>
      <c r="X22" s="392"/>
      <c r="Y22" s="553"/>
      <c r="Z22" s="504">
        <f>RSD_Balance!$H$4</f>
        <v>6.2E-2</v>
      </c>
      <c r="AA22" s="392">
        <v>5</v>
      </c>
      <c r="AB22" s="392"/>
      <c r="AC22" s="393">
        <f>AD22*$U$20</f>
        <v>0.2528672097957716</v>
      </c>
      <c r="AD22" s="394">
        <f>IF(((D19+I19)*$B$2)&lt;=0,0,((D19+I19)*T20*$B$2))*Z22</f>
        <v>0.41133857706171129</v>
      </c>
      <c r="AE22" s="549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2">
        <f>(E20+E21+E22+E23)/SUM($E$7:$E$25)</f>
        <v>4.9608630470321458E-3</v>
      </c>
      <c r="S23" s="384">
        <f>R23*DwellingStocks!$Q$28/1000</f>
        <v>3.6189467760386935</v>
      </c>
      <c r="T23" s="384">
        <f>(S23*1000)/(E20+E21+E22+E23)*DwellingStocks!$AB$27+0.1165</f>
        <v>2.1018771443417741</v>
      </c>
      <c r="U23" s="555">
        <f>(G21+G22+G23)/300</f>
        <v>0.72928609692169366</v>
      </c>
      <c r="V23" s="1194">
        <f>$AQ$4*W23</f>
        <v>5.0431962751917116E-2</v>
      </c>
      <c r="W23" s="1194">
        <f t="shared" ref="W23:W24" si="4">IFERROR((AC23/S23/Y23)*$AR$4,0)</f>
        <v>0.10086392550383423</v>
      </c>
      <c r="X23" s="386">
        <v>20</v>
      </c>
      <c r="Y23" s="384">
        <f>31.536*(AE23/1000)</f>
        <v>0.94608000000000003</v>
      </c>
      <c r="Z23" s="386"/>
      <c r="AA23" s="386"/>
      <c r="AB23" s="386"/>
      <c r="AC23" s="387">
        <f>AD23*U23</f>
        <v>0.31394476009257388</v>
      </c>
      <c r="AD23" s="387">
        <f>IF(((D20+I20+D21+I21+D22+I22+D23+I23)*$B$2)&lt;=0,0,((D20+I20+D21+I21+D22+I22+D23+I23)*T23*$B$2))</f>
        <v>0.43048230511692226</v>
      </c>
      <c r="AE23" s="386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8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89">
        <f>E24/SUM($E$7:$E$25)</f>
        <v>7.156901890175457E-4</v>
      </c>
      <c r="S24" s="391">
        <f>R24*DwellingStocks!$Q$28/1000</f>
        <v>0.52209558652038857</v>
      </c>
      <c r="T24" s="391">
        <f>(S24*1000)/E24*DwellingStocks!$AB$27</f>
        <v>1.9853771443417743</v>
      </c>
      <c r="U24" s="557">
        <v>0.98</v>
      </c>
      <c r="V24" s="1211">
        <f>$AQ$4*W24</f>
        <v>0.16652553788947252</v>
      </c>
      <c r="W24" s="1211">
        <f t="shared" si="4"/>
        <v>0.33305107577894505</v>
      </c>
      <c r="X24" s="392">
        <v>20</v>
      </c>
      <c r="Y24" s="553">
        <f>31.536*(AE24/1000)</f>
        <v>0.94608000000000003</v>
      </c>
      <c r="Z24" s="392"/>
      <c r="AA24" s="392"/>
      <c r="AB24" s="392"/>
      <c r="AC24" s="393">
        <f>AD24*U24</f>
        <v>0.1495533133502652</v>
      </c>
      <c r="AD24" s="394">
        <f>IF(((D24+I24)*$B$2)&lt;=0,0,((D24+I24)*T24*$B$2))</f>
        <v>0.15260542178598491</v>
      </c>
      <c r="AE24" s="549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8"/>
      <c r="M25" s="398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8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729.49943220136686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36.890695933363652</v>
      </c>
      <c r="AD27" s="375">
        <f>SUM(AD6:AD25)</f>
        <v>46.714653533311314</v>
      </c>
      <c r="AE27" s="261"/>
      <c r="AF27" s="261"/>
      <c r="AG27" s="381"/>
      <c r="AH27" s="381"/>
      <c r="AI27" s="381"/>
      <c r="AJ27" s="381"/>
      <c r="AK27" s="381"/>
      <c r="AL27" s="381"/>
      <c r="AM27" s="381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4" t="s">
        <v>631</v>
      </c>
      <c r="C28" s="1315"/>
      <c r="D28" s="1315"/>
      <c r="E28" s="1315"/>
      <c r="F28" s="1315"/>
      <c r="G28" s="1316"/>
      <c r="H28" s="1314" t="s">
        <v>632</v>
      </c>
      <c r="I28" s="1315"/>
      <c r="J28" s="1316"/>
      <c r="K28" s="261"/>
      <c r="L28" s="261"/>
      <c r="M28" s="261"/>
      <c r="N28" s="261"/>
      <c r="O28" s="261"/>
      <c r="P28" s="261"/>
      <c r="Q28" s="261"/>
      <c r="R28" s="261"/>
      <c r="S28" s="261"/>
      <c r="T28" s="436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261"/>
      <c r="AG28" s="381"/>
      <c r="AH28" s="381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645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1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27" t="s">
        <v>698</v>
      </c>
      <c r="AA30" s="2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2">
        <f>(E31+E38+E40)/SUM($E$31:$E$49)-($R$51/7)</f>
        <v>4.2750604037060293E-3</v>
      </c>
      <c r="S33" s="383">
        <f>R33*DwellingStocks!$Q$28/1000</f>
        <v>3.1186541371300947</v>
      </c>
      <c r="T33" s="437">
        <f>IFERROR((S33*1000)/(E31+E38+E40),0)+0.68468</f>
        <v>2.7651697512542324</v>
      </c>
      <c r="U33" s="555">
        <f>U7</f>
        <v>0.61986329460013678</v>
      </c>
      <c r="V33" s="1194">
        <f t="shared" ref="V33:V38" si="5">$AQ$4*W33</f>
        <v>3.4552625764709133E-2</v>
      </c>
      <c r="W33" s="1194">
        <f>IFERROR((AC33/S33/Y33)*$AR$4,0)</f>
        <v>6.9105251529418266E-2</v>
      </c>
      <c r="X33" s="386">
        <v>20</v>
      </c>
      <c r="Y33" s="384">
        <f t="shared" ref="Y33:Y38" si="6">31.536*(AE33/1000)</f>
        <v>0.25228800000000001</v>
      </c>
      <c r="Z33" s="386"/>
      <c r="AA33" s="386"/>
      <c r="AB33" s="386"/>
      <c r="AC33" s="387">
        <f>AD33*U33</f>
        <v>4.9429039846453846E-2</v>
      </c>
      <c r="AD33" s="387">
        <f>IF(((D31+I31+D38+I38+D40+I40)*$B$2)&lt;=0,0,((D31+I31+D38+I38+D40+I40)*T33*$B$2))</f>
        <v>7.9741840300996805E-2</v>
      </c>
      <c r="AE33" s="386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7">M33</f>
        <v>R-WH_Det_COA_X0</v>
      </c>
      <c r="AJ33" s="291" t="str">
        <f t="shared" si="7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8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89">
        <f>E32/SUM($E$31:$E$49)</f>
        <v>7.6099157201833988E-6</v>
      </c>
      <c r="S34" s="390">
        <f>R34*DwellingStocks!$Q$28/1000</f>
        <v>5.5514291969740457E-3</v>
      </c>
      <c r="T34" s="391">
        <f>IFERROR((S34*1000)/E32,0)</f>
        <v>2.7757145984870228</v>
      </c>
      <c r="U34" s="556">
        <v>0.9</v>
      </c>
      <c r="V34" s="1211">
        <f t="shared" si="5"/>
        <v>2.3280821917808222E-2</v>
      </c>
      <c r="W34" s="1211">
        <f t="shared" ref="W34:W46" si="8">IFERROR((AC34/S34/Y34)*$AR$4,0)</f>
        <v>4.6561643835616444E-2</v>
      </c>
      <c r="X34" s="392">
        <v>20</v>
      </c>
      <c r="Y34" s="553">
        <f t="shared" si="6"/>
        <v>0.25228800000000001</v>
      </c>
      <c r="Z34" s="392"/>
      <c r="AA34" s="392"/>
      <c r="AB34" s="392"/>
      <c r="AC34" s="393">
        <f>AD34*U34</f>
        <v>5.9283934451653719E-5</v>
      </c>
      <c r="AD34" s="394">
        <f>IF(((D32+I32)*$B$2)&lt;=0,0,((D32+I32)*T34*$B$2))</f>
        <v>6.5871038279615243E-5</v>
      </c>
      <c r="AE34" s="549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7"/>
        <v>R-WH_Det_BDL_X0</v>
      </c>
      <c r="AJ34" s="26" t="str">
        <f t="shared" si="7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2">
        <f>E33/SUM($E$31:$E$49)</f>
        <v>7.6099157201833988E-6</v>
      </c>
      <c r="S35" s="383">
        <f>R35*DwellingStocks!$Q$28/1000</f>
        <v>5.5514291969740457E-3</v>
      </c>
      <c r="T35" s="384">
        <f>IFERROR((S35*1000)/E33,0)</f>
        <v>2.7757145984870228</v>
      </c>
      <c r="U35" s="558">
        <v>0.9</v>
      </c>
      <c r="V35" s="1194">
        <f t="shared" si="5"/>
        <v>2.6371040239726033E-2</v>
      </c>
      <c r="W35" s="1194">
        <f t="shared" si="8"/>
        <v>5.2742080479452065E-2</v>
      </c>
      <c r="X35" s="386">
        <v>20</v>
      </c>
      <c r="Y35" s="384">
        <f t="shared" si="6"/>
        <v>0.25228800000000001</v>
      </c>
      <c r="Z35" s="386"/>
      <c r="AA35" s="386"/>
      <c r="AB35" s="386"/>
      <c r="AC35" s="387">
        <f>IFERROR(AD35*U35,0)</f>
        <v>6.7153085338364426E-5</v>
      </c>
      <c r="AD35" s="387">
        <f>IF(((D33+I33)*$B$2)&lt;=0,0,((D33+I33)*T35*$B$2))</f>
        <v>7.4614539264849356E-5</v>
      </c>
      <c r="AE35" s="386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7"/>
        <v>R-WH_Det_ETH_X0</v>
      </c>
      <c r="AJ35" s="291" t="str">
        <f t="shared" si="7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8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89">
        <f>(E34+E35)/SUM($E$31:$E$49)-($R$51/7)</f>
        <v>2.0773357685063637E-2</v>
      </c>
      <c r="S36" s="390">
        <f>(R36)*DwellingStocks!$Q$28/1000</f>
        <v>15.154152636169824</v>
      </c>
      <c r="T36" s="391">
        <f>IFERROR((S36*1000)/(E34+E35),0)+0.5456</f>
        <v>3.1427127054275616</v>
      </c>
      <c r="U36" s="557">
        <f>U10</f>
        <v>0.82661774762699336</v>
      </c>
      <c r="V36" s="1211">
        <f t="shared" si="5"/>
        <v>3.7326119211049259E-2</v>
      </c>
      <c r="W36" s="1211">
        <f t="shared" si="8"/>
        <v>7.4652238422098519E-2</v>
      </c>
      <c r="X36" s="392">
        <v>20</v>
      </c>
      <c r="Y36" s="553">
        <f t="shared" si="6"/>
        <v>0.25228800000000001</v>
      </c>
      <c r="Z36" s="392"/>
      <c r="AA36" s="392"/>
      <c r="AB36" s="392"/>
      <c r="AC36" s="393">
        <f>AD36*U36</f>
        <v>0.25946477152648362</v>
      </c>
      <c r="AD36" s="394">
        <f>IF(((D34+I34+D35+I35)*$B$2)&lt;=0,0,((D34+I34+D35+I35)*T36*$B$2))</f>
        <v>0.31388724990642913</v>
      </c>
      <c r="AE36" s="549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7"/>
        <v>R-WH_Det_LPG_X0</v>
      </c>
      <c r="AJ36" s="26" t="str">
        <f t="shared" si="7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2">
        <f>(ArchetypeDemand!AX52*SUM(E36+E49))/SUM($E$31:$E$49)-($R$51/7)</f>
        <v>4.604512680022068E-2</v>
      </c>
      <c r="S37" s="383">
        <f>R37*DwellingStocks!$Q$28/1000</f>
        <v>33.589893856400927</v>
      </c>
      <c r="T37" s="384">
        <f>IFERROR((S37*1000)/E49,0)-0.58345</f>
        <v>4.7491256241309623</v>
      </c>
      <c r="U37" s="555">
        <f>U11</f>
        <v>0.99952095808383234</v>
      </c>
      <c r="V37" s="1194">
        <f t="shared" si="5"/>
        <v>2.5065313468349313E-2</v>
      </c>
      <c r="W37" s="1194">
        <f t="shared" si="8"/>
        <v>5.0130626936698626E-2</v>
      </c>
      <c r="X37" s="386">
        <v>20</v>
      </c>
      <c r="Y37" s="384">
        <f t="shared" si="6"/>
        <v>0.25228800000000001</v>
      </c>
      <c r="Z37" s="386"/>
      <c r="AA37" s="386"/>
      <c r="AB37" s="386"/>
      <c r="AC37" s="387">
        <f>AD37*U37</f>
        <v>0.3862030295065696</v>
      </c>
      <c r="AD37" s="387">
        <f>IF(((D49+I49)*$B$2)&lt;=0,0,((D49+I49)*T37*$B$2))</f>
        <v>0.38638812561464847</v>
      </c>
      <c r="AE37" s="386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7"/>
        <v>R-WH_Det_ELC_X0</v>
      </c>
      <c r="AJ37" s="291" t="str">
        <f t="shared" si="7"/>
        <v>Residential Water Heating Detached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8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89">
        <f>(ArchetypeDemand!AY52*SUM(E36+E49)/SUM($E$31:$E$49)-($R$51/7))</f>
        <v>1.8917299240910908E-2</v>
      </c>
      <c r="S38" s="390">
        <f>R38*DwellingStocks!$Q$28/1000</f>
        <v>13.800159055027857</v>
      </c>
      <c r="T38" s="391">
        <f>IFERROR((S38*1000)/E36,0)-0.008</f>
        <v>1.1894107639937401</v>
      </c>
      <c r="U38" s="557">
        <f>U12</f>
        <v>3.0897837837837834</v>
      </c>
      <c r="V38" s="1211">
        <f t="shared" si="5"/>
        <v>4.7233711349317281E-2</v>
      </c>
      <c r="W38" s="1211">
        <f t="shared" si="8"/>
        <v>9.4467422698634562E-2</v>
      </c>
      <c r="X38" s="392">
        <v>20</v>
      </c>
      <c r="Y38" s="553">
        <f t="shared" si="6"/>
        <v>0.25228800000000001</v>
      </c>
      <c r="Z38" s="392"/>
      <c r="AA38" s="392"/>
      <c r="AB38" s="392"/>
      <c r="AC38" s="393">
        <f>AD38*U38</f>
        <v>0.2989992284177897</v>
      </c>
      <c r="AD38" s="394">
        <f>IF(((D49+I49)*$B$2)&lt;=0,0,((D49+I49)*T38*$B$2))</f>
        <v>9.6770275637744443E-2</v>
      </c>
      <c r="AE38" s="549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7"/>
        <v>R-WH_Det_ELC_X1</v>
      </c>
      <c r="AJ38" s="26" t="str">
        <f t="shared" si="7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1"/>
      <c r="W39" s="1211"/>
      <c r="X39" s="557"/>
      <c r="Y39" s="553">
        <f>31.536*(AE35/1000)</f>
        <v>0.25228800000000001</v>
      </c>
      <c r="Z39" s="392"/>
      <c r="AA39" s="392"/>
      <c r="AB39" s="392">
        <f>AD39/AC38</f>
        <v>0.29621549634635247</v>
      </c>
      <c r="AC39" s="393"/>
      <c r="AD39" s="394">
        <f>RSD_Balance!K22</f>
        <v>8.8568204852951998E-2</v>
      </c>
      <c r="AE39" s="549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2">
        <f>E37/SUM($E$31:$E$49)-($R$51/7)</f>
        <v>0.69549131518368434</v>
      </c>
      <c r="S40" s="383">
        <f>R40*DwellingStocks!$Q$28/1000</f>
        <v>507.3605195274796</v>
      </c>
      <c r="T40" s="437">
        <f>IFERROR((S40*1000)/E37,0)+0.2021</f>
        <v>2.9721248389530501</v>
      </c>
      <c r="U40" s="555">
        <f>U14</f>
        <v>0.82280373831775711</v>
      </c>
      <c r="V40" s="1194">
        <f>$AQ$4*W40</f>
        <v>3.3786145673447308E-2</v>
      </c>
      <c r="W40" s="1194">
        <f t="shared" si="8"/>
        <v>6.7572291346894617E-2</v>
      </c>
      <c r="X40" s="386">
        <v>20</v>
      </c>
      <c r="Y40" s="384">
        <f>31.536*(AE36/1000)</f>
        <v>0.25228800000000001</v>
      </c>
      <c r="Z40" s="386"/>
      <c r="AA40" s="386"/>
      <c r="AB40" s="386"/>
      <c r="AC40" s="387">
        <f>AD40*U40</f>
        <v>7.8630171711285604</v>
      </c>
      <c r="AD40" s="387">
        <f>IF(((D37+I37)*$B$2)&lt;=0,0,((D37+I37)*T40*$B$2))</f>
        <v>9.5563702556878223</v>
      </c>
      <c r="AE40" s="386">
        <v>8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8" t="s">
        <v>252</v>
      </c>
      <c r="M41" s="398" t="s">
        <v>252</v>
      </c>
      <c r="N41" s="395"/>
      <c r="O41" s="395"/>
      <c r="P41" s="395"/>
      <c r="Q41" s="395"/>
      <c r="R41" s="396"/>
      <c r="S41" s="397"/>
      <c r="T41" s="395"/>
      <c r="U41" s="559"/>
      <c r="V41" s="1213"/>
      <c r="W41" s="1213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2">
        <f>E39/SUM($E$31:$E$49)-($R$51/7)</f>
        <v>0.15662937807963778</v>
      </c>
      <c r="S42" s="383">
        <f>R42*DwellingStocks!$Q$28/1000</f>
        <v>114.26104237514899</v>
      </c>
      <c r="T42" s="437">
        <f>IFERROR((S42*1000)/E39,0)-0.163425</f>
        <v>2.5872019228490366</v>
      </c>
      <c r="U42" s="555">
        <f>U16</f>
        <v>0.82728758169934635</v>
      </c>
      <c r="V42" s="1194">
        <f>$AQ$4*W42</f>
        <v>2.8986330094111456E-2</v>
      </c>
      <c r="W42" s="1194">
        <f t="shared" si="8"/>
        <v>5.7972660188222912E-2</v>
      </c>
      <c r="X42" s="386">
        <v>20</v>
      </c>
      <c r="Y42" s="384">
        <f>31.536*(AE38/1000)</f>
        <v>0.25228800000000001</v>
      </c>
      <c r="Z42" s="386"/>
      <c r="AA42" s="386"/>
      <c r="AB42" s="386"/>
      <c r="AC42" s="387">
        <f>AD42*U42</f>
        <v>1.5192362686655614</v>
      </c>
      <c r="AD42" s="387">
        <f>IF(((D39+I39)*$B$2)&lt;=0,0,((D39+I39)*T42*$B$2))</f>
        <v>1.8364064713081645</v>
      </c>
      <c r="AE42" s="386">
        <v>8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8" t="s">
        <v>252</v>
      </c>
      <c r="M43" s="398" t="s">
        <v>252</v>
      </c>
      <c r="N43" s="395"/>
      <c r="O43" s="395"/>
      <c r="P43" s="395"/>
      <c r="Q43" s="395"/>
      <c r="R43" s="396"/>
      <c r="S43" s="397"/>
      <c r="T43" s="395"/>
      <c r="U43" s="559"/>
      <c r="V43" s="1213"/>
      <c r="W43" s="1213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2">
        <f>(E41+E42)/SUM($E$31:$E$49)</f>
        <v>3.0135266251926258E-3</v>
      </c>
      <c r="S44" s="383">
        <f>R44*DwellingStocks!$Q$28/1000</f>
        <v>2.1983659620017222</v>
      </c>
      <c r="T44" s="384">
        <f>IFERROR((S38*1000)/E36,0)+0.4445</f>
        <v>1.64191076399374</v>
      </c>
      <c r="U44" s="555">
        <f>U18</f>
        <v>0.5457894736842106</v>
      </c>
      <c r="V44" s="1194">
        <f>$AQ$4*W44</f>
        <v>1.5708531732460042E-2</v>
      </c>
      <c r="W44" s="1194">
        <f t="shared" si="8"/>
        <v>3.1417063464920084E-2</v>
      </c>
      <c r="X44" s="386">
        <v>20</v>
      </c>
      <c r="Y44" s="384">
        <f>31.536*(AE40/1000)</f>
        <v>0.25228800000000001</v>
      </c>
      <c r="Z44" s="386"/>
      <c r="AA44" s="386"/>
      <c r="AB44" s="386"/>
      <c r="AC44" s="387">
        <f>AD44*U44</f>
        <v>1.5840522008341396E-2</v>
      </c>
      <c r="AD44" s="387">
        <f>IF(((D41+I41+D42+I42)*$B$2)&lt;=0,0,((D41+I41+D42+I42)*T44*$B$2))</f>
        <v>2.9023135791560895E-2</v>
      </c>
      <c r="AE44" s="386">
        <v>8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8" t="s">
        <v>252</v>
      </c>
      <c r="M45" s="398" t="s">
        <v>252</v>
      </c>
      <c r="N45" s="395"/>
      <c r="O45" s="395"/>
      <c r="P45" s="395"/>
      <c r="Q45" s="395"/>
      <c r="R45" s="396"/>
      <c r="S45" s="397"/>
      <c r="T45" s="395"/>
      <c r="U45" s="559"/>
      <c r="V45" s="1213"/>
      <c r="W45" s="1213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89">
        <f>E43/SUM($E$31:$E$49)-($R$51/7)</f>
        <v>3.9265452885109291E-2</v>
      </c>
      <c r="S46" s="390">
        <f>R46*DwellingStocks!$Q$28/1000</f>
        <v>28.644125584816749</v>
      </c>
      <c r="T46" s="391">
        <f>(S46*1000)/E43-0.19617</f>
        <v>2.4821026119510754</v>
      </c>
      <c r="U46" s="556">
        <f>U20</f>
        <v>0.61474226804123711</v>
      </c>
      <c r="V46" s="1211">
        <f>$AQ$5*W46</f>
        <v>1.8661637422734034E-3</v>
      </c>
      <c r="W46" s="1211">
        <f t="shared" si="8"/>
        <v>9.3308187113670168E-3</v>
      </c>
      <c r="X46" s="392">
        <v>20</v>
      </c>
      <c r="Y46" s="553">
        <f>31.536*(AE42/1000)</f>
        <v>0.25228800000000001</v>
      </c>
      <c r="Z46" s="504">
        <f>RSD_Balance!$H$2</f>
        <v>0.19400000000000001</v>
      </c>
      <c r="AA46" s="392">
        <v>5</v>
      </c>
      <c r="AB46" s="392"/>
      <c r="AC46" s="393">
        <f>AD46*$U$46</f>
        <v>6.1299824268655767E-2</v>
      </c>
      <c r="AD46" s="394">
        <f>IF(((D43+I43)*$B$2)&lt;=0,0,((D43+I43)*T46*$B$2))*Z46</f>
        <v>9.9716299749448428E-2</v>
      </c>
      <c r="AE46" s="549">
        <v>8</v>
      </c>
      <c r="AF46" s="506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9">M49</f>
        <v>R-WH_Det_WOO_X0</v>
      </c>
      <c r="AJ46" s="26" t="str">
        <f t="shared" si="9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RSD_Balance!$H$3</f>
        <v>0.74399999999999999</v>
      </c>
      <c r="AA47" s="386">
        <v>5</v>
      </c>
      <c r="AB47" s="386"/>
      <c r="AC47" s="387">
        <f>AD47*$U$46</f>
        <v>0.235087985855051</v>
      </c>
      <c r="AD47" s="387">
        <f>IF(((D43+I43)*$B$2)&lt;=0,0,((D43+I43)*T46*$B$2))*Z47</f>
        <v>0.38241714955458572</v>
      </c>
      <c r="AE47" s="386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9"/>
        <v>R-WH_Det_HET_X0</v>
      </c>
      <c r="AJ47" s="291" t="str">
        <f t="shared" si="9"/>
        <v>Residential Water Heating Detached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1"/>
      <c r="W48" s="1211"/>
      <c r="X48" s="392"/>
      <c r="Y48" s="553"/>
      <c r="Z48" s="504">
        <f>RSD_Balance!$H$4</f>
        <v>6.2E-2</v>
      </c>
      <c r="AA48" s="392">
        <v>5</v>
      </c>
      <c r="AB48" s="392"/>
      <c r="AC48" s="393">
        <f>AD48*$U$46</f>
        <v>1.9590665487920916E-2</v>
      </c>
      <c r="AD48" s="394">
        <f>IF(((D43+I43)*$B$2)&lt;=0,0,((D43+I43)*T46*$B$2))*Z48</f>
        <v>3.1868095796215475E-2</v>
      </c>
      <c r="AE48" s="549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9"/>
        <v>R-WH_Det_SOL_X0</v>
      </c>
      <c r="AJ48" s="26" t="str">
        <f t="shared" si="9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2">
        <f>(E47+E44+E45+E46)/SUM($E$31:$E$49)</f>
        <v>4.8513212716169169E-3</v>
      </c>
      <c r="S49" s="383">
        <f>R49*DwellingStocks!$Q$28/1000</f>
        <v>3.5390361130709538</v>
      </c>
      <c r="T49" s="384">
        <f>(S49*1000)/(E47+E44+E45+E46)+0.1165</f>
        <v>2.8922145984870227</v>
      </c>
      <c r="U49" s="555">
        <f>U23</f>
        <v>0.72928609692169366</v>
      </c>
      <c r="V49" s="1194">
        <f>$AQ$4*W49</f>
        <v>3.0394492649171805E-2</v>
      </c>
      <c r="W49" s="1194">
        <f t="shared" ref="W49:W51" si="10">IFERROR((AC49/S49/Y49)*$AR$4,0)</f>
        <v>6.078898529834361E-2</v>
      </c>
      <c r="X49" s="386">
        <v>20</v>
      </c>
      <c r="Y49" s="384">
        <f>31.536*(AE49/1000)</f>
        <v>0.25228800000000001</v>
      </c>
      <c r="Z49" s="386"/>
      <c r="AA49" s="386"/>
      <c r="AB49" s="386"/>
      <c r="AC49" s="387">
        <f>AD49*U49</f>
        <v>4.9341664637948403E-2</v>
      </c>
      <c r="AD49" s="387">
        <f>IF(((D44+I44+D45+I45+D46+I46+D47+I47)*$B$2)&lt;=0,0,((D44+I44+D45+I45+D46+I46+D47+I47)*T49*$B$2))</f>
        <v>6.7657487022197288E-2</v>
      </c>
      <c r="AE49" s="386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8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89">
        <f>E48/SUM($E$31:$E$49)</f>
        <v>7.2294199341742292E-4</v>
      </c>
      <c r="S50" s="390">
        <f>R50*DwellingStocks!$Q$28/1000</f>
        <v>0.52738577371253426</v>
      </c>
      <c r="T50" s="391">
        <f>(S50*1000)/E48</f>
        <v>2.7757145984870224</v>
      </c>
      <c r="U50" s="557">
        <f>U24</f>
        <v>0.98</v>
      </c>
      <c r="V50" s="1211">
        <f>$AQ$4*W50</f>
        <v>4.1761360609935102E-3</v>
      </c>
      <c r="W50" s="1211">
        <f t="shared" si="10"/>
        <v>8.3522721219870203E-3</v>
      </c>
      <c r="X50" s="392">
        <v>20</v>
      </c>
      <c r="Y50" s="553">
        <f>31.536*(AE50/1000)</f>
        <v>0.25228800000000001</v>
      </c>
      <c r="Z50" s="392"/>
      <c r="AA50" s="392"/>
      <c r="AB50" s="392"/>
      <c r="AC50" s="393">
        <f>AD50*U50</f>
        <v>1.0102688320301927E-3</v>
      </c>
      <c r="AD50" s="394">
        <f>IF(((D48+I48)*$B$2)&lt;=0,0,((D48+I48)*T50*$B$2))</f>
        <v>1.030886563296115E-3</v>
      </c>
      <c r="AE50" s="549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2">
        <v>0.01</v>
      </c>
      <c r="S51" s="383">
        <f>R51*DwellingStocks!$Q$28/1000</f>
        <v>7.294994322013669</v>
      </c>
      <c r="T51" s="384">
        <f>MAX(T33:T50)</f>
        <v>4.7491256241309623</v>
      </c>
      <c r="U51" s="555">
        <v>1</v>
      </c>
      <c r="V51" s="1194">
        <f>$AQ$4*W51</f>
        <v>7.9516965501917752E-2</v>
      </c>
      <c r="W51" s="1194">
        <f t="shared" si="10"/>
        <v>0.1590339310038355</v>
      </c>
      <c r="X51" s="386">
        <v>20</v>
      </c>
      <c r="Y51" s="384">
        <f>31.536*(AE51/1000)</f>
        <v>0.25228800000000001</v>
      </c>
      <c r="Z51" s="386"/>
      <c r="AA51" s="386"/>
      <c r="AB51" s="386"/>
      <c r="AC51" s="387">
        <f>AD51*U51</f>
        <v>0.26608393894100396</v>
      </c>
      <c r="AD51" s="387">
        <f>RSD_Balance!K18</f>
        <v>0.26608393894100396</v>
      </c>
      <c r="AE51" s="386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8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729.49943220136697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11.02473081614216</v>
      </c>
      <c r="AD54" s="375">
        <f>SUM(AD31:AD52)</f>
        <v>13.23606990230461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646</v>
      </c>
      <c r="N56" s="49"/>
      <c r="O56" s="49"/>
      <c r="P56" s="49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27" t="s">
        <v>698</v>
      </c>
      <c r="AA57" s="2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569">
        <f>DwellingStocks!Q28/1000</f>
        <v>729.49943220136686</v>
      </c>
      <c r="T59" s="291">
        <f>(S59*1000)/SUM(G54:G62)-0.188</f>
        <v>2.5597369560601559</v>
      </c>
      <c r="U59" s="555">
        <v>0.4</v>
      </c>
      <c r="V59" s="555">
        <f>$AQ$4*W59</f>
        <v>0.26752767954000201</v>
      </c>
      <c r="W59" s="555">
        <f t="shared" ref="W59:W60" si="11">IFERROR((AC59/S59/Y59)*$AR$4,0)</f>
        <v>0.53505535908000401</v>
      </c>
      <c r="X59" s="386">
        <v>10</v>
      </c>
      <c r="Y59" s="1200">
        <f>ROUNDUP(31.536*(AE59/1000),4)</f>
        <v>3.0999999999999999E-3</v>
      </c>
      <c r="Z59" s="386"/>
      <c r="AA59" s="386"/>
      <c r="AB59" s="386"/>
      <c r="AC59" s="387">
        <f>ROUNDUP(AD59*U59,4)</f>
        <v>1.1000000000000001</v>
      </c>
      <c r="AD59" s="387">
        <f>IF(((D54+D55+D56+D57+D58+D59+D60+D61+D62)*$B$2)&lt;=0,0,((D54+D55+D56+D57+D58+D59+D60+D61+D62)*T59*$B$2))</f>
        <v>2.7497728874091618</v>
      </c>
      <c r="AE59" s="383">
        <f>0.0065*15</f>
        <v>9.7499999999999989E-2</v>
      </c>
      <c r="AF59" s="261"/>
      <c r="AG59" s="388" t="s">
        <v>264</v>
      </c>
      <c r="AH59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R-PF_Det_X0</v>
      </c>
      <c r="AJ59" s="388" t="str">
        <f>N60</f>
        <v>Residential Pumps &amp; Fans Detached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LEFT(SETUP!B3,1)&amp;"-"&amp;RIGHT(COMM!$O$38,6)&amp;"_"&amp;SETUP!$B$66</f>
        <v>R-PF_Det_X0</v>
      </c>
      <c r="N60" s="388" t="str">
        <f>COMM!$P$38&amp;" "&amp;SETUP!$C$66</f>
        <v>Residential Pumps &amp; Fans Detached Existing 00</v>
      </c>
      <c r="O60" s="388" t="str">
        <f>COMM!E24</f>
        <v>RSDELC</v>
      </c>
      <c r="P60" s="388"/>
      <c r="Q60" s="388" t="str">
        <f>COMM!$O$38</f>
        <v>RSDPF_Det</v>
      </c>
      <c r="R60" s="388">
        <v>1</v>
      </c>
      <c r="S60" s="390">
        <f>DwellingStocks!Q28/1000</f>
        <v>729.49943220136686</v>
      </c>
      <c r="T60" s="388">
        <f>(S60*1000)/SUM(G54:G62)-0.188</f>
        <v>2.5597369560601559</v>
      </c>
      <c r="U60" s="562">
        <v>0.6</v>
      </c>
      <c r="V60" s="562">
        <f>$AQ$4*W60</f>
        <v>0.16424337528145094</v>
      </c>
      <c r="W60" s="562">
        <f t="shared" si="11"/>
        <v>0.32848675056290189</v>
      </c>
      <c r="X60" s="563">
        <v>15</v>
      </c>
      <c r="Y60" s="1201">
        <f>31.536*(AE60/1000)</f>
        <v>1.5768000000000002E-3</v>
      </c>
      <c r="Z60" s="563"/>
      <c r="AA60" s="563"/>
      <c r="AB60" s="563"/>
      <c r="AC60" s="565">
        <f>ROUNDUP(AD60*U60,4)</f>
        <v>0.34349999999999997</v>
      </c>
      <c r="AD60" s="394">
        <f>IF(((F54+F55+F56+F57+F58+F59+F60+F61+F62)*$B$2)&lt;=0,0,((F54+F55+F56+F57+F58+F59+F60+F61+F62)*T60*$B$2))</f>
        <v>0.57234812395401602</v>
      </c>
      <c r="AE60" s="548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zoomScale="60" zoomScaleNormal="60" workbookViewId="0">
      <selection activeCell="I3" sqref="I3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27" t="s">
        <v>1093</v>
      </c>
      <c r="I3" s="1127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I4" s="1127"/>
      <c r="J4" s="1127"/>
      <c r="K4" s="1127"/>
      <c r="L4" s="1127"/>
      <c r="M4" s="1127"/>
      <c r="N4" s="1127"/>
      <c r="O4" s="1127"/>
      <c r="P4" s="1127"/>
      <c r="Q4" s="1127"/>
      <c r="R4" s="1127"/>
      <c r="S4" s="1127"/>
      <c r="T4" s="1127"/>
      <c r="U4" s="1127"/>
      <c r="V4" s="1127"/>
      <c r="W4" s="1127"/>
      <c r="X4" s="1127"/>
      <c r="Y4" s="1127"/>
      <c r="Z4" s="1127"/>
      <c r="AA4" s="1127"/>
      <c r="AB4" s="1127"/>
      <c r="AC4" s="1127"/>
      <c r="AD4" s="1127"/>
      <c r="AE4" s="1127"/>
      <c r="AF4" s="1127"/>
      <c r="AG4" s="1127"/>
      <c r="AH4" s="1127"/>
      <c r="AI4" s="1127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0" t="s">
        <v>230</v>
      </c>
      <c r="I5" s="1131" t="s">
        <v>277</v>
      </c>
      <c r="J5" s="1131" t="s">
        <v>655</v>
      </c>
      <c r="K5" s="1131" t="s">
        <v>660</v>
      </c>
      <c r="L5" s="1131" t="s">
        <v>663</v>
      </c>
      <c r="M5" s="1131" t="s">
        <v>664</v>
      </c>
      <c r="N5" s="1131" t="s">
        <v>665</v>
      </c>
      <c r="O5" s="1131" t="s">
        <v>668</v>
      </c>
      <c r="P5" s="1131" t="s">
        <v>669</v>
      </c>
      <c r="Q5" s="1131" t="s">
        <v>671</v>
      </c>
      <c r="R5" s="1131" t="s">
        <v>673</v>
      </c>
      <c r="S5" s="1131" t="s">
        <v>678</v>
      </c>
      <c r="T5" s="1131" t="s">
        <v>679</v>
      </c>
      <c r="U5" s="1131" t="s">
        <v>680</v>
      </c>
      <c r="V5" s="1131" t="s">
        <v>657</v>
      </c>
      <c r="W5" s="1131" t="s">
        <v>658</v>
      </c>
      <c r="X5" s="1131" t="s">
        <v>662</v>
      </c>
      <c r="Y5" s="1131" t="s">
        <v>667</v>
      </c>
      <c r="Z5" s="1131" t="s">
        <v>676</v>
      </c>
      <c r="AA5" s="1131" t="s">
        <v>677</v>
      </c>
      <c r="AB5" s="1131" t="s">
        <v>661</v>
      </c>
      <c r="AC5" s="1131" t="s">
        <v>666</v>
      </c>
      <c r="AD5" s="1131" t="s">
        <v>670</v>
      </c>
      <c r="AE5" s="1131" t="s">
        <v>674</v>
      </c>
      <c r="AF5" s="1131" t="s">
        <v>675</v>
      </c>
      <c r="AG5" s="1131" t="s">
        <v>656</v>
      </c>
      <c r="AH5" s="1131" t="s">
        <v>659</v>
      </c>
      <c r="AI5" s="1131" t="s">
        <v>672</v>
      </c>
      <c r="AJ5" s="1181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2" t="s">
        <v>933</v>
      </c>
      <c r="I6" s="1133" t="s">
        <v>1094</v>
      </c>
      <c r="J6" s="1140">
        <v>1.272084432974631</v>
      </c>
      <c r="K6" s="1140">
        <v>123.31467820831671</v>
      </c>
      <c r="L6" s="1140">
        <v>7.3637968231969131</v>
      </c>
      <c r="M6" s="1140">
        <v>1.7513817529766174</v>
      </c>
      <c r="N6" s="1140">
        <v>1.4349997251520255</v>
      </c>
      <c r="O6" s="1140">
        <v>0.69143208570294923</v>
      </c>
      <c r="P6" s="1140">
        <v>3.0388153054039786</v>
      </c>
      <c r="Q6" s="1140">
        <v>5.4114225176697692</v>
      </c>
      <c r="R6" s="1140">
        <v>1.1752936766265591</v>
      </c>
      <c r="S6" s="1140">
        <v>2.8889605821519497</v>
      </c>
      <c r="T6" s="1140">
        <v>2.6689797196485481</v>
      </c>
      <c r="U6" s="1140">
        <v>4.5131911767694204</v>
      </c>
      <c r="V6" s="1140">
        <v>2.4912235846235253</v>
      </c>
      <c r="W6" s="1140">
        <v>18.164569738528382</v>
      </c>
      <c r="X6" s="1140">
        <v>2.9060721193547803</v>
      </c>
      <c r="Y6" s="1140">
        <v>7.461125800292038</v>
      </c>
      <c r="Z6" s="1140">
        <v>2.3822341251096568</v>
      </c>
      <c r="AA6" s="1140">
        <v>3.1991719442467104</v>
      </c>
      <c r="AB6" s="1140">
        <v>9.8815892011882625</v>
      </c>
      <c r="AC6" s="1140">
        <v>0.54302409251525863</v>
      </c>
      <c r="AD6" s="1140">
        <v>2.1413166117916522</v>
      </c>
      <c r="AE6" s="1140">
        <v>0.67645175529921286</v>
      </c>
      <c r="AF6" s="1140">
        <v>1.6760939551367242</v>
      </c>
      <c r="AG6" s="1140">
        <v>1.271052567009926</v>
      </c>
      <c r="AH6" s="1140">
        <v>2.3929923596273825</v>
      </c>
      <c r="AI6" s="1140">
        <v>1.0275356632394301</v>
      </c>
      <c r="AJ6" s="1140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35" t="s">
        <v>929</v>
      </c>
      <c r="I7" s="1133" t="s">
        <v>1094</v>
      </c>
      <c r="J7" s="1140">
        <v>9.0173696255538793</v>
      </c>
      <c r="K7" s="1140">
        <v>299.73987494657928</v>
      </c>
      <c r="L7" s="1140">
        <v>38.144204386107944</v>
      </c>
      <c r="M7" s="1140">
        <v>12.508441600918088</v>
      </c>
      <c r="N7" s="1140">
        <v>11.510583914522281</v>
      </c>
      <c r="O7" s="1140">
        <v>4.7462770797513549</v>
      </c>
      <c r="P7" s="1140">
        <v>24.289540001760251</v>
      </c>
      <c r="Q7" s="1140">
        <v>27.103374443441172</v>
      </c>
      <c r="R7" s="1140">
        <v>10.239258420802399</v>
      </c>
      <c r="S7" s="1140">
        <v>12.264197780781444</v>
      </c>
      <c r="T7" s="1140">
        <v>18.38550107756636</v>
      </c>
      <c r="U7" s="1140">
        <v>23.167339151815657</v>
      </c>
      <c r="V7" s="1140">
        <v>15.118989670799881</v>
      </c>
      <c r="W7" s="1140">
        <v>91.446903647123108</v>
      </c>
      <c r="X7" s="1140">
        <v>15.686699374231551</v>
      </c>
      <c r="Y7" s="1140">
        <v>31.695949118274743</v>
      </c>
      <c r="Z7" s="1140">
        <v>21.954232438086233</v>
      </c>
      <c r="AA7" s="1140">
        <v>21.769226916806353</v>
      </c>
      <c r="AB7" s="1140">
        <v>27.589465054026704</v>
      </c>
      <c r="AC7" s="1140">
        <v>2.7377793125602312</v>
      </c>
      <c r="AD7" s="1140">
        <v>12.519701036831018</v>
      </c>
      <c r="AE7" s="1140">
        <v>5.3722948402948401</v>
      </c>
      <c r="AF7" s="1140">
        <v>8.8895641738149855</v>
      </c>
      <c r="AG7" s="1140">
        <v>7.7068792520168046</v>
      </c>
      <c r="AH7" s="1140">
        <v>15.881582138278784</v>
      </c>
      <c r="AI7" s="1140">
        <v>6.6191242565355708</v>
      </c>
      <c r="AJ7" s="1140">
        <f t="shared" ref="AJ7:AJ8" si="0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2" t="s">
        <v>937</v>
      </c>
      <c r="I8" s="1133" t="s">
        <v>1094</v>
      </c>
      <c r="J8" s="1140">
        <v>10.817005161415981</v>
      </c>
      <c r="K8" s="1140">
        <v>56.159174425610253</v>
      </c>
      <c r="L8" s="1140">
        <v>30.304517514538837</v>
      </c>
      <c r="M8" s="1140">
        <v>20.891382011189211</v>
      </c>
      <c r="N8" s="1140">
        <v>16.295614216511488</v>
      </c>
      <c r="O8" s="1140">
        <v>9.7189087422298659</v>
      </c>
      <c r="P8" s="1140">
        <v>18.866743201020949</v>
      </c>
      <c r="Q8" s="1140">
        <v>34.324098203443661</v>
      </c>
      <c r="R8" s="1140">
        <v>15.966202026112715</v>
      </c>
      <c r="S8" s="1140">
        <v>16.822932669034671</v>
      </c>
      <c r="T8" s="1140">
        <v>33.878287885206944</v>
      </c>
      <c r="U8" s="1140">
        <v>22.529580764463226</v>
      </c>
      <c r="V8" s="1140">
        <v>26.221499459384844</v>
      </c>
      <c r="W8" s="1140">
        <v>88.706618668082697</v>
      </c>
      <c r="X8" s="1140">
        <v>36.376580790193238</v>
      </c>
      <c r="Y8" s="1140">
        <v>32.750827361563516</v>
      </c>
      <c r="Z8" s="1140">
        <v>34.965040184897767</v>
      </c>
      <c r="AA8" s="1140">
        <v>19.142703253806058</v>
      </c>
      <c r="AB8" s="1140">
        <v>55.372585087977008</v>
      </c>
      <c r="AC8" s="1140">
        <v>9.101160857693543</v>
      </c>
      <c r="AD8" s="1140">
        <v>34.699308942923167</v>
      </c>
      <c r="AE8" s="1140">
        <v>18.080993461874819</v>
      </c>
      <c r="AF8" s="1140">
        <v>14.4942150134912</v>
      </c>
      <c r="AG8" s="1140">
        <v>18.119875348525962</v>
      </c>
      <c r="AH8" s="1140">
        <v>40.738467908725752</v>
      </c>
      <c r="AI8" s="1140">
        <v>14.155109041449583</v>
      </c>
      <c r="AJ8" s="1140">
        <f t="shared" si="0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27"/>
      <c r="I9" s="1127"/>
      <c r="J9" s="1127"/>
      <c r="K9" s="1127"/>
      <c r="L9" s="1127"/>
      <c r="M9" s="1127"/>
      <c r="N9" s="1127"/>
      <c r="O9" s="1127"/>
      <c r="P9" s="1127"/>
      <c r="Q9" s="1127"/>
      <c r="R9" s="1127"/>
      <c r="S9" s="1127"/>
      <c r="T9" s="1127"/>
      <c r="U9" s="1127"/>
      <c r="V9" s="1127"/>
      <c r="W9" s="1127"/>
      <c r="X9" s="1127"/>
      <c r="Y9" s="1127"/>
      <c r="Z9" s="1127"/>
      <c r="AA9" s="1127"/>
      <c r="AB9" s="1127"/>
      <c r="AC9" s="1127"/>
      <c r="AD9" s="1127"/>
      <c r="AE9" s="1127"/>
      <c r="AF9" s="1127"/>
      <c r="AG9" s="1127"/>
      <c r="AH9" s="1127"/>
      <c r="AI9" s="1127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J11" s="1196"/>
      <c r="K11" s="1196"/>
      <c r="L11" s="1196"/>
      <c r="M11" s="1196"/>
      <c r="N11" s="1196"/>
      <c r="O11" s="1196"/>
      <c r="P11" s="1196"/>
      <c r="Q11" s="1196"/>
      <c r="R11" s="1196"/>
      <c r="S11" s="1196"/>
      <c r="T11" s="1196"/>
      <c r="U11" s="1196"/>
      <c r="V11" s="1196"/>
      <c r="W11" s="1196"/>
      <c r="X11" s="1196"/>
      <c r="Y11" s="1196"/>
      <c r="Z11" s="1196"/>
      <c r="AA11" s="1196"/>
      <c r="AB11" s="1196"/>
      <c r="AC11" s="1196"/>
      <c r="AD11" s="1196"/>
      <c r="AE11" s="1196"/>
      <c r="AF11" s="1196"/>
      <c r="AG11" s="1196"/>
      <c r="AH11" s="1196"/>
      <c r="AI11" s="1196"/>
      <c r="CG11" s="1127"/>
      <c r="CH11" s="1127"/>
      <c r="CI11" s="1127"/>
      <c r="CJ11" s="1127"/>
      <c r="CK11" s="1127"/>
      <c r="CL11" s="1127"/>
      <c r="CM11" s="1127"/>
      <c r="CN11" s="1127"/>
      <c r="CO11" s="1127"/>
      <c r="CP11" s="1127"/>
      <c r="CQ11" s="1127"/>
      <c r="CR11" s="1127"/>
      <c r="CS11" s="1127"/>
      <c r="CT11" s="1127"/>
      <c r="CU11" s="1127"/>
      <c r="CV11" s="1127"/>
      <c r="CW11" s="1127"/>
      <c r="CX11" s="1127"/>
      <c r="CY11" s="1127"/>
      <c r="CZ11" s="1127"/>
      <c r="DA11" s="1127"/>
      <c r="DB11" s="1127"/>
      <c r="DC11" s="1127"/>
      <c r="DD11" s="1127"/>
      <c r="DE11" s="1127"/>
      <c r="DF11" s="1127"/>
      <c r="DG11" s="1127"/>
      <c r="DH11" s="1127"/>
      <c r="DI11" s="1127"/>
      <c r="DJ11" s="1127"/>
      <c r="DK11" s="1127"/>
      <c r="DL11" s="1127"/>
      <c r="DM11" s="1127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J12" s="1196"/>
      <c r="K12" s="1196"/>
      <c r="L12" s="1196"/>
      <c r="M12" s="1196"/>
      <c r="N12" s="1196"/>
      <c r="O12" s="1196"/>
      <c r="P12" s="1196"/>
      <c r="Q12" s="1196"/>
      <c r="R12" s="1196"/>
      <c r="S12" s="1196"/>
      <c r="T12" s="1196"/>
      <c r="U12" s="1196"/>
      <c r="V12" s="1196"/>
      <c r="W12" s="1196"/>
      <c r="X12" s="1196"/>
      <c r="Y12" s="1196"/>
      <c r="Z12" s="1196"/>
      <c r="AA12" s="1196"/>
      <c r="AB12" s="1196"/>
      <c r="AC12" s="1196"/>
      <c r="AD12" s="1196"/>
      <c r="AE12" s="1196"/>
      <c r="AF12" s="1196"/>
      <c r="AG12" s="1196"/>
      <c r="AH12" s="1196"/>
      <c r="AI12" s="1196"/>
      <c r="CK12" s="1127"/>
      <c r="CL12" s="1127"/>
      <c r="CM12" s="808" t="s">
        <v>1064</v>
      </c>
      <c r="CN12" s="808"/>
      <c r="CO12" s="808"/>
      <c r="CP12" s="1127"/>
      <c r="CQ12" s="1127"/>
      <c r="CR12" s="1127"/>
      <c r="CS12" s="1127"/>
      <c r="CT12" s="1127"/>
      <c r="CU12" s="1127"/>
      <c r="CV12" s="1127"/>
      <c r="CW12" s="1127"/>
      <c r="CX12" s="1127"/>
      <c r="CY12" s="1127"/>
      <c r="CZ12" s="1127"/>
      <c r="DA12" s="1127"/>
      <c r="DB12" s="1127"/>
      <c r="DC12" s="1127"/>
      <c r="DD12" s="1127"/>
      <c r="DE12" s="1127"/>
      <c r="DF12" s="1127"/>
      <c r="DG12" s="1127"/>
      <c r="DH12" s="1127"/>
      <c r="DI12" s="1127"/>
      <c r="DJ12" s="1127"/>
      <c r="DK12" s="1127"/>
      <c r="DL12" s="1127"/>
      <c r="DM12" s="1127"/>
      <c r="DN12" s="1127"/>
      <c r="DO12" s="1127"/>
      <c r="DP12" s="1127"/>
      <c r="DQ12" s="1127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J13" s="1196"/>
      <c r="K13" s="1196"/>
      <c r="L13" s="1196"/>
      <c r="M13" s="1196"/>
      <c r="N13" s="1196"/>
      <c r="O13" s="1196"/>
      <c r="P13" s="1196"/>
      <c r="Q13" s="1196"/>
      <c r="R13" s="1196"/>
      <c r="S13" s="1196"/>
      <c r="T13" s="1196"/>
      <c r="U13" s="1196"/>
      <c r="V13" s="1196"/>
      <c r="W13" s="1196"/>
      <c r="X13" s="1196"/>
      <c r="Y13" s="1196"/>
      <c r="Z13" s="1196"/>
      <c r="AA13" s="1196"/>
      <c r="AB13" s="1196"/>
      <c r="AC13" s="1196"/>
      <c r="AD13" s="1196"/>
      <c r="AE13" s="1196"/>
      <c r="AF13" s="1196"/>
      <c r="AG13" s="1196"/>
      <c r="AH13" s="1196"/>
      <c r="AI13" s="1196"/>
      <c r="CK13" s="1127"/>
      <c r="CL13" s="1127"/>
      <c r="CM13" s="819">
        <v>2018</v>
      </c>
      <c r="CN13" s="808"/>
      <c r="CO13" s="820"/>
      <c r="CP13" s="1127"/>
      <c r="CQ13" s="1127"/>
      <c r="CR13" s="1127"/>
      <c r="CS13" s="1127"/>
      <c r="CT13" s="1127"/>
      <c r="CU13" s="1127"/>
      <c r="CV13" s="1127"/>
      <c r="CW13" s="1127"/>
      <c r="CX13" s="1127"/>
      <c r="CY13" s="1127"/>
      <c r="CZ13" s="1127"/>
      <c r="DA13" s="1127"/>
      <c r="DB13" s="1127"/>
      <c r="DC13" s="1127"/>
      <c r="DD13" s="1127"/>
      <c r="DE13" s="1127"/>
      <c r="DF13" s="1127"/>
      <c r="DG13" s="1127"/>
      <c r="DH13" s="1127"/>
      <c r="DI13" s="1127"/>
      <c r="DJ13" s="1127"/>
      <c r="DK13" s="1127"/>
      <c r="DL13" s="1127"/>
      <c r="DM13" s="1127"/>
      <c r="DN13" s="1127"/>
      <c r="DO13" s="1127"/>
      <c r="DP13" s="1127"/>
      <c r="DQ13" s="1127"/>
    </row>
    <row r="14" spans="1:121" ht="15.75" thickBot="1">
      <c r="J14" s="1196"/>
      <c r="K14" s="1196"/>
      <c r="L14" s="1196"/>
      <c r="M14" s="1196"/>
      <c r="N14" s="1196"/>
      <c r="O14" s="1196"/>
      <c r="P14" s="1196"/>
      <c r="Q14" s="1196"/>
      <c r="R14" s="1196"/>
      <c r="S14" s="1196"/>
      <c r="T14" s="1196"/>
      <c r="U14" s="1196"/>
      <c r="V14" s="1196"/>
      <c r="W14" s="1196"/>
      <c r="X14" s="1196"/>
      <c r="Y14" s="1196"/>
      <c r="Z14" s="1196"/>
      <c r="AA14" s="1196"/>
      <c r="AB14" s="1196"/>
      <c r="AC14" s="1196"/>
      <c r="AD14" s="1196"/>
      <c r="AE14" s="1196"/>
      <c r="AF14" s="1196"/>
      <c r="AG14" s="1196"/>
      <c r="AH14" s="1196"/>
      <c r="AI14" s="1196"/>
      <c r="CK14" s="1127"/>
      <c r="CL14" s="819" t="s">
        <v>754</v>
      </c>
      <c r="CM14" s="819" t="s">
        <v>933</v>
      </c>
      <c r="CN14" s="819" t="s">
        <v>929</v>
      </c>
      <c r="CO14" s="819" t="s">
        <v>937</v>
      </c>
      <c r="CP14" s="1127"/>
      <c r="CQ14" s="1127"/>
      <c r="CR14" s="1127"/>
      <c r="CS14" s="1127"/>
      <c r="CT14" s="1127"/>
      <c r="CU14" s="1127"/>
      <c r="CV14" s="1127"/>
      <c r="CW14" s="1127"/>
      <c r="CX14" s="1127"/>
      <c r="CY14" s="1127"/>
      <c r="CZ14" s="1127"/>
      <c r="DA14" s="1127"/>
      <c r="DB14" s="1127"/>
      <c r="DC14" s="1127"/>
      <c r="DD14" s="1127"/>
      <c r="DE14" s="1127"/>
      <c r="DF14" s="1127"/>
      <c r="DG14" s="1127"/>
      <c r="DH14" s="1127"/>
      <c r="DI14" s="1127"/>
      <c r="DJ14" s="1127"/>
      <c r="DK14" s="1127"/>
      <c r="DL14" s="1127"/>
      <c r="DM14" s="1127"/>
      <c r="DN14" s="1127"/>
      <c r="DO14" s="1127"/>
      <c r="DP14" s="1127"/>
      <c r="DQ14" s="1127"/>
    </row>
    <row r="15" spans="1:121" ht="15">
      <c r="E15" s="261" t="s">
        <v>282</v>
      </c>
      <c r="CK15" s="1127"/>
      <c r="CL15" s="867" t="s">
        <v>655</v>
      </c>
      <c r="CM15" s="867">
        <v>1272.084432974631</v>
      </c>
      <c r="CN15" s="868">
        <v>9017.3696255538798</v>
      </c>
      <c r="CO15" s="869">
        <v>10817.00516141598</v>
      </c>
      <c r="CP15" s="1127"/>
      <c r="CQ15" s="1127"/>
      <c r="CR15" s="1127"/>
      <c r="CS15" s="1127"/>
      <c r="CT15" s="1127"/>
      <c r="CU15" s="1127"/>
      <c r="CV15" s="1127"/>
      <c r="CW15" s="1127"/>
      <c r="CX15" s="1127"/>
      <c r="CY15" s="1127"/>
      <c r="CZ15" s="1127"/>
      <c r="DA15" s="1127"/>
      <c r="DB15" s="1127"/>
      <c r="DC15" s="1127"/>
      <c r="DD15" s="1127"/>
      <c r="DE15" s="1127"/>
      <c r="DF15" s="1127"/>
      <c r="DG15" s="1127"/>
      <c r="DH15" s="1127"/>
      <c r="DI15" s="1127"/>
      <c r="DJ15" s="1127"/>
      <c r="DK15" s="1127"/>
      <c r="DL15" s="1127"/>
      <c r="DM15" s="1127"/>
      <c r="DN15" s="1127"/>
      <c r="DO15" s="1127"/>
      <c r="DP15" s="1127"/>
      <c r="DQ15" s="1127"/>
    </row>
    <row r="16" spans="1:121" ht="21.75" thickBot="1">
      <c r="W16" s="1317" t="s">
        <v>629</v>
      </c>
      <c r="X16" s="1317"/>
      <c r="Y16" s="1317"/>
      <c r="Z16" s="1317" t="s">
        <v>630</v>
      </c>
      <c r="AA16" s="1317"/>
      <c r="AB16" s="1317"/>
      <c r="CK16" s="1127"/>
      <c r="CL16" s="823" t="s">
        <v>656</v>
      </c>
      <c r="CM16" s="823">
        <v>1271.052567009926</v>
      </c>
      <c r="CN16" s="814">
        <v>7706.8792520168045</v>
      </c>
      <c r="CO16" s="827">
        <v>18119.875348525962</v>
      </c>
      <c r="CP16" s="1127"/>
      <c r="CQ16" s="1127"/>
      <c r="CR16" s="1127"/>
      <c r="CS16" s="1127"/>
      <c r="CT16" s="1127"/>
      <c r="CU16" s="1127"/>
      <c r="CV16" s="1127"/>
      <c r="CW16" s="1127"/>
      <c r="CX16" s="1127"/>
      <c r="CY16" s="1127"/>
      <c r="CZ16" s="1127"/>
      <c r="DA16" s="1127"/>
      <c r="DB16" s="1127"/>
      <c r="DC16" s="1127"/>
      <c r="DD16" s="1127"/>
      <c r="DE16" s="1127"/>
      <c r="DF16" s="1127"/>
      <c r="DG16" s="1127"/>
      <c r="DH16" s="1127"/>
      <c r="DI16" s="1127"/>
      <c r="DJ16" s="1127"/>
      <c r="DK16" s="1127"/>
      <c r="DL16" s="1127"/>
      <c r="DM16" s="1127"/>
      <c r="DN16" s="1127"/>
      <c r="DO16" s="1127"/>
      <c r="DP16" s="1127"/>
      <c r="DQ16" s="1127"/>
    </row>
    <row r="17" spans="2:121" ht="22.5" thickTop="1" thickBot="1">
      <c r="H17" s="1317" t="s">
        <v>1060</v>
      </c>
      <c r="I17" s="1317"/>
      <c r="J17" s="1317"/>
      <c r="K17" s="1317"/>
      <c r="L17" s="1317"/>
      <c r="N17" s="1334" t="s">
        <v>1059</v>
      </c>
      <c r="O17" s="1335"/>
      <c r="P17" s="1335"/>
      <c r="Q17" s="1335"/>
      <c r="R17" s="1336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27"/>
      <c r="CL17" s="822" t="s">
        <v>657</v>
      </c>
      <c r="CM17" s="822">
        <v>2491.2235846235253</v>
      </c>
      <c r="CN17" s="813">
        <v>15118.989670799881</v>
      </c>
      <c r="CO17" s="826">
        <v>26221.499459384846</v>
      </c>
      <c r="CP17" s="1127"/>
      <c r="CQ17" s="1127"/>
      <c r="CR17" s="1127"/>
      <c r="CS17" s="1127"/>
      <c r="CT17" s="1127"/>
      <c r="CU17" s="1127"/>
      <c r="CV17" s="1127"/>
      <c r="CW17" s="1127"/>
      <c r="CX17" s="1127"/>
      <c r="CY17" s="1127"/>
      <c r="CZ17" s="1127"/>
      <c r="DA17" s="1127"/>
      <c r="DB17" s="1127"/>
      <c r="DC17" s="1127"/>
      <c r="DD17" s="1127"/>
      <c r="DE17" s="1127"/>
      <c r="DF17" s="1127"/>
      <c r="DG17" s="1127"/>
      <c r="DH17" s="1127"/>
      <c r="DI17" s="1127"/>
      <c r="DJ17" s="1127"/>
      <c r="DK17" s="1127"/>
      <c r="DL17" s="1127"/>
      <c r="DM17" s="1127"/>
      <c r="DN17" s="1127"/>
      <c r="DO17" s="1127"/>
      <c r="DP17" s="1127"/>
      <c r="DQ17" s="1127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55" t="s">
        <v>283</v>
      </c>
      <c r="O18" s="224" t="s">
        <v>292</v>
      </c>
      <c r="P18" s="224" t="s">
        <v>44</v>
      </c>
      <c r="Q18" s="224" t="s">
        <v>46</v>
      </c>
      <c r="R18" s="856" t="s">
        <v>281</v>
      </c>
      <c r="V18" s="213" t="s">
        <v>48</v>
      </c>
      <c r="W18" s="361">
        <v>1.4285714285714286</v>
      </c>
      <c r="X18" s="361">
        <v>1.375</v>
      </c>
      <c r="Y18" s="361">
        <v>1.3478893740902476</v>
      </c>
      <c r="Z18" s="307">
        <f t="shared" ref="Z18:Z26" si="1">W18*I19</f>
        <v>20628.426938295335</v>
      </c>
      <c r="AA18" s="307">
        <f t="shared" ref="AA18:AA26" si="2">X18*J19</f>
        <v>51129.47637486802</v>
      </c>
      <c r="AB18" s="364">
        <f t="shared" ref="AB18:AB26" si="3">Y18*K19</f>
        <v>42264.023389486123</v>
      </c>
      <c r="CK18" s="1127"/>
      <c r="CL18" s="823" t="s">
        <v>658</v>
      </c>
      <c r="CM18" s="823">
        <v>18164.569738528382</v>
      </c>
      <c r="CN18" s="814">
        <v>91446.903647123108</v>
      </c>
      <c r="CO18" s="827">
        <v>88706.618668082694</v>
      </c>
      <c r="CP18" s="1127"/>
      <c r="CQ18" s="1127"/>
      <c r="CR18" s="1127"/>
      <c r="CS18" s="1127"/>
      <c r="CT18" s="1127"/>
      <c r="CU18" s="1127"/>
      <c r="CV18" s="1127"/>
      <c r="CW18" s="1127"/>
      <c r="CX18" s="1127"/>
      <c r="CY18" s="1127"/>
      <c r="CZ18" s="1127"/>
      <c r="DA18" s="1127"/>
      <c r="DB18" s="1127"/>
      <c r="DC18" s="1127"/>
      <c r="DD18" s="1127"/>
      <c r="DE18" s="1127"/>
      <c r="DF18" s="1127"/>
      <c r="DG18" s="1127"/>
      <c r="DH18" s="1127"/>
      <c r="DI18" s="1127"/>
      <c r="DJ18" s="1127"/>
      <c r="DK18" s="1127"/>
      <c r="DL18" s="1127"/>
      <c r="DM18" s="1127"/>
      <c r="DN18" s="1127"/>
      <c r="DO18" s="1127"/>
      <c r="DP18" s="1127"/>
      <c r="DQ18" s="1127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4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56">
        <f>'Fuel-Age_Adj'!AZ59+SUM(Table10[Single/Detached])</f>
        <v>31355.706337556119</v>
      </c>
      <c r="L19" s="815">
        <f t="shared" ref="L19:L27" si="5">SUM(I19:K19)</f>
        <v>82980.678921539598</v>
      </c>
      <c r="N19" s="857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6">SUM(J34,M34,P34,S34,V34,Y34,AB34,AE34,AH34,AK34,AN34,AQ34,AT34,AW34,AZ34,BC34,BF34,BL34,BO34,BR34,BU34,BX34,BI34,CA34,CD34,CG34)</f>
        <v>72528.642938868245</v>
      </c>
      <c r="Q19" s="756">
        <f t="shared" si="6"/>
        <v>37364.451209178158</v>
      </c>
      <c r="R19" s="858">
        <f>SUM(O19:Q19)</f>
        <v>121628.1325727785</v>
      </c>
      <c r="V19" s="210" t="s">
        <v>50</v>
      </c>
      <c r="W19" s="362">
        <v>1</v>
      </c>
      <c r="X19" s="362">
        <v>1</v>
      </c>
      <c r="Y19" s="362">
        <v>1</v>
      </c>
      <c r="Z19" s="309">
        <f t="shared" si="1"/>
        <v>7459.2913438514906</v>
      </c>
      <c r="AA19" s="309">
        <f t="shared" si="2"/>
        <v>9537.7783975583752</v>
      </c>
      <c r="AB19" s="365">
        <f t="shared" si="3"/>
        <v>9433.9012004747347</v>
      </c>
      <c r="CK19" s="1127"/>
      <c r="CL19" s="822" t="s">
        <v>659</v>
      </c>
      <c r="CM19" s="822">
        <v>2392.9923596273825</v>
      </c>
      <c r="CN19" s="813">
        <v>15881.582138278784</v>
      </c>
      <c r="CO19" s="826">
        <v>40738.467908725754</v>
      </c>
      <c r="CP19" s="1127"/>
      <c r="CQ19" s="1127"/>
      <c r="CR19" s="1127"/>
      <c r="CS19" s="1127"/>
      <c r="CT19" s="1127"/>
      <c r="CU19" s="1127"/>
      <c r="CV19" s="1127"/>
      <c r="CW19" s="1127"/>
      <c r="CX19" s="1127"/>
      <c r="CY19" s="1127"/>
      <c r="CZ19" s="1127"/>
      <c r="DA19" s="1127"/>
      <c r="DB19" s="1127"/>
      <c r="DC19" s="1127"/>
      <c r="DD19" s="1127"/>
      <c r="DE19" s="1127"/>
      <c r="DF19" s="1127"/>
      <c r="DG19" s="1127"/>
      <c r="DH19" s="1127"/>
      <c r="DI19" s="1127"/>
      <c r="DJ19" s="1127"/>
      <c r="DK19" s="1127"/>
      <c r="DL19" s="1127"/>
      <c r="DM19" s="1127"/>
      <c r="DN19" s="1127"/>
      <c r="DO19" s="1127"/>
      <c r="DP19" s="1127"/>
      <c r="DQ19" s="1127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4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57">
        <f>'Fuel-Age_Adj'!BA59</f>
        <v>9433.9012004747347</v>
      </c>
      <c r="L20" s="816">
        <f t="shared" si="5"/>
        <v>26430.9709418846</v>
      </c>
      <c r="N20" s="859" t="s">
        <v>50</v>
      </c>
      <c r="O20" s="309">
        <f t="shared" ref="O20:O27" si="7">SUM(I35,L35,O35,R35,U35,X35,AA35,AD35,AG35,AJ35,AM35,AP35,AS35,AV35,AY35,BB35,BE35,BK35,BN35,BQ35,BT35,BW35,BH35,BZ35,CC35,CF35)</f>
        <v>5197.6132443555907</v>
      </c>
      <c r="P20" s="309">
        <f t="shared" si="6"/>
        <v>6727.4572369101443</v>
      </c>
      <c r="Q20" s="757">
        <f t="shared" si="6"/>
        <v>8186.7925913057998</v>
      </c>
      <c r="R20" s="860">
        <f t="shared" ref="R20:R27" si="8">SUM(O20:Q20)</f>
        <v>20111.863072571534</v>
      </c>
      <c r="V20" s="214" t="s">
        <v>52</v>
      </c>
      <c r="W20" s="363">
        <v>1</v>
      </c>
      <c r="X20" s="363">
        <v>1</v>
      </c>
      <c r="Y20" s="363">
        <v>1</v>
      </c>
      <c r="Z20" s="311">
        <f t="shared" si="1"/>
        <v>14041.847426430093</v>
      </c>
      <c r="AA20" s="311">
        <f t="shared" si="2"/>
        <v>17545.09295382088</v>
      </c>
      <c r="AB20" s="366">
        <f t="shared" si="3"/>
        <v>20090.949195825138</v>
      </c>
      <c r="CK20" s="1127"/>
      <c r="CL20" s="823" t="s">
        <v>660</v>
      </c>
      <c r="CM20" s="823">
        <v>123314.67820831671</v>
      </c>
      <c r="CN20" s="814">
        <v>299739.87494657928</v>
      </c>
      <c r="CO20" s="827">
        <v>56159.174425610254</v>
      </c>
      <c r="CP20" s="1127"/>
      <c r="CQ20" s="1127"/>
      <c r="CR20" s="1127"/>
      <c r="CS20" s="1127"/>
      <c r="CT20" s="1127"/>
      <c r="CU20" s="1127"/>
      <c r="CV20" s="1127"/>
      <c r="CW20" s="1127"/>
      <c r="CX20" s="1127"/>
      <c r="CY20" s="1127"/>
      <c r="CZ20" s="1127"/>
      <c r="DA20" s="1127"/>
      <c r="DB20" s="1127"/>
      <c r="DC20" s="1127"/>
      <c r="DD20" s="1127"/>
      <c r="DE20" s="1127"/>
      <c r="DF20" s="1127"/>
      <c r="DG20" s="1127"/>
      <c r="DH20" s="1127"/>
      <c r="DI20" s="1127"/>
      <c r="DJ20" s="1127"/>
      <c r="DK20" s="1127"/>
      <c r="DL20" s="1127"/>
      <c r="DM20" s="1127"/>
      <c r="DN20" s="1127"/>
      <c r="DO20" s="1127"/>
      <c r="DP20" s="1127"/>
      <c r="DQ20" s="1127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4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58">
        <f>'Fuel-Age_Adj'!BB59</f>
        <v>20090.949195825138</v>
      </c>
      <c r="L21" s="817">
        <f t="shared" si="5"/>
        <v>51677.889576076108</v>
      </c>
      <c r="N21" s="861" t="s">
        <v>52</v>
      </c>
      <c r="O21" s="311">
        <f t="shared" si="7"/>
        <v>13979.419134898935</v>
      </c>
      <c r="P21" s="311">
        <f t="shared" si="6"/>
        <v>14584.48055403824</v>
      </c>
      <c r="Q21" s="758">
        <f t="shared" si="6"/>
        <v>18974.694526816245</v>
      </c>
      <c r="R21" s="862">
        <f t="shared" si="8"/>
        <v>47538.594215753423</v>
      </c>
      <c r="V21" s="210" t="s">
        <v>54</v>
      </c>
      <c r="W21" s="362">
        <v>1</v>
      </c>
      <c r="X21" s="362">
        <v>1</v>
      </c>
      <c r="Y21" s="362">
        <v>1</v>
      </c>
      <c r="Z21" s="309">
        <f t="shared" si="1"/>
        <v>19924.480375055824</v>
      </c>
      <c r="AA21" s="309">
        <f t="shared" si="2"/>
        <v>49768.849685929476</v>
      </c>
      <c r="AB21" s="365">
        <f t="shared" si="3"/>
        <v>53466.210043981671</v>
      </c>
      <c r="CK21" s="1127"/>
      <c r="CL21" s="822" t="s">
        <v>661</v>
      </c>
      <c r="CM21" s="822">
        <v>9881.5892011882625</v>
      </c>
      <c r="CN21" s="813">
        <v>27589.465054026703</v>
      </c>
      <c r="CO21" s="826">
        <v>55372.585087977008</v>
      </c>
      <c r="CP21" s="1127"/>
      <c r="CQ21" s="1127"/>
      <c r="CR21" s="1127"/>
      <c r="CS21" s="1127"/>
      <c r="CT21" s="1127"/>
      <c r="CU21" s="1127"/>
      <c r="CV21" s="1127"/>
      <c r="CW21" s="1127"/>
      <c r="CX21" s="1127"/>
      <c r="CY21" s="1127"/>
      <c r="CZ21" s="1127"/>
      <c r="DA21" s="1127"/>
      <c r="DB21" s="1127"/>
      <c r="DC21" s="1127"/>
      <c r="DD21" s="1127"/>
      <c r="DE21" s="1127"/>
      <c r="DF21" s="1127"/>
      <c r="DG21" s="1127"/>
      <c r="DH21" s="1127"/>
      <c r="DI21" s="1127"/>
      <c r="DJ21" s="1127"/>
      <c r="DK21" s="1127"/>
      <c r="DL21" s="1127"/>
      <c r="DM21" s="1127"/>
      <c r="DN21" s="1127"/>
      <c r="DO21" s="1127"/>
      <c r="DP21" s="1127"/>
      <c r="DQ21" s="1127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4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57">
        <f>'Fuel-Age_Adj'!BC59</f>
        <v>53466.210043981671</v>
      </c>
      <c r="L22" s="816">
        <f t="shared" si="5"/>
        <v>123159.54010496697</v>
      </c>
      <c r="N22" s="859" t="s">
        <v>54</v>
      </c>
      <c r="O22" s="309">
        <f t="shared" si="7"/>
        <v>21709.86153487581</v>
      </c>
      <c r="P22" s="309">
        <f t="shared" si="6"/>
        <v>49420.927051735707</v>
      </c>
      <c r="Q22" s="757">
        <f t="shared" si="6"/>
        <v>54549.088898874157</v>
      </c>
      <c r="R22" s="860">
        <f t="shared" si="8"/>
        <v>125679.87748548566</v>
      </c>
      <c r="V22" s="214" t="s">
        <v>56</v>
      </c>
      <c r="W22" s="363">
        <v>0.62350597609561753</v>
      </c>
      <c r="X22" s="363">
        <v>0.63854266538830295</v>
      </c>
      <c r="Y22" s="363">
        <v>0.65110565110565111</v>
      </c>
      <c r="Z22" s="311">
        <f t="shared" si="1"/>
        <v>36727.496963354082</v>
      </c>
      <c r="AA22" s="311">
        <f t="shared" si="2"/>
        <v>180165.78839768126</v>
      </c>
      <c r="AB22" s="366">
        <f t="shared" si="3"/>
        <v>163635.17790575436</v>
      </c>
      <c r="CK22" s="1127"/>
      <c r="CL22" s="823" t="s">
        <v>662</v>
      </c>
      <c r="CM22" s="823">
        <v>2906.0721193547802</v>
      </c>
      <c r="CN22" s="814">
        <v>15686.699374231552</v>
      </c>
      <c r="CO22" s="827">
        <v>36376.580790193235</v>
      </c>
      <c r="CP22" s="1127"/>
      <c r="CQ22" s="1127"/>
      <c r="CR22" s="1127"/>
      <c r="CS22" s="1127"/>
      <c r="CT22" s="1127"/>
      <c r="CU22" s="1127"/>
      <c r="CV22" s="1127"/>
      <c r="CW22" s="1127"/>
      <c r="CX22" s="1127"/>
      <c r="CY22" s="1127"/>
      <c r="CZ22" s="1127"/>
      <c r="DA22" s="1127"/>
      <c r="DB22" s="1127"/>
      <c r="DC22" s="1127"/>
      <c r="DD22" s="1127"/>
      <c r="DE22" s="1127"/>
      <c r="DF22" s="1127"/>
      <c r="DG22" s="1127"/>
      <c r="DH22" s="1127"/>
      <c r="DI22" s="1127"/>
      <c r="DJ22" s="1127"/>
      <c r="DK22" s="1127"/>
      <c r="DL22" s="1127"/>
      <c r="DM22" s="1127"/>
      <c r="DN22" s="1127"/>
      <c r="DO22" s="1127"/>
      <c r="DP22" s="1127"/>
      <c r="DQ22" s="1127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4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58">
        <f>'Fuel-Age_Adj'!BD59</f>
        <v>251318.93361374349</v>
      </c>
      <c r="L23" s="817">
        <f t="shared" si="5"/>
        <v>592375.26452582516</v>
      </c>
      <c r="N23" s="861" t="s">
        <v>56</v>
      </c>
      <c r="O23" s="311">
        <f t="shared" si="7"/>
        <v>71167.091754613168</v>
      </c>
      <c r="P23" s="311">
        <f t="shared" si="6"/>
        <v>293672.95873330871</v>
      </c>
      <c r="Q23" s="758">
        <f t="shared" si="6"/>
        <v>264765.40185365622</v>
      </c>
      <c r="R23" s="862">
        <f t="shared" si="8"/>
        <v>629605.45234157809</v>
      </c>
      <c r="V23" s="210" t="s">
        <v>58</v>
      </c>
      <c r="W23" s="362">
        <v>0.64275466284074612</v>
      </c>
      <c r="X23" s="362">
        <v>0.6669136717302705</v>
      </c>
      <c r="Y23" s="362">
        <v>0.67542972699696668</v>
      </c>
      <c r="Z23" s="309">
        <f t="shared" si="1"/>
        <v>28113.665794547433</v>
      </c>
      <c r="AA23" s="309">
        <f t="shared" si="2"/>
        <v>125131.02640900291</v>
      </c>
      <c r="AB23" s="365">
        <f t="shared" si="3"/>
        <v>112572.38085312897</v>
      </c>
      <c r="CK23" s="1127"/>
      <c r="CL23" s="822" t="s">
        <v>663</v>
      </c>
      <c r="CM23" s="822">
        <v>7363.7968231969135</v>
      </c>
      <c r="CN23" s="813">
        <v>38144.204386107944</v>
      </c>
      <c r="CO23" s="826">
        <v>30304.517514538838</v>
      </c>
      <c r="CP23" s="1127"/>
      <c r="CQ23" s="1127"/>
      <c r="CR23" s="1127"/>
      <c r="CS23" s="1127"/>
      <c r="CT23" s="1127"/>
      <c r="CU23" s="1127"/>
      <c r="CV23" s="1127"/>
      <c r="CW23" s="1127"/>
      <c r="CX23" s="1127"/>
      <c r="CY23" s="1127"/>
      <c r="CZ23" s="1127"/>
      <c r="DA23" s="1127"/>
      <c r="DB23" s="1127"/>
      <c r="DC23" s="1127"/>
      <c r="DD23" s="1127"/>
      <c r="DE23" s="1127"/>
      <c r="DF23" s="1127"/>
      <c r="DG23" s="1127"/>
      <c r="DH23" s="1127"/>
      <c r="DI23" s="1127"/>
      <c r="DJ23" s="1127"/>
      <c r="DK23" s="1127"/>
      <c r="DL23" s="1127"/>
      <c r="DM23" s="1127"/>
      <c r="DN23" s="1127"/>
      <c r="DO23" s="1127"/>
      <c r="DP23" s="1127"/>
      <c r="DQ23" s="1127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4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57">
        <f>'Fuel-Age_Adj'!BE59</f>
        <v>166667.79141279124</v>
      </c>
      <c r="L24" s="816">
        <f t="shared" si="5"/>
        <v>398034.15543850785</v>
      </c>
      <c r="N24" s="859" t="s">
        <v>58</v>
      </c>
      <c r="O24" s="309">
        <f t="shared" si="7"/>
        <v>47490.854787158918</v>
      </c>
      <c r="P24" s="309">
        <f t="shared" si="6"/>
        <v>175920.34461876052</v>
      </c>
      <c r="Q24" s="757">
        <f t="shared" si="6"/>
        <v>166984.19754801539</v>
      </c>
      <c r="R24" s="860">
        <f t="shared" si="8"/>
        <v>390395.3969539348</v>
      </c>
      <c r="V24" s="214" t="s">
        <v>60</v>
      </c>
      <c r="W24" s="363">
        <v>0.65947786606129399</v>
      </c>
      <c r="X24" s="363">
        <v>0.68235651381718798</v>
      </c>
      <c r="Y24" s="363">
        <v>0.68787878787878787</v>
      </c>
      <c r="Z24" s="311">
        <f t="shared" si="1"/>
        <v>16993.344189187668</v>
      </c>
      <c r="AA24" s="311">
        <f t="shared" si="2"/>
        <v>69203.844283713814</v>
      </c>
      <c r="AB24" s="366">
        <f t="shared" si="3"/>
        <v>55991.061950391217</v>
      </c>
      <c r="CK24" s="1127"/>
      <c r="CL24" s="823" t="s">
        <v>664</v>
      </c>
      <c r="CM24" s="823">
        <v>1751.3817529766175</v>
      </c>
      <c r="CN24" s="814">
        <v>12508.441600918088</v>
      </c>
      <c r="CO24" s="827">
        <v>20891.382011189213</v>
      </c>
      <c r="CP24" s="1127"/>
      <c r="CQ24" s="1127"/>
      <c r="CR24" s="1127"/>
      <c r="CS24" s="1127"/>
      <c r="CT24" s="1127"/>
      <c r="CU24" s="1127"/>
      <c r="CV24" s="1127"/>
      <c r="CW24" s="1127"/>
      <c r="CX24" s="1127"/>
      <c r="CY24" s="1127"/>
      <c r="CZ24" s="1127"/>
      <c r="DA24" s="1127"/>
      <c r="DB24" s="1127"/>
      <c r="DC24" s="1127"/>
      <c r="DD24" s="1127"/>
      <c r="DE24" s="1127"/>
      <c r="DF24" s="1127"/>
      <c r="DG24" s="1127"/>
      <c r="DH24" s="1127"/>
      <c r="DI24" s="1127"/>
      <c r="DJ24" s="1127"/>
      <c r="DK24" s="1127"/>
      <c r="DL24" s="1127"/>
      <c r="DM24" s="1127"/>
      <c r="DN24" s="1127"/>
      <c r="DO24" s="1127"/>
      <c r="DP24" s="1127"/>
      <c r="DQ24" s="1127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4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58">
        <f>'Fuel-Age_Adj'!BF59</f>
        <v>81396.697989555512</v>
      </c>
      <c r="L25" s="817">
        <f t="shared" si="5"/>
        <v>208583.47042416356</v>
      </c>
      <c r="M25" s="348" t="s">
        <v>564</v>
      </c>
      <c r="N25" s="861" t="s">
        <v>60</v>
      </c>
      <c r="O25" s="311">
        <f t="shared" si="7"/>
        <v>23790.684938210514</v>
      </c>
      <c r="P25" s="311">
        <f t="shared" si="6"/>
        <v>85755.437936808186</v>
      </c>
      <c r="Q25" s="758">
        <f t="shared" si="6"/>
        <v>74836.881491341002</v>
      </c>
      <c r="R25" s="862">
        <f t="shared" si="8"/>
        <v>184383.0043663597</v>
      </c>
      <c r="V25" s="210" t="s">
        <v>62</v>
      </c>
      <c r="W25" s="362">
        <v>0.67760942760942755</v>
      </c>
      <c r="X25" s="362">
        <v>0.69366197183098599</v>
      </c>
      <c r="Y25" s="362">
        <v>0.69895091794679653</v>
      </c>
      <c r="Z25" s="309">
        <f t="shared" si="1"/>
        <v>8355.7192320215872</v>
      </c>
      <c r="AA25" s="309">
        <f t="shared" si="2"/>
        <v>34768.978124585461</v>
      </c>
      <c r="AB25" s="365">
        <f t="shared" si="3"/>
        <v>30223.340670968584</v>
      </c>
      <c r="CK25" s="1127"/>
      <c r="CL25" s="822" t="s">
        <v>665</v>
      </c>
      <c r="CM25" s="822">
        <v>1434.9997251520253</v>
      </c>
      <c r="CN25" s="813">
        <v>11510.58391452228</v>
      </c>
      <c r="CO25" s="826">
        <v>16295.614216511489</v>
      </c>
      <c r="CP25" s="1127"/>
      <c r="CQ25" s="1127"/>
      <c r="CR25" s="1127"/>
      <c r="CS25" s="1127"/>
      <c r="CT25" s="1127"/>
      <c r="CU25" s="1127"/>
      <c r="CV25" s="1127"/>
      <c r="CW25" s="1127"/>
      <c r="CX25" s="1127"/>
      <c r="CY25" s="1127"/>
      <c r="CZ25" s="1127"/>
      <c r="DA25" s="1127"/>
      <c r="DB25" s="1127"/>
      <c r="DC25" s="1127"/>
      <c r="DD25" s="1127"/>
      <c r="DE25" s="1127"/>
      <c r="DF25" s="1127"/>
      <c r="DG25" s="1127"/>
      <c r="DH25" s="1127"/>
      <c r="DI25" s="1127"/>
      <c r="DJ25" s="1127"/>
      <c r="DK25" s="1127"/>
      <c r="DL25" s="1127"/>
      <c r="DM25" s="1127"/>
      <c r="DN25" s="1127"/>
      <c r="DO25" s="1127"/>
      <c r="DP25" s="1127"/>
      <c r="DQ25" s="1127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4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57">
        <f>'Fuel-Age_Adj'!BG59</f>
        <v>43241.005762967114</v>
      </c>
      <c r="L26" s="816">
        <f t="shared" si="5"/>
        <v>105695.98501717232</v>
      </c>
      <c r="N26" s="859" t="s">
        <v>62</v>
      </c>
      <c r="O26" s="309">
        <f t="shared" si="7"/>
        <v>8010.7993972868508</v>
      </c>
      <c r="P26" s="309">
        <f t="shared" si="6"/>
        <v>38588.997221862926</v>
      </c>
      <c r="Q26" s="757">
        <f t="shared" si="6"/>
        <v>37368.747662299225</v>
      </c>
      <c r="R26" s="860">
        <f t="shared" si="8"/>
        <v>83968.544281448994</v>
      </c>
      <c r="V26" s="367" t="s">
        <v>64</v>
      </c>
      <c r="W26" s="368">
        <v>0.56219445953286251</v>
      </c>
      <c r="X26" s="368">
        <v>0.54586660910856888</v>
      </c>
      <c r="Y26" s="368">
        <v>0.55669942286694751</v>
      </c>
      <c r="Z26" s="369">
        <f t="shared" si="1"/>
        <v>8551.6367409636478</v>
      </c>
      <c r="AA26" s="369">
        <f t="shared" si="2"/>
        <v>28770.813628890308</v>
      </c>
      <c r="AB26" s="370">
        <f t="shared" si="3"/>
        <v>43665.016200037615</v>
      </c>
      <c r="CK26" s="1127"/>
      <c r="CL26" s="823" t="s">
        <v>666</v>
      </c>
      <c r="CM26" s="823">
        <v>543.02409251525864</v>
      </c>
      <c r="CN26" s="814">
        <v>2737.7793125602311</v>
      </c>
      <c r="CO26" s="827">
        <v>9101.1608576935432</v>
      </c>
      <c r="CP26" s="1127"/>
      <c r="CQ26" s="1127"/>
      <c r="CR26" s="1127"/>
      <c r="CS26" s="1127"/>
      <c r="CT26" s="1127"/>
      <c r="CU26" s="1127"/>
      <c r="CV26" s="1127"/>
      <c r="CW26" s="1127"/>
      <c r="CX26" s="1127"/>
      <c r="CY26" s="1127"/>
      <c r="CZ26" s="1127"/>
      <c r="DA26" s="1127"/>
      <c r="DB26" s="1127"/>
      <c r="DC26" s="1127"/>
      <c r="DD26" s="1127"/>
      <c r="DE26" s="1127"/>
      <c r="DF26" s="1127"/>
      <c r="DG26" s="1127"/>
      <c r="DH26" s="1127"/>
      <c r="DI26" s="1127"/>
      <c r="DJ26" s="1127"/>
      <c r="DK26" s="1127"/>
      <c r="DL26" s="1127"/>
      <c r="DM26" s="1127"/>
      <c r="DN26" s="1127"/>
      <c r="DO26" s="1127"/>
      <c r="DP26" s="1127"/>
      <c r="DQ26" s="1127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4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59">
        <f>'Fuel-Age_Adj'!BH59</f>
        <v>78435.533443104825</v>
      </c>
      <c r="L27" s="817">
        <f t="shared" si="5"/>
        <v>146353.38004986354</v>
      </c>
      <c r="N27" s="861" t="s">
        <v>64</v>
      </c>
      <c r="O27" s="311">
        <f t="shared" si="7"/>
        <v>8658.126308421115</v>
      </c>
      <c r="P27" s="311">
        <f t="shared" si="6"/>
        <v>38905.107366988203</v>
      </c>
      <c r="Q27" s="758">
        <f t="shared" si="6"/>
        <v>66469.176419880765</v>
      </c>
      <c r="R27" s="862">
        <f t="shared" si="8"/>
        <v>114032.41009529008</v>
      </c>
      <c r="Z27" s="371">
        <f>SUM(Z18:Z26)/I28</f>
        <v>0.75911621330408707</v>
      </c>
      <c r="AA27" s="371">
        <f>SUM(AA18:AA26)/J28</f>
        <v>0.71824259248378497</v>
      </c>
      <c r="AB27" s="371">
        <f>SUM(AB18:AB26)/K28</f>
        <v>0.72251454937400827</v>
      </c>
      <c r="CK27" s="1127"/>
      <c r="CL27" s="822" t="s">
        <v>667</v>
      </c>
      <c r="CM27" s="822">
        <v>7461.1258002920376</v>
      </c>
      <c r="CN27" s="813">
        <v>31695.949118274744</v>
      </c>
      <c r="CO27" s="826">
        <v>32750.827361563519</v>
      </c>
      <c r="CP27" s="1127"/>
      <c r="CQ27" s="1127"/>
      <c r="CR27" s="1127"/>
      <c r="CS27" s="1127"/>
      <c r="CT27" s="1127"/>
      <c r="CU27" s="1127"/>
      <c r="CV27" s="1127"/>
      <c r="CW27" s="1127"/>
      <c r="CX27" s="1127"/>
      <c r="CY27" s="1127"/>
      <c r="CZ27" s="1127"/>
      <c r="DA27" s="1127"/>
      <c r="DB27" s="1127"/>
      <c r="DC27" s="1127"/>
      <c r="DD27" s="1127"/>
      <c r="DE27" s="1127"/>
      <c r="DF27" s="1127"/>
      <c r="DG27" s="1127"/>
      <c r="DH27" s="1127"/>
      <c r="DI27" s="1127"/>
      <c r="DJ27" s="1127"/>
      <c r="DK27" s="1127"/>
      <c r="DL27" s="1127"/>
      <c r="DM27" s="1127"/>
      <c r="DN27" s="1127"/>
      <c r="DO27" s="1127"/>
      <c r="DP27" s="1127"/>
      <c r="DQ27" s="1127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4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07">
        <f>SUM(K19:K27)</f>
        <v>735406.72899999993</v>
      </c>
      <c r="L28" s="818">
        <f>SUM(I28:K28)</f>
        <v>1735291.3349999997</v>
      </c>
      <c r="N28" s="863" t="s">
        <v>216</v>
      </c>
      <c r="O28" s="864">
        <f>SUM(O19:O27)</f>
        <v>211739.48952455298</v>
      </c>
      <c r="P28" s="864">
        <f>SUM(P19:P27)</f>
        <v>776104.35365928081</v>
      </c>
      <c r="Q28" s="865">
        <f>SUM(Q19:Q27)</f>
        <v>729499.43220136687</v>
      </c>
      <c r="R28" s="866">
        <f>SUM(O28:Q28)</f>
        <v>1717343.2753852005</v>
      </c>
      <c r="CK28" s="1127"/>
      <c r="CL28" s="823" t="s">
        <v>668</v>
      </c>
      <c r="CM28" s="823">
        <v>691.43208570294928</v>
      </c>
      <c r="CN28" s="814">
        <v>4746.2770797513549</v>
      </c>
      <c r="CO28" s="827">
        <v>9718.9087422298653</v>
      </c>
      <c r="CP28" s="1127"/>
      <c r="CQ28" s="1127"/>
      <c r="CR28" s="1127"/>
      <c r="CS28" s="1127"/>
      <c r="CT28" s="1127"/>
      <c r="CU28" s="1127"/>
      <c r="CV28" s="1127"/>
      <c r="CW28" s="1127"/>
      <c r="CX28" s="1127"/>
      <c r="CY28" s="1127"/>
      <c r="CZ28" s="1127"/>
      <c r="DA28" s="1127"/>
      <c r="DB28" s="1127"/>
      <c r="DC28" s="1127"/>
      <c r="DD28" s="1127"/>
      <c r="DE28" s="1127"/>
      <c r="DF28" s="1127"/>
      <c r="DG28" s="1127"/>
      <c r="DH28" s="1127"/>
      <c r="DI28" s="1127"/>
      <c r="DJ28" s="1127"/>
      <c r="DK28" s="1127"/>
      <c r="DL28" s="1127"/>
      <c r="DM28" s="1127"/>
      <c r="DN28" s="1127"/>
      <c r="DO28" s="1127"/>
      <c r="DP28" s="1127"/>
      <c r="DQ28" s="1127"/>
    </row>
    <row r="29" spans="2:121" ht="15">
      <c r="C29" s="261"/>
      <c r="CK29" s="1127"/>
      <c r="CL29" s="822" t="s">
        <v>669</v>
      </c>
      <c r="CM29" s="822">
        <v>3038.8153054039785</v>
      </c>
      <c r="CN29" s="813">
        <v>24289.540001760251</v>
      </c>
      <c r="CO29" s="826">
        <v>18866.743201020949</v>
      </c>
      <c r="CP29" s="1127"/>
      <c r="CQ29" s="1127"/>
      <c r="CR29" s="1127"/>
      <c r="CS29" s="1127"/>
      <c r="CT29" s="1127"/>
      <c r="CU29" s="1127"/>
      <c r="CV29" s="1127"/>
      <c r="CW29" s="1127"/>
      <c r="CX29" s="1127"/>
      <c r="CY29" s="1127"/>
      <c r="CZ29" s="1127"/>
      <c r="DA29" s="1127"/>
      <c r="DB29" s="1127"/>
      <c r="DC29" s="1127"/>
      <c r="DD29" s="1127"/>
      <c r="DE29" s="1127"/>
      <c r="DF29" s="1127"/>
      <c r="DG29" s="1127"/>
      <c r="DH29" s="1127"/>
      <c r="DI29" s="1127"/>
      <c r="DJ29" s="1127"/>
      <c r="DK29" s="1127"/>
      <c r="DL29" s="1127"/>
      <c r="DM29" s="1127"/>
      <c r="DN29" s="1127"/>
      <c r="DO29" s="1127"/>
      <c r="DP29" s="1127"/>
      <c r="DQ29" s="1127"/>
    </row>
    <row r="30" spans="2:121" ht="15">
      <c r="C30" s="261"/>
      <c r="CK30" s="1127"/>
      <c r="CL30" s="823" t="s">
        <v>670</v>
      </c>
      <c r="CM30" s="823">
        <v>2141.3166117916521</v>
      </c>
      <c r="CN30" s="814">
        <v>12519.701036831018</v>
      </c>
      <c r="CO30" s="827">
        <v>34699.30894292317</v>
      </c>
      <c r="CP30" s="1127"/>
      <c r="CQ30" s="1127"/>
      <c r="CR30" s="1127"/>
      <c r="CS30" s="1127"/>
      <c r="CT30" s="1127"/>
      <c r="CU30" s="1127"/>
      <c r="CV30" s="1127"/>
      <c r="CW30" s="1127"/>
      <c r="CX30" s="1127"/>
      <c r="CY30" s="1127"/>
      <c r="CZ30" s="1127"/>
      <c r="DA30" s="1127"/>
      <c r="DB30" s="1127"/>
      <c r="DC30" s="1127"/>
      <c r="DD30" s="1127"/>
      <c r="DE30" s="1127"/>
      <c r="DF30" s="1127"/>
      <c r="DG30" s="1127"/>
      <c r="DH30" s="1127"/>
      <c r="DI30" s="1127"/>
      <c r="DJ30" s="1127"/>
      <c r="DK30" s="1127"/>
      <c r="DL30" s="1127"/>
      <c r="DM30" s="1127"/>
      <c r="DN30" s="1127"/>
      <c r="DO30" s="1127"/>
      <c r="DP30" s="1127"/>
      <c r="DQ30" s="1127"/>
    </row>
    <row r="31" spans="2:121" ht="21.75" thickBot="1">
      <c r="C31" s="261"/>
      <c r="I31" s="1333" t="s">
        <v>1061</v>
      </c>
      <c r="J31" s="1333"/>
      <c r="K31" s="1333"/>
      <c r="L31" s="1333"/>
      <c r="M31" s="1333"/>
      <c r="N31" s="1333"/>
      <c r="O31" s="1333"/>
      <c r="P31" s="1333"/>
      <c r="Q31" s="1333"/>
      <c r="R31" s="1333"/>
      <c r="S31" s="1333"/>
      <c r="T31" s="1333"/>
      <c r="U31" s="1333"/>
      <c r="V31" s="1333"/>
      <c r="W31" s="1333"/>
      <c r="X31" s="1333"/>
      <c r="Y31" s="1333"/>
      <c r="Z31" s="1333"/>
      <c r="AA31" s="1333"/>
      <c r="AB31" s="1333"/>
      <c r="AC31" s="1333"/>
      <c r="AD31" s="1333"/>
      <c r="AE31" s="1333"/>
      <c r="AF31" s="1333"/>
      <c r="AG31" s="1333"/>
      <c r="AH31" s="1333"/>
      <c r="AI31" s="1333"/>
      <c r="AJ31" s="1333"/>
      <c r="AK31" s="1333"/>
      <c r="AL31" s="1333"/>
      <c r="AM31" s="1333"/>
      <c r="AN31" s="1333"/>
      <c r="AO31" s="1333"/>
      <c r="AP31" s="1333"/>
      <c r="AQ31" s="1333"/>
      <c r="AR31" s="1333"/>
      <c r="AS31" s="1333"/>
      <c r="AT31" s="1333"/>
      <c r="AU31" s="1333"/>
      <c r="AV31" s="1333"/>
      <c r="AW31" s="1333"/>
      <c r="AX31" s="1333"/>
      <c r="AY31" s="1333"/>
      <c r="AZ31" s="1333"/>
      <c r="BA31" s="1333"/>
      <c r="BB31" s="1333"/>
      <c r="BC31" s="1333"/>
      <c r="BD31" s="1333"/>
      <c r="BE31" s="1333"/>
      <c r="BF31" s="1333"/>
      <c r="BG31" s="1333"/>
      <c r="BH31" s="1333"/>
      <c r="BI31" s="1333"/>
      <c r="BJ31" s="1333"/>
      <c r="BK31" s="1333"/>
      <c r="BL31" s="1333"/>
      <c r="BM31" s="1333"/>
      <c r="BN31" s="1333"/>
      <c r="BO31" s="1333"/>
      <c r="BP31" s="1333"/>
      <c r="BQ31" s="1333"/>
      <c r="BR31" s="1333"/>
      <c r="BS31" s="1333"/>
      <c r="BT31" s="1333"/>
      <c r="BU31" s="1333"/>
      <c r="BV31" s="1333"/>
      <c r="BW31" s="1333"/>
      <c r="BX31" s="1333"/>
      <c r="BY31" s="1333"/>
      <c r="BZ31" s="1333"/>
      <c r="CA31" s="1333"/>
      <c r="CB31" s="1333"/>
      <c r="CC31" s="1333"/>
      <c r="CD31" s="1333"/>
      <c r="CE31" s="1333"/>
      <c r="CF31" s="1333"/>
      <c r="CG31" s="1333"/>
      <c r="CH31" s="1333"/>
      <c r="CK31" s="1127"/>
      <c r="CL31" s="822" t="s">
        <v>671</v>
      </c>
      <c r="CM31" s="822">
        <v>5411.4225176697691</v>
      </c>
      <c r="CN31" s="813">
        <v>27103.374443441171</v>
      </c>
      <c r="CO31" s="826">
        <v>34324.09820344366</v>
      </c>
      <c r="CP31" s="1127"/>
      <c r="CQ31" s="1127"/>
      <c r="CR31" s="1127"/>
      <c r="CS31" s="1127"/>
      <c r="CT31" s="1127"/>
      <c r="CU31" s="1127"/>
      <c r="CV31" s="1127"/>
      <c r="CW31" s="1127"/>
      <c r="CX31" s="1127"/>
      <c r="CY31" s="1127"/>
      <c r="CZ31" s="1127"/>
      <c r="DA31" s="1127"/>
      <c r="DB31" s="1127"/>
      <c r="DC31" s="1127"/>
      <c r="DD31" s="1127"/>
      <c r="DE31" s="1127"/>
      <c r="DF31" s="1127"/>
      <c r="DG31" s="1127"/>
      <c r="DH31" s="1127"/>
      <c r="DI31" s="1127"/>
      <c r="DJ31" s="1127"/>
      <c r="DK31" s="1127"/>
      <c r="DL31" s="1127"/>
      <c r="DM31" s="1127"/>
      <c r="DN31" s="1127"/>
      <c r="DO31" s="1127"/>
      <c r="DP31" s="1127"/>
      <c r="DQ31" s="1127"/>
    </row>
    <row r="32" spans="2:121" ht="15.75" thickBot="1">
      <c r="C32" s="261"/>
      <c r="I32" s="223" t="s">
        <v>291</v>
      </c>
      <c r="J32" s="742" t="s">
        <v>291</v>
      </c>
      <c r="K32" s="744" t="s">
        <v>291</v>
      </c>
      <c r="L32" s="223" t="s">
        <v>333</v>
      </c>
      <c r="M32" s="742" t="s">
        <v>333</v>
      </c>
      <c r="N32" s="744" t="s">
        <v>333</v>
      </c>
      <c r="O32" s="223" t="s">
        <v>322</v>
      </c>
      <c r="P32" s="742" t="s">
        <v>322</v>
      </c>
      <c r="Q32" s="744" t="s">
        <v>322</v>
      </c>
      <c r="R32" s="223" t="s">
        <v>323</v>
      </c>
      <c r="S32" s="742" t="s">
        <v>323</v>
      </c>
      <c r="T32" s="744" t="s">
        <v>323</v>
      </c>
      <c r="U32" s="223" t="s">
        <v>324</v>
      </c>
      <c r="V32" s="742" t="s">
        <v>324</v>
      </c>
      <c r="W32" s="744" t="s">
        <v>324</v>
      </c>
      <c r="X32" s="223" t="s">
        <v>326</v>
      </c>
      <c r="Y32" s="742" t="s">
        <v>326</v>
      </c>
      <c r="Z32" s="744" t="s">
        <v>326</v>
      </c>
      <c r="AA32" s="223" t="s">
        <v>327</v>
      </c>
      <c r="AB32" s="742" t="s">
        <v>327</v>
      </c>
      <c r="AC32" s="744" t="s">
        <v>327</v>
      </c>
      <c r="AD32" s="223" t="s">
        <v>328</v>
      </c>
      <c r="AE32" s="742" t="s">
        <v>328</v>
      </c>
      <c r="AF32" s="744" t="s">
        <v>328</v>
      </c>
      <c r="AG32" s="223" t="s">
        <v>330</v>
      </c>
      <c r="AH32" s="742" t="s">
        <v>330</v>
      </c>
      <c r="AI32" s="744" t="s">
        <v>330</v>
      </c>
      <c r="AJ32" s="223" t="s">
        <v>331</v>
      </c>
      <c r="AK32" s="742" t="s">
        <v>331</v>
      </c>
      <c r="AL32" s="744" t="s">
        <v>331</v>
      </c>
      <c r="AM32" s="223" t="s">
        <v>332</v>
      </c>
      <c r="AN32" s="742" t="s">
        <v>332</v>
      </c>
      <c r="AO32" s="744" t="s">
        <v>332</v>
      </c>
      <c r="AP32" s="223" t="s">
        <v>334</v>
      </c>
      <c r="AQ32" s="742" t="s">
        <v>334</v>
      </c>
      <c r="AR32" s="744" t="s">
        <v>334</v>
      </c>
      <c r="AS32" s="223" t="s">
        <v>321</v>
      </c>
      <c r="AT32" s="742" t="s">
        <v>321</v>
      </c>
      <c r="AU32" s="744" t="s">
        <v>321</v>
      </c>
      <c r="AV32" s="223" t="s">
        <v>325</v>
      </c>
      <c r="AW32" s="742" t="s">
        <v>325</v>
      </c>
      <c r="AX32" s="744" t="s">
        <v>325</v>
      </c>
      <c r="AY32" s="223" t="s">
        <v>336</v>
      </c>
      <c r="AZ32" s="742" t="s">
        <v>336</v>
      </c>
      <c r="BA32" s="744" t="s">
        <v>336</v>
      </c>
      <c r="BB32" s="223" t="s">
        <v>337</v>
      </c>
      <c r="BC32" s="742" t="s">
        <v>337</v>
      </c>
      <c r="BD32" s="744" t="s">
        <v>337</v>
      </c>
      <c r="BE32" s="223" t="s">
        <v>338</v>
      </c>
      <c r="BF32" s="742" t="s">
        <v>338</v>
      </c>
      <c r="BG32" s="744" t="s">
        <v>338</v>
      </c>
      <c r="BH32" s="223" t="s">
        <v>339</v>
      </c>
      <c r="BI32" s="742" t="s">
        <v>339</v>
      </c>
      <c r="BJ32" s="744" t="s">
        <v>339</v>
      </c>
      <c r="BK32" s="223" t="s">
        <v>335</v>
      </c>
      <c r="BL32" s="742" t="s">
        <v>335</v>
      </c>
      <c r="BM32" s="744" t="s">
        <v>335</v>
      </c>
      <c r="BN32" s="223" t="s">
        <v>340</v>
      </c>
      <c r="BO32" s="742" t="s">
        <v>340</v>
      </c>
      <c r="BP32" s="744" t="s">
        <v>340</v>
      </c>
      <c r="BQ32" s="223" t="s">
        <v>341</v>
      </c>
      <c r="BR32" s="742" t="s">
        <v>341</v>
      </c>
      <c r="BS32" s="744" t="s">
        <v>341</v>
      </c>
      <c r="BT32" s="223" t="s">
        <v>342</v>
      </c>
      <c r="BU32" s="742" t="s">
        <v>342</v>
      </c>
      <c r="BV32" s="744" t="s">
        <v>342</v>
      </c>
      <c r="BW32" s="223" t="s">
        <v>343</v>
      </c>
      <c r="BX32" s="742" t="s">
        <v>343</v>
      </c>
      <c r="BY32" s="744" t="s">
        <v>343</v>
      </c>
      <c r="BZ32" s="223" t="s">
        <v>303</v>
      </c>
      <c r="CA32" s="742" t="s">
        <v>303</v>
      </c>
      <c r="CB32" s="744" t="s">
        <v>303</v>
      </c>
      <c r="CC32" s="223" t="s">
        <v>329</v>
      </c>
      <c r="CD32" s="742" t="s">
        <v>329</v>
      </c>
      <c r="CE32" s="744" t="s">
        <v>329</v>
      </c>
      <c r="CF32" s="223" t="s">
        <v>344</v>
      </c>
      <c r="CG32" s="742" t="s">
        <v>344</v>
      </c>
      <c r="CH32" s="744" t="s">
        <v>344</v>
      </c>
      <c r="CK32" s="1127"/>
      <c r="CL32" s="823" t="s">
        <v>672</v>
      </c>
      <c r="CM32" s="823">
        <v>1027.5356632394301</v>
      </c>
      <c r="CN32" s="814">
        <v>6619.1242565355706</v>
      </c>
      <c r="CO32" s="827">
        <v>14155.109041449583</v>
      </c>
      <c r="CP32" s="1127"/>
      <c r="CQ32" s="1127"/>
      <c r="CR32" s="1127"/>
      <c r="CS32" s="1127"/>
      <c r="CT32" s="1127"/>
      <c r="CU32" s="1127"/>
      <c r="CV32" s="1127"/>
      <c r="CW32" s="1127"/>
      <c r="CX32" s="1127"/>
      <c r="CY32" s="1127"/>
      <c r="CZ32" s="1127"/>
      <c r="DA32" s="1127"/>
      <c r="DB32" s="1127"/>
      <c r="DC32" s="1127"/>
      <c r="DD32" s="1127"/>
      <c r="DE32" s="1127"/>
      <c r="DF32" s="1127"/>
      <c r="DG32" s="1127"/>
      <c r="DH32" s="1127"/>
      <c r="DI32" s="1127"/>
      <c r="DJ32" s="1127"/>
      <c r="DK32" s="1127"/>
      <c r="DL32" s="1127"/>
      <c r="DM32" s="1127"/>
      <c r="DN32" s="1127"/>
      <c r="DO32" s="1127"/>
      <c r="DP32" s="1127"/>
      <c r="DQ32" s="1127"/>
    </row>
    <row r="33" spans="2:121" ht="15.75" thickBot="1">
      <c r="C33" s="261"/>
      <c r="F33" s="58"/>
      <c r="H33" s="223" t="s">
        <v>283</v>
      </c>
      <c r="I33" s="745" t="s">
        <v>292</v>
      </c>
      <c r="J33" s="735" t="s">
        <v>44</v>
      </c>
      <c r="K33" s="746" t="s">
        <v>46</v>
      </c>
      <c r="L33" s="745" t="s">
        <v>292</v>
      </c>
      <c r="M33" s="735" t="s">
        <v>44</v>
      </c>
      <c r="N33" s="746" t="s">
        <v>46</v>
      </c>
      <c r="O33" s="745" t="s">
        <v>292</v>
      </c>
      <c r="P33" s="735" t="s">
        <v>44</v>
      </c>
      <c r="Q33" s="746" t="s">
        <v>46</v>
      </c>
      <c r="R33" s="745" t="s">
        <v>292</v>
      </c>
      <c r="S33" s="735" t="s">
        <v>44</v>
      </c>
      <c r="T33" s="746" t="s">
        <v>46</v>
      </c>
      <c r="U33" s="745" t="s">
        <v>292</v>
      </c>
      <c r="V33" s="735" t="s">
        <v>44</v>
      </c>
      <c r="W33" s="746" t="s">
        <v>46</v>
      </c>
      <c r="X33" s="745" t="s">
        <v>292</v>
      </c>
      <c r="Y33" s="735" t="s">
        <v>44</v>
      </c>
      <c r="Z33" s="746" t="s">
        <v>46</v>
      </c>
      <c r="AA33" s="745" t="s">
        <v>292</v>
      </c>
      <c r="AB33" s="735" t="s">
        <v>44</v>
      </c>
      <c r="AC33" s="746" t="s">
        <v>46</v>
      </c>
      <c r="AD33" s="745" t="s">
        <v>292</v>
      </c>
      <c r="AE33" s="735" t="s">
        <v>44</v>
      </c>
      <c r="AF33" s="746" t="s">
        <v>46</v>
      </c>
      <c r="AG33" s="745" t="s">
        <v>292</v>
      </c>
      <c r="AH33" s="735" t="s">
        <v>44</v>
      </c>
      <c r="AI33" s="746" t="s">
        <v>46</v>
      </c>
      <c r="AJ33" s="745" t="s">
        <v>292</v>
      </c>
      <c r="AK33" s="735" t="s">
        <v>44</v>
      </c>
      <c r="AL33" s="746" t="s">
        <v>46</v>
      </c>
      <c r="AM33" s="745" t="s">
        <v>292</v>
      </c>
      <c r="AN33" s="735" t="s">
        <v>44</v>
      </c>
      <c r="AO33" s="746" t="s">
        <v>46</v>
      </c>
      <c r="AP33" s="745" t="s">
        <v>292</v>
      </c>
      <c r="AQ33" s="735" t="s">
        <v>44</v>
      </c>
      <c r="AR33" s="746" t="s">
        <v>46</v>
      </c>
      <c r="AS33" s="745" t="s">
        <v>292</v>
      </c>
      <c r="AT33" s="735" t="s">
        <v>44</v>
      </c>
      <c r="AU33" s="746" t="s">
        <v>46</v>
      </c>
      <c r="AV33" s="745" t="s">
        <v>292</v>
      </c>
      <c r="AW33" s="735" t="s">
        <v>44</v>
      </c>
      <c r="AX33" s="746" t="s">
        <v>46</v>
      </c>
      <c r="AY33" s="745" t="s">
        <v>292</v>
      </c>
      <c r="AZ33" s="735" t="s">
        <v>44</v>
      </c>
      <c r="BA33" s="746" t="s">
        <v>46</v>
      </c>
      <c r="BB33" s="745" t="s">
        <v>292</v>
      </c>
      <c r="BC33" s="735" t="s">
        <v>44</v>
      </c>
      <c r="BD33" s="746" t="s">
        <v>46</v>
      </c>
      <c r="BE33" s="745" t="s">
        <v>292</v>
      </c>
      <c r="BF33" s="735" t="s">
        <v>44</v>
      </c>
      <c r="BG33" s="746" t="s">
        <v>46</v>
      </c>
      <c r="BH33" s="745" t="s">
        <v>292</v>
      </c>
      <c r="BI33" s="735" t="s">
        <v>44</v>
      </c>
      <c r="BJ33" s="746" t="s">
        <v>46</v>
      </c>
      <c r="BK33" s="745" t="s">
        <v>292</v>
      </c>
      <c r="BL33" s="735" t="s">
        <v>44</v>
      </c>
      <c r="BM33" s="746" t="s">
        <v>46</v>
      </c>
      <c r="BN33" s="745" t="s">
        <v>292</v>
      </c>
      <c r="BO33" s="735" t="s">
        <v>44</v>
      </c>
      <c r="BP33" s="746" t="s">
        <v>46</v>
      </c>
      <c r="BQ33" s="745" t="s">
        <v>292</v>
      </c>
      <c r="BR33" s="735" t="s">
        <v>44</v>
      </c>
      <c r="BS33" s="746" t="s">
        <v>46</v>
      </c>
      <c r="BT33" s="745" t="s">
        <v>292</v>
      </c>
      <c r="BU33" s="735" t="s">
        <v>44</v>
      </c>
      <c r="BV33" s="746" t="s">
        <v>46</v>
      </c>
      <c r="BW33" s="745" t="s">
        <v>292</v>
      </c>
      <c r="BX33" s="735" t="s">
        <v>44</v>
      </c>
      <c r="BY33" s="746" t="s">
        <v>46</v>
      </c>
      <c r="BZ33" s="745" t="s">
        <v>292</v>
      </c>
      <c r="CA33" s="735" t="s">
        <v>44</v>
      </c>
      <c r="CB33" s="746" t="s">
        <v>46</v>
      </c>
      <c r="CC33" s="745" t="s">
        <v>292</v>
      </c>
      <c r="CD33" s="735" t="s">
        <v>44</v>
      </c>
      <c r="CE33" s="746" t="s">
        <v>46</v>
      </c>
      <c r="CF33" s="745" t="s">
        <v>292</v>
      </c>
      <c r="CG33" s="735" t="s">
        <v>44</v>
      </c>
      <c r="CH33" s="746" t="s">
        <v>46</v>
      </c>
      <c r="CK33" s="1127"/>
      <c r="CL33" s="822" t="s">
        <v>673</v>
      </c>
      <c r="CM33" s="822">
        <v>1175.2936766265591</v>
      </c>
      <c r="CN33" s="813">
        <v>10239.258420802398</v>
      </c>
      <c r="CO33" s="826">
        <v>15966.202026112715</v>
      </c>
      <c r="CP33" s="1127"/>
      <c r="CQ33" s="1127"/>
      <c r="CR33" s="1127"/>
      <c r="CS33" s="1127"/>
      <c r="CT33" s="1127"/>
      <c r="CU33" s="1127"/>
      <c r="CV33" s="1127"/>
      <c r="CW33" s="1127"/>
      <c r="CX33" s="1127"/>
      <c r="CY33" s="1127"/>
      <c r="CZ33" s="1127"/>
      <c r="DA33" s="1127"/>
      <c r="DB33" s="1127"/>
      <c r="DC33" s="1127"/>
      <c r="DD33" s="1127"/>
      <c r="DE33" s="1127"/>
      <c r="DF33" s="1127"/>
      <c r="DG33" s="1127"/>
      <c r="DH33" s="1127"/>
      <c r="DI33" s="1127"/>
      <c r="DJ33" s="1127"/>
      <c r="DK33" s="1127"/>
      <c r="DL33" s="1127"/>
      <c r="DM33" s="1127"/>
      <c r="DN33" s="1127"/>
      <c r="DO33" s="1127"/>
      <c r="DP33" s="1127"/>
      <c r="DQ33" s="1127"/>
    </row>
    <row r="34" spans="2:121" ht="15">
      <c r="C34" s="261"/>
      <c r="H34" s="737" t="s">
        <v>48</v>
      </c>
      <c r="I34" s="751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4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1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4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1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4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1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4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1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4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1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4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1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4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1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4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1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4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1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4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1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4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1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4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1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4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1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4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1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4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1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4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1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4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1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4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1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4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1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4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1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4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1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4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1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4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1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4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1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4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1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4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27"/>
      <c r="CL34" s="823" t="s">
        <v>674</v>
      </c>
      <c r="CM34" s="823">
        <v>676.45175529921289</v>
      </c>
      <c r="CN34" s="814">
        <v>5372.2948402948405</v>
      </c>
      <c r="CO34" s="827">
        <v>18080.993461874819</v>
      </c>
      <c r="CP34" s="1127"/>
      <c r="CQ34" s="1127"/>
      <c r="CR34" s="1127"/>
      <c r="CS34" s="1127"/>
      <c r="CT34" s="1127"/>
      <c r="CU34" s="1127"/>
      <c r="CV34" s="1127"/>
      <c r="CW34" s="1127"/>
      <c r="CX34" s="1127"/>
      <c r="CY34" s="1127"/>
      <c r="CZ34" s="1127"/>
      <c r="DA34" s="1127"/>
      <c r="DB34" s="1127"/>
      <c r="DC34" s="1127"/>
      <c r="DD34" s="1127"/>
      <c r="DE34" s="1127"/>
      <c r="DF34" s="1127"/>
      <c r="DG34" s="1127"/>
      <c r="DH34" s="1127"/>
      <c r="DI34" s="1127"/>
      <c r="DJ34" s="1127"/>
      <c r="DK34" s="1127"/>
      <c r="DL34" s="1127"/>
      <c r="DM34" s="1127"/>
      <c r="DN34" s="1127"/>
      <c r="DO34" s="1127"/>
      <c r="DP34" s="1127"/>
      <c r="DQ34" s="1127"/>
    </row>
    <row r="35" spans="2:121" ht="15">
      <c r="C35" s="261"/>
      <c r="H35" s="738" t="s">
        <v>50</v>
      </c>
      <c r="I35" s="752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5" cm="1">
        <f t="array" ref="K35">SUMPRODUCT((Table8[B1])*(Table8[Adjusted Total]/Table8[BER Total])*(Table8[Archetype]=K33)*(Table8[County]=K32))</f>
        <v>123.75780764357299</v>
      </c>
      <c r="L35" s="752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5" cm="1">
        <f t="array" ref="N35">SUMPRODUCT((Table8[B1])*(Table8[Adjusted Total]/Table8[BER Total])*(Table8[Archetype]=N33)*(Table8[County]=N32))</f>
        <v>846.66737684329325</v>
      </c>
      <c r="O35" s="752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5" cm="1">
        <f t="array" ref="Q35">SUMPRODUCT((Table8[B1])*(Table8[Adjusted Total]/Table8[BER Total])*(Table8[Archetype]=Q33)*(Table8[County]=Q32))</f>
        <v>367.48320159114041</v>
      </c>
      <c r="R35" s="752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5" cm="1">
        <f t="array" ref="T35">SUMPRODUCT((Table8[B1])*(Table8[Adjusted Total]/Table8[BER Total])*(Table8[Archetype]=T33)*(Table8[County]=T32))</f>
        <v>212.85039161267719</v>
      </c>
      <c r="U35" s="752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5" cm="1">
        <f t="array" ref="W35">SUMPRODUCT((Table8[B1])*(Table8[Adjusted Total]/Table8[BER Total])*(Table8[Archetype]=W33)*(Table8[County]=W32))</f>
        <v>128.66823477069238</v>
      </c>
      <c r="X35" s="752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5" cm="1">
        <f t="array" ref="Z35">SUMPRODUCT((Table8[B1])*(Table8[Adjusted Total]/Table8[BER Total])*(Table8[Archetype]=Z33)*(Table8[County]=Z32))</f>
        <v>109.49576034253809</v>
      </c>
      <c r="AA35" s="752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5" cm="1">
        <f t="array" ref="AC35">SUMPRODUCT((Table8[B1])*(Table8[Adjusted Total]/Table8[BER Total])*(Table8[Archetype]=AC33)*(Table8[County]=AC32))</f>
        <v>289.73384612615905</v>
      </c>
      <c r="AD35" s="752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5" cm="1">
        <f t="array" ref="AF35">SUMPRODUCT((Table8[B1])*(Table8[Adjusted Total]/Table8[BER Total])*(Table8[Archetype]=AF33)*(Table8[County]=AF32))</f>
        <v>355.66139766064578</v>
      </c>
      <c r="AG35" s="752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5" cm="1">
        <f t="array" ref="AI35">SUMPRODUCT((Table8[B1])*(Table8[Adjusted Total]/Table8[BER Total])*(Table8[Archetype]=AI33)*(Table8[County]=AI32))</f>
        <v>148.5951624816982</v>
      </c>
      <c r="AJ35" s="752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5" cm="1">
        <f t="array" ref="AL35">SUMPRODUCT((Table8[B1])*(Table8[Adjusted Total]/Table8[BER Total])*(Table8[Archetype]=AL33)*(Table8[County]=AL32))</f>
        <v>139.25904889812827</v>
      </c>
      <c r="AM35" s="752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5" cm="1">
        <f t="array" ref="AO35">SUMPRODUCT((Table8[B1])*(Table8[Adjusted Total]/Table8[BER Total])*(Table8[Archetype]=AO33)*(Table8[County]=AO32))</f>
        <v>287.10307092951456</v>
      </c>
      <c r="AP35" s="752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5" cm="1">
        <f t="array" ref="AR35">SUMPRODUCT((Table8[B1])*(Table8[Adjusted Total]/Table8[BER Total])*(Table8[Archetype]=AR33)*(Table8[County]=AR32))</f>
        <v>233.19134962091178</v>
      </c>
      <c r="AS35" s="752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5" cm="1">
        <f t="array" ref="AU35">SUMPRODUCT((Table8[B1])*(Table8[Adjusted Total]/Table8[BER Total])*(Table8[Archetype]=AU33)*(Table8[County]=AU32))</f>
        <v>192.72717299827923</v>
      </c>
      <c r="AV35" s="752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5" cm="1">
        <f t="array" ref="AX35">SUMPRODUCT((Table8[B1])*(Table8[Adjusted Total]/Table8[BER Total])*(Table8[Archetype]=AX33)*(Table8[County]=AX32))</f>
        <v>1244.8498339622822</v>
      </c>
      <c r="AY35" s="752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5" cm="1">
        <f t="array" ref="BA35">SUMPRODUCT((Table8[B1])*(Table8[Adjusted Total]/Table8[BER Total])*(Table8[Archetype]=BA33)*(Table8[County]=BA32))</f>
        <v>633.90151287867172</v>
      </c>
      <c r="BB35" s="752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5" cm="1">
        <f t="array" ref="BD35">SUMPRODUCT((Table8[B1])*(Table8[Adjusted Total]/Table8[BER Total])*(Table8[Archetype]=BD33)*(Table8[County]=BD32))</f>
        <v>270.55002609827488</v>
      </c>
      <c r="BE35" s="752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5" cm="1">
        <f t="array" ref="BG35">SUMPRODUCT((Table8[B1])*(Table8[Adjusted Total]/Table8[BER Total])*(Table8[Archetype]=BG33)*(Table8[County]=BG32))</f>
        <v>381.42936725340383</v>
      </c>
      <c r="BH35" s="752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5" cm="1">
        <f t="array" ref="BJ35">SUMPRODUCT((Table8[B1])*(Table8[Adjusted Total]/Table8[BER Total])*(Table8[Archetype]=BJ33)*(Table8[County]=BJ32))</f>
        <v>266.43764216236093</v>
      </c>
      <c r="BK35" s="752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5" cm="1">
        <f t="array" ref="BM35">SUMPRODUCT((Table8[B1])*(Table8[Adjusted Total]/Table8[BER Total])*(Table8[Archetype]=BM33)*(Table8[County]=BM32))</f>
        <v>599.40483730921778</v>
      </c>
      <c r="BN35" s="752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5" cm="1">
        <f t="array" ref="BP35">SUMPRODUCT((Table8[B1])*(Table8[Adjusted Total]/Table8[BER Total])*(Table8[Archetype]=BP33)*(Table8[County]=BP32))</f>
        <v>75.112744355104894</v>
      </c>
      <c r="BQ35" s="752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5" cm="1">
        <f t="array" ref="BS35">SUMPRODUCT((Table8[B1])*(Table8[Adjusted Total]/Table8[BER Total])*(Table8[Archetype]=BS33)*(Table8[County]=BS32))</f>
        <v>299.94430492002152</v>
      </c>
      <c r="BT35" s="752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5" cm="1">
        <f t="array" ref="BV35">SUMPRODUCT((Table8[B1])*(Table8[Adjusted Total]/Table8[BER Total])*(Table8[Archetype]=BV33)*(Table8[County]=BV32))</f>
        <v>81.804609103641766</v>
      </c>
      <c r="BW35" s="752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5" cm="1">
        <f t="array" ref="BY35">SUMPRODUCT((Table8[B1])*(Table8[Adjusted Total]/Table8[BER Total])*(Table8[Archetype]=BY33)*(Table8[County]=BY32))</f>
        <v>179.78583084080256</v>
      </c>
      <c r="BZ35" s="752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5" cm="1">
        <f t="array" ref="CB35">SUMPRODUCT((Table8[B1])*(Table8[Adjusted Total]/Table8[BER Total])*(Table8[Archetype]=CB33)*(Table8[County]=CB32))</f>
        <v>157.47913172361709</v>
      </c>
      <c r="CC35" s="752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5" cm="1">
        <f t="array" ref="CE35">SUMPRODUCT((Table8[B1])*(Table8[Adjusted Total]/Table8[BER Total])*(Table8[Archetype]=CE33)*(Table8[County]=CE32))</f>
        <v>353.46991530883668</v>
      </c>
      <c r="CF35" s="752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5" cm="1">
        <f t="array" ref="CH35">SUMPRODUCT((Table8[B1])*(Table8[Adjusted Total]/Table8[BER Total])*(Table8[Archetype]=CH33)*(Table8[County]=CH32))</f>
        <v>207.42901387031404</v>
      </c>
      <c r="CI35" s="310">
        <f t="shared" ref="CI35:CI43" si="9">SUM(I35:CH35)</f>
        <v>20111.86307257153</v>
      </c>
      <c r="CK35" s="1127"/>
      <c r="CL35" s="822" t="s">
        <v>675</v>
      </c>
      <c r="CM35" s="822">
        <v>1676.0939551367242</v>
      </c>
      <c r="CN35" s="813">
        <v>8889.5641738149861</v>
      </c>
      <c r="CO35" s="826">
        <v>14494.215013491199</v>
      </c>
      <c r="CP35" s="1127"/>
      <c r="CQ35" s="1127"/>
      <c r="CR35" s="1127"/>
      <c r="CS35" s="1127"/>
      <c r="CT35" s="1127"/>
      <c r="CU35" s="1127"/>
      <c r="CV35" s="1127"/>
      <c r="CW35" s="1127"/>
      <c r="CX35" s="1127"/>
      <c r="CY35" s="1127"/>
      <c r="CZ35" s="1127"/>
      <c r="DA35" s="1127"/>
      <c r="DB35" s="1127"/>
      <c r="DC35" s="1127"/>
      <c r="DD35" s="1127"/>
      <c r="DE35" s="1127"/>
      <c r="DF35" s="1127"/>
      <c r="DG35" s="1127"/>
      <c r="DH35" s="1127"/>
      <c r="DI35" s="1127"/>
      <c r="DJ35" s="1127"/>
      <c r="DK35" s="1127"/>
      <c r="DL35" s="1127"/>
      <c r="DM35" s="1127"/>
      <c r="DN35" s="1127"/>
      <c r="DO35" s="1127"/>
      <c r="DP35" s="1127"/>
      <c r="DQ35" s="1127"/>
    </row>
    <row r="36" spans="2:121" ht="15">
      <c r="C36" s="261"/>
      <c r="H36" s="739" t="s">
        <v>52</v>
      </c>
      <c r="I36" s="753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6" cm="1">
        <f t="array" ref="K36">SUMPRODUCT((Table8[B2])*(Table8[Adjusted Total]/Table8[BER Total])*(Table8[Archetype]=K33)*(Table8[County]=K32))</f>
        <v>234.88726756841405</v>
      </c>
      <c r="L36" s="753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6" cm="1">
        <f t="array" ref="N36">SUMPRODUCT((Table8[B2])*(Table8[Adjusted Total]/Table8[BER Total])*(Table8[Archetype]=N33)*(Table8[County]=N32))</f>
        <v>1801.6294181665426</v>
      </c>
      <c r="O36" s="753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6" cm="1">
        <f t="array" ref="Q36">SUMPRODUCT((Table8[B2])*(Table8[Adjusted Total]/Table8[BER Total])*(Table8[Archetype]=Q33)*(Table8[County]=Q32))</f>
        <v>943.38971154740523</v>
      </c>
      <c r="R36" s="753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6" cm="1">
        <f t="array" ref="T36">SUMPRODUCT((Table8[B2])*(Table8[Adjusted Total]/Table8[BER Total])*(Table8[Archetype]=T33)*(Table8[County]=T32))</f>
        <v>439.65818595405455</v>
      </c>
      <c r="U36" s="753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6" cm="1">
        <f t="array" ref="W36">SUMPRODUCT((Table8[B2])*(Table8[Adjusted Total]/Table8[BER Total])*(Table8[Archetype]=W33)*(Table8[County]=W32))</f>
        <v>380.02013525297519</v>
      </c>
      <c r="X36" s="753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6" cm="1">
        <f t="array" ref="Z36">SUMPRODUCT((Table8[B2])*(Table8[Adjusted Total]/Table8[BER Total])*(Table8[Archetype]=Z33)*(Table8[County]=Z32))</f>
        <v>227.00340558818871</v>
      </c>
      <c r="AA36" s="753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6" cm="1">
        <f t="array" ref="AC36">SUMPRODUCT((Table8[B2])*(Table8[Adjusted Total]/Table8[BER Total])*(Table8[Archetype]=AC33)*(Table8[County]=AC32))</f>
        <v>669.02179014585806</v>
      </c>
      <c r="AD36" s="753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6" cm="1">
        <f t="array" ref="AF36">SUMPRODUCT((Table8[B2])*(Table8[Adjusted Total]/Table8[BER Total])*(Table8[Archetype]=AF33)*(Table8[County]=AF32))</f>
        <v>912.86425399565746</v>
      </c>
      <c r="AG36" s="753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6" cm="1">
        <f t="array" ref="AI36">SUMPRODUCT((Table8[B2])*(Table8[Adjusted Total]/Table8[BER Total])*(Table8[Archetype]=AI33)*(Table8[County]=AI32))</f>
        <v>293.88821024158085</v>
      </c>
      <c r="AJ36" s="753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6" cm="1">
        <f t="array" ref="AL36">SUMPRODUCT((Table8[B2])*(Table8[Adjusted Total]/Table8[BER Total])*(Table8[Archetype]=AL33)*(Table8[County]=AL32))</f>
        <v>343.88459013619428</v>
      </c>
      <c r="AM36" s="753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6" cm="1">
        <f t="array" ref="AO36">SUMPRODUCT((Table8[B2])*(Table8[Adjusted Total]/Table8[BER Total])*(Table8[Archetype]=AO33)*(Table8[County]=AO32))</f>
        <v>809.95744400440287</v>
      </c>
      <c r="AP36" s="753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6" cm="1">
        <f t="array" ref="AR36">SUMPRODUCT((Table8[B2])*(Table8[Adjusted Total]/Table8[BER Total])*(Table8[Archetype]=AR33)*(Table8[County]=AR32))</f>
        <v>613.10984057632982</v>
      </c>
      <c r="AS36" s="753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6" cm="1">
        <f t="array" ref="AU36">SUMPRODUCT((Table8[B2])*(Table8[Adjusted Total]/Table8[BER Total])*(Table8[Archetype]=AU33)*(Table8[County]=AU32))</f>
        <v>595.47754734083708</v>
      </c>
      <c r="AV36" s="753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6" cm="1">
        <f t="array" ref="AX36">SUMPRODUCT((Table8[B2])*(Table8[Adjusted Total]/Table8[BER Total])*(Table8[Archetype]=AX33)*(Table8[County]=AX32))</f>
        <v>3053.5594395442417</v>
      </c>
      <c r="AY36" s="753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6" cm="1">
        <f t="array" ref="BA36">SUMPRODUCT((Table8[B2])*(Table8[Adjusted Total]/Table8[BER Total])*(Table8[Archetype]=BA33)*(Table8[County]=BA32))</f>
        <v>1250.1244975097309</v>
      </c>
      <c r="BB36" s="753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6" cm="1">
        <f t="array" ref="BD36">SUMPRODUCT((Table8[B2])*(Table8[Adjusted Total]/Table8[BER Total])*(Table8[Archetype]=BD33)*(Table8[County]=BD32))</f>
        <v>623.0849085899664</v>
      </c>
      <c r="BE36" s="753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6" cm="1">
        <f t="array" ref="BG36">SUMPRODUCT((Table8[B2])*(Table8[Adjusted Total]/Table8[BER Total])*(Table8[Archetype]=BG33)*(Table8[County]=BG32))</f>
        <v>728.18333748377086</v>
      </c>
      <c r="BH36" s="753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6" cm="1">
        <f t="array" ref="BJ36">SUMPRODUCT((Table8[B2])*(Table8[Adjusted Total]/Table8[BER Total])*(Table8[Archetype]=BJ33)*(Table8[County]=BJ32))</f>
        <v>511.34496980655132</v>
      </c>
      <c r="BK36" s="753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6" cm="1">
        <f t="array" ref="BM36">SUMPRODUCT((Table8[B2])*(Table8[Adjusted Total]/Table8[BER Total])*(Table8[Archetype]=BM33)*(Table8[County]=BM32))</f>
        <v>1439.5962331956425</v>
      </c>
      <c r="BN36" s="753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6" cm="1">
        <f t="array" ref="BP36">SUMPRODUCT((Table8[B2])*(Table8[Adjusted Total]/Table8[BER Total])*(Table8[Archetype]=BP33)*(Table8[County]=BP32))</f>
        <v>222.83447492014454</v>
      </c>
      <c r="BQ36" s="753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6" cm="1">
        <f t="array" ref="BS36">SUMPRODUCT((Table8[B2])*(Table8[Adjusted Total]/Table8[BER Total])*(Table8[Archetype]=BS33)*(Table8[County]=BS32))</f>
        <v>613.39961456617016</v>
      </c>
      <c r="BT36" s="753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6" cm="1">
        <f t="array" ref="BV36">SUMPRODUCT((Table8[B2])*(Table8[Adjusted Total]/Table8[BER Total])*(Table8[Archetype]=BV33)*(Table8[County]=BV32))</f>
        <v>283.39453868047326</v>
      </c>
      <c r="BW36" s="753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6" cm="1">
        <f t="array" ref="BY36">SUMPRODUCT((Table8[B2])*(Table8[Adjusted Total]/Table8[BER Total])*(Table8[Archetype]=BY33)*(Table8[County]=BY32))</f>
        <v>300.53750827119234</v>
      </c>
      <c r="BZ36" s="753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6" cm="1">
        <f t="array" ref="CB36">SUMPRODUCT((Table8[B2])*(Table8[Adjusted Total]/Table8[BER Total])*(Table8[Archetype]=CB33)*(Table8[County]=CB32))</f>
        <v>494.15865471893636</v>
      </c>
      <c r="CC36" s="753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6" cm="1">
        <f t="array" ref="CE36">SUMPRODUCT((Table8[B2])*(Table8[Adjusted Total]/Table8[BER Total])*(Table8[Archetype]=CE33)*(Table8[County]=CE32))</f>
        <v>824.76313572061883</v>
      </c>
      <c r="CF36" s="753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6" cm="1">
        <f t="array" ref="CH36">SUMPRODUCT((Table8[B2])*(Table8[Adjusted Total]/Table8[BER Total])*(Table8[Archetype]=CH33)*(Table8[County]=CH32))</f>
        <v>364.9214132903673</v>
      </c>
      <c r="CI36" s="312">
        <f t="shared" si="9"/>
        <v>47538.594215753437</v>
      </c>
      <c r="CK36" s="1127"/>
      <c r="CL36" s="823" t="s">
        <v>676</v>
      </c>
      <c r="CM36" s="823">
        <v>2382.2341251096568</v>
      </c>
      <c r="CN36" s="814">
        <v>21954.232438086234</v>
      </c>
      <c r="CO36" s="827">
        <v>34965.040184897764</v>
      </c>
      <c r="CP36" s="1127"/>
      <c r="CQ36" s="1127"/>
      <c r="CR36" s="1127"/>
      <c r="CS36" s="1127"/>
      <c r="CT36" s="1127"/>
      <c r="CU36" s="1127"/>
      <c r="CV36" s="1127"/>
      <c r="CW36" s="1127"/>
      <c r="CX36" s="1127"/>
      <c r="CY36" s="1127"/>
      <c r="CZ36" s="1127"/>
      <c r="DA36" s="1127"/>
      <c r="DB36" s="1127"/>
      <c r="DC36" s="1127"/>
      <c r="DD36" s="1127"/>
      <c r="DE36" s="1127"/>
      <c r="DF36" s="1127"/>
      <c r="DG36" s="1127"/>
      <c r="DH36" s="1127"/>
      <c r="DI36" s="1127"/>
      <c r="DJ36" s="1127"/>
      <c r="DK36" s="1127"/>
      <c r="DL36" s="1127"/>
      <c r="DM36" s="1127"/>
      <c r="DN36" s="1127"/>
      <c r="DO36" s="1127"/>
      <c r="DP36" s="1127"/>
      <c r="DQ36" s="1127"/>
    </row>
    <row r="37" spans="2:121" ht="15">
      <c r="C37" s="261"/>
      <c r="H37" s="738" t="s">
        <v>54</v>
      </c>
      <c r="I37" s="752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5" cm="1">
        <f t="array" ref="K37">SUMPRODUCT((Table8[B3])*(Table8[Adjusted Total]/Table8[BER Total])*(Table8[Archetype]=K33)*(Table8[County]=K32))</f>
        <v>734.96983723019878</v>
      </c>
      <c r="L37" s="752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5" cm="1">
        <f t="array" ref="N37">SUMPRODUCT((Table8[B3])*(Table8[Adjusted Total]/Table8[BER Total])*(Table8[Archetype]=N33)*(Table8[County]=N32))</f>
        <v>3901.0691636529646</v>
      </c>
      <c r="O37" s="752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5" cm="1">
        <f t="array" ref="Q37">SUMPRODUCT((Table8[B3])*(Table8[Adjusted Total]/Table8[BER Total])*(Table8[Archetype]=Q33)*(Table8[County]=Q32))</f>
        <v>2835.6539585465612</v>
      </c>
      <c r="R37" s="752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5" cm="1">
        <f t="array" ref="T37">SUMPRODUCT((Table8[B3])*(Table8[Adjusted Total]/Table8[BER Total])*(Table8[Archetype]=T33)*(Table8[County]=T32))</f>
        <v>1277.1023496760631</v>
      </c>
      <c r="U37" s="752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5" cm="1">
        <f t="array" ref="W37">SUMPRODUCT((Table8[B3])*(Table8[Adjusted Total]/Table8[BER Total])*(Table8[Archetype]=W33)*(Table8[County]=W32))</f>
        <v>1199.9060963499453</v>
      </c>
      <c r="X37" s="752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5" cm="1">
        <f t="array" ref="Z37">SUMPRODUCT((Table8[B3])*(Table8[Adjusted Total]/Table8[BER Total])*(Table8[Archetype]=Z33)*(Table8[County]=Z32))</f>
        <v>691.69272996871621</v>
      </c>
      <c r="AA37" s="752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5" cm="1">
        <f t="array" ref="AC37">SUMPRODUCT((Table8[B3])*(Table8[Adjusted Total]/Table8[BER Total])*(Table8[Archetype]=AC33)*(Table8[County]=AC32))</f>
        <v>1609.3398180280287</v>
      </c>
      <c r="AD37" s="752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5" cm="1">
        <f t="array" ref="AF37">SUMPRODUCT((Table8[B3])*(Table8[Adjusted Total]/Table8[BER Total])*(Table8[Archetype]=AF33)*(Table8[County]=AF32))</f>
        <v>2726.7373820649509</v>
      </c>
      <c r="AG37" s="752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5" cm="1">
        <f t="array" ref="AI37">SUMPRODUCT((Table8[B3])*(Table8[Adjusted Total]/Table8[BER Total])*(Table8[Archetype]=AI33)*(Table8[County]=AI32))</f>
        <v>894.87308961200461</v>
      </c>
      <c r="AJ37" s="752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5" cm="1">
        <f t="array" ref="AL37">SUMPRODUCT((Table8[B3])*(Table8[Adjusted Total]/Table8[BER Total])*(Table8[Archetype]=AL33)*(Table8[County]=AL32))</f>
        <v>1128.2824982154473</v>
      </c>
      <c r="AM37" s="752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5" cm="1">
        <f t="array" ref="AO37">SUMPRODUCT((Table8[B3])*(Table8[Adjusted Total]/Table8[BER Total])*(Table8[Archetype]=AO33)*(Table8[County]=AO32))</f>
        <v>2208.1260577180551</v>
      </c>
      <c r="AP37" s="752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5" cm="1">
        <f t="array" ref="AR37">SUMPRODUCT((Table8[B3])*(Table8[Adjusted Total]/Table8[BER Total])*(Table8[Archetype]=AR33)*(Table8[County]=AR32))</f>
        <v>1629.7193198225518</v>
      </c>
      <c r="AS37" s="752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5" cm="1">
        <f t="array" ref="AU37">SUMPRODUCT((Table8[B3])*(Table8[Adjusted Total]/Table8[BER Total])*(Table8[Archetype]=AU33)*(Table8[County]=AU32))</f>
        <v>1749.369724138227</v>
      </c>
      <c r="AV37" s="752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5" cm="1">
        <f t="array" ref="AX37">SUMPRODUCT((Table8[B3])*(Table8[Adjusted Total]/Table8[BER Total])*(Table8[Archetype]=AX33)*(Table8[County]=AX32))</f>
        <v>9133.4387161390205</v>
      </c>
      <c r="AY37" s="752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5" cm="1">
        <f t="array" ref="BA37">SUMPRODUCT((Table8[B3])*(Table8[Adjusted Total]/Table8[BER Total])*(Table8[Archetype]=BA33)*(Table8[County]=BA32))</f>
        <v>2871.4980882193213</v>
      </c>
      <c r="BB37" s="752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5" cm="1">
        <f t="array" ref="BD37">SUMPRODUCT((Table8[B3])*(Table8[Adjusted Total]/Table8[BER Total])*(Table8[Archetype]=BD33)*(Table8[County]=BD32))</f>
        <v>2137.0719233217269</v>
      </c>
      <c r="BE37" s="752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5" cm="1">
        <f t="array" ref="BG37">SUMPRODUCT((Table8[B3])*(Table8[Adjusted Total]/Table8[BER Total])*(Table8[Archetype]=BG33)*(Table8[County]=BG32))</f>
        <v>2069.8544684520375</v>
      </c>
      <c r="BH37" s="752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5" cm="1">
        <f t="array" ref="BJ37">SUMPRODUCT((Table8[B3])*(Table8[Adjusted Total]/Table8[BER Total])*(Table8[Archetype]=BJ33)*(Table8[County]=BJ32))</f>
        <v>1501.7394376423981</v>
      </c>
      <c r="BK37" s="752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5" cm="1">
        <f t="array" ref="BM37">SUMPRODUCT((Table8[B3])*(Table8[Adjusted Total]/Table8[BER Total])*(Table8[Archetype]=BM33)*(Table8[County]=BM32))</f>
        <v>4503.2209572205329</v>
      </c>
      <c r="BN37" s="752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5" cm="1">
        <f t="array" ref="BP37">SUMPRODUCT((Table8[B3])*(Table8[Adjusted Total]/Table8[BER Total])*(Table8[Archetype]=BP33)*(Table8[County]=BP32))</f>
        <v>583.37564782464801</v>
      </c>
      <c r="BQ37" s="752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5" cm="1">
        <f t="array" ref="BS37">SUMPRODUCT((Table8[B3])*(Table8[Adjusted Total]/Table8[BER Total])*(Table8[Archetype]=BS33)*(Table8[County]=BS32))</f>
        <v>1888.8384607125681</v>
      </c>
      <c r="BT37" s="752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5" cm="1">
        <f t="array" ref="BV37">SUMPRODUCT((Table8[B3])*(Table8[Adjusted Total]/Table8[BER Total])*(Table8[Archetype]=BV33)*(Table8[County]=BV32))</f>
        <v>1110.2054092637097</v>
      </c>
      <c r="BW37" s="752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5" cm="1">
        <f t="array" ref="BY37">SUMPRODUCT((Table8[B3])*(Table8[Adjusted Total]/Table8[BER Total])*(Table8[Archetype]=BY33)*(Table8[County]=BY32))</f>
        <v>1011.63071980571</v>
      </c>
      <c r="BZ37" s="752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5" cm="1">
        <f t="array" ref="CB37">SUMPRODUCT((Table8[B3])*(Table8[Adjusted Total]/Table8[BER Total])*(Table8[Archetype]=CB33)*(Table8[County]=CB32))</f>
        <v>1531.3487981400006</v>
      </c>
      <c r="CC37" s="752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5" cm="1">
        <f t="array" ref="CE37">SUMPRODUCT((Table8[B3])*(Table8[Adjusted Total]/Table8[BER Total])*(Table8[Archetype]=CE33)*(Table8[County]=CE32))</f>
        <v>2521.4187292030347</v>
      </c>
      <c r="CF37" s="752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5" cm="1">
        <f t="array" ref="CH37">SUMPRODUCT((Table8[B3])*(Table8[Adjusted Total]/Table8[BER Total])*(Table8[Archetype]=CH33)*(Table8[County]=CH32))</f>
        <v>1098.6055179057373</v>
      </c>
      <c r="CI37" s="310">
        <f t="shared" si="9"/>
        <v>125679.87748548566</v>
      </c>
      <c r="CK37" s="1127"/>
      <c r="CL37" s="822" t="s">
        <v>677</v>
      </c>
      <c r="CM37" s="822">
        <v>3199.1719442467102</v>
      </c>
      <c r="CN37" s="813">
        <v>21769.226916806354</v>
      </c>
      <c r="CO37" s="826">
        <v>19142.703253806059</v>
      </c>
      <c r="CP37" s="1127"/>
      <c r="CQ37" s="1127"/>
      <c r="CR37" s="1127"/>
      <c r="CS37" s="1127"/>
      <c r="CT37" s="1127"/>
      <c r="CU37" s="1127"/>
      <c r="CV37" s="1127"/>
      <c r="CW37" s="1127"/>
      <c r="CX37" s="1127"/>
      <c r="CY37" s="1127"/>
      <c r="CZ37" s="1127"/>
      <c r="DA37" s="1127"/>
      <c r="DB37" s="1127"/>
      <c r="DC37" s="1127"/>
      <c r="DD37" s="1127"/>
      <c r="DE37" s="1127"/>
      <c r="DF37" s="1127"/>
      <c r="DG37" s="1127"/>
      <c r="DH37" s="1127"/>
      <c r="DI37" s="1127"/>
      <c r="DJ37" s="1127"/>
      <c r="DK37" s="1127"/>
      <c r="DL37" s="1127"/>
      <c r="DM37" s="1127"/>
      <c r="DN37" s="1127"/>
      <c r="DO37" s="1127"/>
      <c r="DP37" s="1127"/>
      <c r="DQ37" s="1127"/>
    </row>
    <row r="38" spans="2:121" ht="15">
      <c r="C38" s="261"/>
      <c r="H38" s="739" t="s">
        <v>56</v>
      </c>
      <c r="I38" s="753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6" cm="1">
        <f t="array" ref="K38">SUMPRODUCT((Table8[C])*(Table8[Adjusted Total]/Table8[BER Total])*(Table8[Archetype]=K33)*(Table8[County]=K32))</f>
        <v>3849.1203846694948</v>
      </c>
      <c r="L38" s="753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6" cm="1">
        <f t="array" ref="N38">SUMPRODUCT((Table8[C])*(Table8[Adjusted Total]/Table8[BER Total])*(Table8[Archetype]=N33)*(Table8[County]=N32))</f>
        <v>17917.844486683647</v>
      </c>
      <c r="O38" s="753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6" cm="1">
        <f t="array" ref="Q38">SUMPRODUCT((Table8[C])*(Table8[Adjusted Total]/Table8[BER Total])*(Table8[Archetype]=Q33)*(Table8[County]=Q32))</f>
        <v>12209.218011072815</v>
      </c>
      <c r="R38" s="753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6" cm="1">
        <f t="array" ref="T38">SUMPRODUCT((Table8[C])*(Table8[Adjusted Total]/Table8[BER Total])*(Table8[Archetype]=T33)*(Table8[County]=T32))</f>
        <v>7320.657731203225</v>
      </c>
      <c r="U38" s="753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6" cm="1">
        <f t="array" ref="W38">SUMPRODUCT((Table8[C])*(Table8[Adjusted Total]/Table8[BER Total])*(Table8[Archetype]=W33)*(Table8[County]=W32))</f>
        <v>6229.936390525153</v>
      </c>
      <c r="X38" s="753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6" cm="1">
        <f t="array" ref="Z38">SUMPRODUCT((Table8[C])*(Table8[Adjusted Total]/Table8[BER Total])*(Table8[Archetype]=Z33)*(Table8[County]=Z32))</f>
        <v>3343.6266328989677</v>
      </c>
      <c r="AA38" s="753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6" cm="1">
        <f t="array" ref="AC38">SUMPRODUCT((Table8[C])*(Table8[Adjusted Total]/Table8[BER Total])*(Table8[Archetype]=AC33)*(Table8[County]=AC32))</f>
        <v>7274.9534818222837</v>
      </c>
      <c r="AD38" s="753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6" cm="1">
        <f t="array" ref="AF38">SUMPRODUCT((Table8[C])*(Table8[Adjusted Total]/Table8[BER Total])*(Table8[Archetype]=AF33)*(Table8[County]=AF32))</f>
        <v>13295.808582547141</v>
      </c>
      <c r="AG38" s="753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6" cm="1">
        <f t="array" ref="AI38">SUMPRODUCT((Table8[C])*(Table8[Adjusted Total]/Table8[BER Total])*(Table8[Archetype]=AI33)*(Table8[County]=AI32))</f>
        <v>5640.0119448609003</v>
      </c>
      <c r="AJ38" s="753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6" cm="1">
        <f t="array" ref="AL38">SUMPRODUCT((Table8[C])*(Table8[Adjusted Total]/Table8[BER Total])*(Table8[Archetype]=AL33)*(Table8[County]=AL32))</f>
        <v>5945.5087815282513</v>
      </c>
      <c r="AM38" s="753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6" cm="1">
        <f t="array" ref="AO38">SUMPRODUCT((Table8[C])*(Table8[Adjusted Total]/Table8[BER Total])*(Table8[Archetype]=AO33)*(Table8[County]=AO32))</f>
        <v>13500.846847612294</v>
      </c>
      <c r="AP38" s="753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6" cm="1">
        <f t="array" ref="AR38">SUMPRODUCT((Table8[C])*(Table8[Adjusted Total]/Table8[BER Total])*(Table8[Archetype]=AR33)*(Table8[County]=AR32))</f>
        <v>7600.9899466321913</v>
      </c>
      <c r="AS38" s="753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6" cm="1">
        <f t="array" ref="AU38">SUMPRODUCT((Table8[C])*(Table8[Adjusted Total]/Table8[BER Total])*(Table8[Archetype]=AU33)*(Table8[County]=AU32))</f>
        <v>9997.1043839876638</v>
      </c>
      <c r="AV38" s="753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6" cm="1">
        <f t="array" ref="AX38">SUMPRODUCT((Table8[C])*(Table8[Adjusted Total]/Table8[BER Total])*(Table8[Archetype]=AX33)*(Table8[County]=AX32))</f>
        <v>32856.408527906016</v>
      </c>
      <c r="AY38" s="753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6" cm="1">
        <f t="array" ref="BA38">SUMPRODUCT((Table8[C])*(Table8[Adjusted Total]/Table8[BER Total])*(Table8[Archetype]=BA33)*(Table8[County]=BA32))</f>
        <v>12839.662515837317</v>
      </c>
      <c r="BB38" s="753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6" cm="1">
        <f t="array" ref="BD38">SUMPRODUCT((Table8[C])*(Table8[Adjusted Total]/Table8[BER Total])*(Table8[Archetype]=BD33)*(Table8[County]=BD32))</f>
        <v>11450.551609613854</v>
      </c>
      <c r="BE38" s="753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6" cm="1">
        <f t="array" ref="BG38">SUMPRODUCT((Table8[C])*(Table8[Adjusted Total]/Table8[BER Total])*(Table8[Archetype]=BG33)*(Table8[County]=BG32))</f>
        <v>11709.614840856242</v>
      </c>
      <c r="BH38" s="753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6" cm="1">
        <f t="array" ref="BJ38">SUMPRODUCT((Table8[C])*(Table8[Adjusted Total]/Table8[BER Total])*(Table8[Archetype]=BJ33)*(Table8[County]=BJ32))</f>
        <v>7495.2407416381338</v>
      </c>
      <c r="BK38" s="753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6" cm="1">
        <f t="array" ref="BM38">SUMPRODUCT((Table8[C])*(Table8[Adjusted Total]/Table8[BER Total])*(Table8[Archetype]=BM33)*(Table8[County]=BM32))</f>
        <v>20653.851295830013</v>
      </c>
      <c r="BN38" s="753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6" cm="1">
        <f t="array" ref="BP38">SUMPRODUCT((Table8[C])*(Table8[Adjusted Total]/Table8[BER Total])*(Table8[Archetype]=BP33)*(Table8[County]=BP32))</f>
        <v>3292.441960898765</v>
      </c>
      <c r="BQ38" s="753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6" cm="1">
        <f t="array" ref="BS38">SUMPRODUCT((Table8[C])*(Table8[Adjusted Total]/Table8[BER Total])*(Table8[Archetype]=BS33)*(Table8[County]=BS32))</f>
        <v>11892.386359937071</v>
      </c>
      <c r="BT38" s="753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6" cm="1">
        <f t="array" ref="BV38">SUMPRODUCT((Table8[C])*(Table8[Adjusted Total]/Table8[BER Total])*(Table8[Archetype]=BV33)*(Table8[County]=BV32))</f>
        <v>6409.9754419067876</v>
      </c>
      <c r="BW38" s="753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6" cm="1">
        <f t="array" ref="BY38">SUMPRODUCT((Table8[C])*(Table8[Adjusted Total]/Table8[BER Total])*(Table8[Archetype]=BY33)*(Table8[County]=BY32))</f>
        <v>4693.2151961278159</v>
      </c>
      <c r="BZ38" s="753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6" cm="1">
        <f t="array" ref="CB38">SUMPRODUCT((Table8[C])*(Table8[Adjusted Total]/Table8[BER Total])*(Table8[Archetype]=CB33)*(Table8[County]=CB32))</f>
        <v>7070.2699829017047</v>
      </c>
      <c r="CC38" s="753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6" cm="1">
        <f t="array" ref="CE38">SUMPRODUCT((Table8[C])*(Table8[Adjusted Total]/Table8[BER Total])*(Table8[Archetype]=CE33)*(Table8[County]=CE32))</f>
        <v>15493.76462103734</v>
      </c>
      <c r="CF38" s="753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6" cm="1">
        <f t="array" ref="CH38">SUMPRODUCT((Table8[C])*(Table8[Adjusted Total]/Table8[BER Total])*(Table8[Archetype]=CH33)*(Table8[County]=CH32))</f>
        <v>4782.3911531211288</v>
      </c>
      <c r="CI38" s="312">
        <f t="shared" si="9"/>
        <v>629605.4523415782</v>
      </c>
      <c r="CK38" s="1127"/>
      <c r="CL38" s="823" t="s">
        <v>678</v>
      </c>
      <c r="CM38" s="823">
        <v>2888.9605821519499</v>
      </c>
      <c r="CN38" s="814">
        <v>12264.197780781444</v>
      </c>
      <c r="CO38" s="827">
        <v>16822.932669034672</v>
      </c>
      <c r="CP38" s="1127"/>
      <c r="CQ38" s="1127"/>
      <c r="CR38" s="1127"/>
      <c r="CS38" s="1127"/>
      <c r="CT38" s="1127"/>
      <c r="CU38" s="1127"/>
      <c r="CV38" s="1127"/>
      <c r="CW38" s="1127"/>
      <c r="CX38" s="1127"/>
      <c r="CY38" s="1127"/>
      <c r="CZ38" s="1127"/>
      <c r="DA38" s="1127"/>
      <c r="DB38" s="1127"/>
      <c r="DC38" s="1127"/>
      <c r="DD38" s="1127"/>
      <c r="DE38" s="1127"/>
      <c r="DF38" s="1127"/>
      <c r="DG38" s="1127"/>
      <c r="DH38" s="1127"/>
      <c r="DI38" s="1127"/>
      <c r="DJ38" s="1127"/>
      <c r="DK38" s="1127"/>
      <c r="DL38" s="1127"/>
      <c r="DM38" s="1127"/>
      <c r="DN38" s="1127"/>
      <c r="DO38" s="1127"/>
      <c r="DP38" s="1127"/>
      <c r="DQ38" s="1127"/>
    </row>
    <row r="39" spans="2:121" ht="15">
      <c r="C39" s="261"/>
      <c r="H39" s="738" t="s">
        <v>58</v>
      </c>
      <c r="I39" s="752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5" cm="1">
        <f t="array" ref="K39">SUMPRODUCT((Table8[D])*(Table8[Adjusted Total]/Table8[BER Total])*(Table8[Archetype]=K33)*(Table8[County]=K32))</f>
        <v>2611.5423082337647</v>
      </c>
      <c r="L39" s="752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5" cm="1">
        <f t="array" ref="N39">SUMPRODUCT((Table8[D])*(Table8[Adjusted Total]/Table8[BER Total])*(Table8[Archetype]=N33)*(Table8[County]=N32))</f>
        <v>12702.471895023944</v>
      </c>
      <c r="O39" s="752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5" cm="1">
        <f t="array" ref="Q39">SUMPRODUCT((Table8[D])*(Table8[Adjusted Total]/Table8[BER Total])*(Table8[Archetype]=Q33)*(Table8[County]=Q32))</f>
        <v>6310.2899019493589</v>
      </c>
      <c r="R39" s="752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5" cm="1">
        <f t="array" ref="T39">SUMPRODUCT((Table8[D])*(Table8[Adjusted Total]/Table8[BER Total])*(Table8[Archetype]=T33)*(Table8[County]=T32))</f>
        <v>5097.941346657728</v>
      </c>
      <c r="U39" s="752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5" cm="1">
        <f t="array" ref="W39">SUMPRODUCT((Table8[D])*(Table8[Adjusted Total]/Table8[BER Total])*(Table8[Archetype]=W33)*(Table8[County]=W32))</f>
        <v>3686.4945404068148</v>
      </c>
      <c r="X39" s="752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5" cm="1">
        <f t="array" ref="Z39">SUMPRODUCT((Table8[D])*(Table8[Adjusted Total]/Table8[BER Total])*(Table8[Archetype]=Z33)*(Table8[County]=Z32))</f>
        <v>2141.8438974320866</v>
      </c>
      <c r="AA39" s="752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5" cm="1">
        <f t="array" ref="AC39">SUMPRODUCT((Table8[D])*(Table8[Adjusted Total]/Table8[BER Total])*(Table8[Archetype]=AC33)*(Table8[County]=AC32))</f>
        <v>3911.4069227031468</v>
      </c>
      <c r="AD39" s="752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5" cm="1">
        <f t="array" ref="AF39">SUMPRODUCT((Table8[D])*(Table8[Adjusted Total]/Table8[BER Total])*(Table8[Archetype]=AF33)*(Table8[County]=AF32))</f>
        <v>7222.8902174916138</v>
      </c>
      <c r="AG39" s="752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5" cm="1">
        <f t="array" ref="AI39">SUMPRODUCT((Table8[D])*(Table8[Adjusted Total]/Table8[BER Total])*(Table8[Archetype]=AI33)*(Table8[County]=AI32))</f>
        <v>3922.9122895168321</v>
      </c>
      <c r="AJ39" s="752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5" cm="1">
        <f t="array" ref="AL39">SUMPRODUCT((Table8[D])*(Table8[Adjusted Total]/Table8[BER Total])*(Table8[Archetype]=AL33)*(Table8[County]=AL32))</f>
        <v>3862.3070908684958</v>
      </c>
      <c r="AM39" s="752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5" cm="1">
        <f t="array" ref="AO39">SUMPRODUCT((Table8[D])*(Table8[Adjusted Total]/Table8[BER Total])*(Table8[Archetype]=AO33)*(Table8[County]=AO32))</f>
        <v>8398.348367515393</v>
      </c>
      <c r="AP39" s="752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5" cm="1">
        <f t="array" ref="AR39">SUMPRODUCT((Table8[D])*(Table8[Adjusted Total]/Table8[BER Total])*(Table8[Archetype]=AR33)*(Table8[County]=AR32))</f>
        <v>5261.216067851582</v>
      </c>
      <c r="AS39" s="752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5" cm="1">
        <f t="array" ref="AU39">SUMPRODUCT((Table8[D])*(Table8[Adjusted Total]/Table8[BER Total])*(Table8[Archetype]=AU33)*(Table8[County]=AU32))</f>
        <v>5969.6006405620847</v>
      </c>
      <c r="AV39" s="752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5" cm="1">
        <f t="array" ref="AX39">SUMPRODUCT((Table8[D])*(Table8[Adjusted Total]/Table8[BER Total])*(Table8[Archetype]=AX33)*(Table8[County]=AX32))</f>
        <v>18236.913869534965</v>
      </c>
      <c r="AY39" s="752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5" cm="1">
        <f t="array" ref="BA39">SUMPRODUCT((Table8[D])*(Table8[Adjusted Total]/Table8[BER Total])*(Table8[Archetype]=BA33)*(Table8[County]=BA32))</f>
        <v>8574.0862000919933</v>
      </c>
      <c r="BB39" s="752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5" cm="1">
        <f t="array" ref="BD39">SUMPRODUCT((Table8[D])*(Table8[Adjusted Total]/Table8[BER Total])*(Table8[Archetype]=BD33)*(Table8[County]=BD32))</f>
        <v>8507.2952650901989</v>
      </c>
      <c r="BE39" s="752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5" cm="1">
        <f t="array" ref="BG39">SUMPRODUCT((Table8[D])*(Table8[Adjusted Total]/Table8[BER Total])*(Table8[Archetype]=BG33)*(Table8[County]=BG32))</f>
        <v>8554.1537117599019</v>
      </c>
      <c r="BH39" s="752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5" cm="1">
        <f t="array" ref="BJ39">SUMPRODUCT((Table8[D])*(Table8[Adjusted Total]/Table8[BER Total])*(Table8[Archetype]=BJ33)*(Table8[County]=BJ32))</f>
        <v>4777.0385337190974</v>
      </c>
      <c r="BK39" s="752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5" cm="1">
        <f t="array" ref="BM39">SUMPRODUCT((Table8[D])*(Table8[Adjusted Total]/Table8[BER Total])*(Table8[Archetype]=BM33)*(Table8[County]=BM32))</f>
        <v>12382.576852789567</v>
      </c>
      <c r="BN39" s="752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5" cm="1">
        <f t="array" ref="BP39">SUMPRODUCT((Table8[D])*(Table8[Adjusted Total]/Table8[BER Total])*(Table8[Archetype]=BP33)*(Table8[County]=BP32))</f>
        <v>1885.329883313133</v>
      </c>
      <c r="BQ39" s="752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5" cm="1">
        <f t="array" ref="BS39">SUMPRODUCT((Table8[D])*(Table8[Adjusted Total]/Table8[BER Total])*(Table8[Archetype]=BS33)*(Table8[County]=BS32))</f>
        <v>8579.4880010907054</v>
      </c>
      <c r="BT39" s="752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5" cm="1">
        <f t="array" ref="BV39">SUMPRODUCT((Table8[D])*(Table8[Adjusted Total]/Table8[BER Total])*(Table8[Archetype]=BV33)*(Table8[County]=BV32))</f>
        <v>3985.0531006202636</v>
      </c>
      <c r="BW39" s="752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5" cm="1">
        <f t="array" ref="BY39">SUMPRODUCT((Table8[D])*(Table8[Adjusted Total]/Table8[BER Total])*(Table8[Archetype]=BY33)*(Table8[County]=BY32))</f>
        <v>3370.3134856126571</v>
      </c>
      <c r="BZ39" s="752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5" cm="1">
        <f t="array" ref="CB39">SUMPRODUCT((Table8[D])*(Table8[Adjusted Total]/Table8[BER Total])*(Table8[Archetype]=CB33)*(Table8[County]=CB32))</f>
        <v>3746.9172720446822</v>
      </c>
      <c r="CC39" s="752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5" cm="1">
        <f t="array" ref="CE39">SUMPRODUCT((Table8[D])*(Table8[Adjusted Total]/Table8[BER Total])*(Table8[Archetype]=CE33)*(Table8[County]=CE32))</f>
        <v>9705.694757855139</v>
      </c>
      <c r="CF39" s="752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5" cm="1">
        <f t="array" ref="CH39">SUMPRODUCT((Table8[D])*(Table8[Adjusted Total]/Table8[BER Total])*(Table8[Archetype]=CH33)*(Table8[County]=CH32))</f>
        <v>3580.0711282802349</v>
      </c>
      <c r="CI39" s="310">
        <f t="shared" si="9"/>
        <v>390395.39695393504</v>
      </c>
      <c r="CK39" s="1127"/>
      <c r="CL39" s="822" t="s">
        <v>679</v>
      </c>
      <c r="CM39" s="822">
        <v>2668.9797196485479</v>
      </c>
      <c r="CN39" s="813">
        <v>18385.501077566361</v>
      </c>
      <c r="CO39" s="826">
        <v>33878.287885206948</v>
      </c>
      <c r="CP39" s="1127"/>
      <c r="CQ39" s="1127"/>
      <c r="CR39" s="1127"/>
      <c r="CS39" s="1127"/>
      <c r="CT39" s="1127"/>
      <c r="CU39" s="1127"/>
      <c r="CV39" s="1127"/>
      <c r="CW39" s="1127"/>
      <c r="CX39" s="1127"/>
      <c r="CY39" s="1127"/>
      <c r="CZ39" s="1127"/>
      <c r="DA39" s="1127"/>
      <c r="DB39" s="1127"/>
      <c r="DC39" s="1127"/>
      <c r="DD39" s="1127"/>
      <c r="DE39" s="1127"/>
      <c r="DF39" s="1127"/>
      <c r="DG39" s="1127"/>
      <c r="DH39" s="1127"/>
      <c r="DI39" s="1127"/>
      <c r="DJ39" s="1127"/>
      <c r="DK39" s="1127"/>
      <c r="DL39" s="1127"/>
      <c r="DM39" s="1127"/>
      <c r="DN39" s="1127"/>
      <c r="DO39" s="1127"/>
      <c r="DP39" s="1127"/>
      <c r="DQ39" s="1127"/>
    </row>
    <row r="40" spans="2:121" ht="15.75" thickBot="1">
      <c r="C40" s="261"/>
      <c r="H40" s="739" t="s">
        <v>60</v>
      </c>
      <c r="I40" s="753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6" cm="1">
        <f t="array" ref="K40">SUMPRODUCT((Table8[E])*(Table8[Adjusted Total]/Table8[BER Total])*(Table8[Archetype]=K33)*(Table8[County]=K32))</f>
        <v>1096.1405819859322</v>
      </c>
      <c r="L40" s="753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6" cm="1">
        <f t="array" ref="N40">SUMPRODUCT((Table8[E])*(Table8[Adjusted Total]/Table8[BER Total])*(Table8[Archetype]=N33)*(Table8[County]=N32))</f>
        <v>6532.1372620409893</v>
      </c>
      <c r="O40" s="753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6" cm="1">
        <f t="array" ref="Q40">SUMPRODUCT((Table8[E])*(Table8[Adjusted Total]/Table8[BER Total])*(Table8[Archetype]=Q33)*(Table8[County]=Q32))</f>
        <v>2388.6408103424128</v>
      </c>
      <c r="R40" s="753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6" cm="1">
        <f t="array" ref="T40">SUMPRODUCT((Table8[E])*(Table8[Adjusted Total]/Table8[BER Total])*(Table8[Archetype]=T33)*(Table8[County]=T32))</f>
        <v>2243.6524886385482</v>
      </c>
      <c r="U40" s="753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6" cm="1">
        <f t="array" ref="W40">SUMPRODUCT((Table8[E])*(Table8[Adjusted Total]/Table8[BER Total])*(Table8[Archetype]=W33)*(Table8[County]=W32))</f>
        <v>1532.0496791301048</v>
      </c>
      <c r="X40" s="753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6" cm="1">
        <f t="array" ref="Z40">SUMPRODUCT((Table8[E])*(Table8[Adjusted Total]/Table8[BER Total])*(Table8[Archetype]=Z33)*(Table8[County]=Z32))</f>
        <v>1070.9219487160433</v>
      </c>
      <c r="AA40" s="753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6" cm="1">
        <f t="array" ref="AC40">SUMPRODUCT((Table8[E])*(Table8[Adjusted Total]/Table8[BER Total])*(Table8[Archetype]=AC33)*(Table8[County]=AC32))</f>
        <v>1722.5994124228</v>
      </c>
      <c r="AD40" s="753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6" cm="1">
        <f t="array" ref="AF40">SUMPRODUCT((Table8[E])*(Table8[Adjusted Total]/Table8[BER Total])*(Table8[Archetype]=AF33)*(Table8[County]=AF32))</f>
        <v>2842.3273363046605</v>
      </c>
      <c r="AG40" s="753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6" cm="1">
        <f t="array" ref="AI40">SUMPRODUCT((Table8[E])*(Table8[Adjusted Total]/Table8[BER Total])*(Table8[Archetype]=AI33)*(Table8[County]=AI32))</f>
        <v>1743.5165731185921</v>
      </c>
      <c r="AJ40" s="753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6" cm="1">
        <f t="array" ref="AL40">SUMPRODUCT((Table8[E])*(Table8[Adjusted Total]/Table8[BER Total])*(Table8[Archetype]=AL33)*(Table8[County]=AL32))</f>
        <v>1776.2633788026562</v>
      </c>
      <c r="AM40" s="753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6" cm="1">
        <f t="array" ref="AO40">SUMPRODUCT((Table8[E])*(Table8[Adjusted Total]/Table8[BER Total])*(Table8[Archetype]=AO33)*(Table8[County]=AO32))</f>
        <v>3312.1890865770824</v>
      </c>
      <c r="AP40" s="753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6" cm="1">
        <f t="array" ref="AR40">SUMPRODUCT((Table8[E])*(Table8[Adjusted Total]/Table8[BER Total])*(Table8[Archetype]=AR33)*(Table8[County]=AR32))</f>
        <v>2345.0141338282701</v>
      </c>
      <c r="AS40" s="753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6" cm="1">
        <f t="array" ref="AU40">SUMPRODUCT((Table8[E])*(Table8[Adjusted Total]/Table8[BER Total])*(Table8[Archetype]=AU33)*(Table8[County]=AU32))</f>
        <v>2900.7910397433311</v>
      </c>
      <c r="AV40" s="753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6" cm="1">
        <f t="array" ref="AX40">SUMPRODUCT((Table8[E])*(Table8[Adjusted Total]/Table8[BER Total])*(Table8[Archetype]=AX33)*(Table8[County]=AX32))</f>
        <v>7801.4221541968845</v>
      </c>
      <c r="AY40" s="753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6" cm="1">
        <f t="array" ref="BA40">SUMPRODUCT((Table8[E])*(Table8[Adjusted Total]/Table8[BER Total])*(Table8[Archetype]=BA33)*(Table8[County]=BA32))</f>
        <v>3952.4138153590484</v>
      </c>
      <c r="BB40" s="753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6" cm="1">
        <f t="array" ref="BD40">SUMPRODUCT((Table8[E])*(Table8[Adjusted Total]/Table8[BER Total])*(Table8[Archetype]=BD33)*(Table8[County]=BD32))</f>
        <v>3457.0281112557345</v>
      </c>
      <c r="BE40" s="753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6" cm="1">
        <f t="array" ref="BG40">SUMPRODUCT((Table8[E])*(Table8[Adjusted Total]/Table8[BER Total])*(Table8[Archetype]=BG33)*(Table8[County]=BG32))</f>
        <v>4203.7250544850658</v>
      </c>
      <c r="BH40" s="753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6" cm="1">
        <f t="array" ref="BJ40">SUMPRODUCT((Table8[E])*(Table8[Adjusted Total]/Table8[BER Total])*(Table8[Archetype]=BJ33)*(Table8[County]=BJ32))</f>
        <v>1582.4781170855376</v>
      </c>
      <c r="BK40" s="753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6" cm="1">
        <f t="array" ref="BM40">SUMPRODUCT((Table8[E])*(Table8[Adjusted Total]/Table8[BER Total])*(Table8[Archetype]=BM33)*(Table8[County]=BM32))</f>
        <v>5581.637352550365</v>
      </c>
      <c r="BN40" s="753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6" cm="1">
        <f t="array" ref="BP40">SUMPRODUCT((Table8[E])*(Table8[Adjusted Total]/Table8[BER Total])*(Table8[Archetype]=BP33)*(Table8[County]=BP32))</f>
        <v>1089.1347931490211</v>
      </c>
      <c r="BQ40" s="753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6" cm="1">
        <f t="array" ref="BS40">SUMPRODUCT((Table8[E])*(Table8[Adjusted Total]/Table8[BER Total])*(Table8[Archetype]=BS33)*(Table8[County]=BS32))</f>
        <v>4047.897015947678</v>
      </c>
      <c r="BT40" s="753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6" cm="1">
        <f t="array" ref="BV40">SUMPRODUCT((Table8[E])*(Table8[Adjusted Total]/Table8[BER Total])*(Table8[Archetype]=BV33)*(Table8[County]=BV32))</f>
        <v>2018.8208889505879</v>
      </c>
      <c r="BW40" s="753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6" cm="1">
        <f t="array" ref="BY40">SUMPRODUCT((Table8[E])*(Table8[Adjusted Total]/Table8[BER Total])*(Table8[Archetype]=BY33)*(Table8[County]=BY32))</f>
        <v>1663.6897779298147</v>
      </c>
      <c r="BZ40" s="753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6" cm="1">
        <f t="array" ref="CB40">SUMPRODUCT((Table8[E])*(Table8[Adjusted Total]/Table8[BER Total])*(Table8[Archetype]=CB33)*(Table8[County]=CB32))</f>
        <v>1813.7251722651072</v>
      </c>
      <c r="CC40" s="753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6" cm="1">
        <f t="array" ref="CE40">SUMPRODUCT((Table8[E])*(Table8[Adjusted Total]/Table8[BER Total])*(Table8[Archetype]=CE33)*(Table8[County]=CE32))</f>
        <v>4486.1223417946521</v>
      </c>
      <c r="CF40" s="753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6" cm="1">
        <f t="array" ref="CH40">SUMPRODUCT((Table8[E])*(Table8[Adjusted Total]/Table8[BER Total])*(Table8[Archetype]=CH33)*(Table8[County]=CH32))</f>
        <v>1632.5431647200642</v>
      </c>
      <c r="CI40" s="312">
        <f t="shared" si="9"/>
        <v>184383.00436635964</v>
      </c>
      <c r="CK40" s="1127"/>
      <c r="CL40" s="870" t="s">
        <v>680</v>
      </c>
      <c r="CM40" s="870">
        <v>4513.1911767694201</v>
      </c>
      <c r="CN40" s="871">
        <v>23167.339151815657</v>
      </c>
      <c r="CO40" s="872">
        <v>22529.580764463226</v>
      </c>
      <c r="CP40" s="1127"/>
      <c r="CQ40" s="1127"/>
      <c r="CR40" s="1127"/>
      <c r="CS40" s="1127"/>
      <c r="CT40" s="1127"/>
      <c r="CU40" s="1127"/>
      <c r="CV40" s="1127"/>
      <c r="CW40" s="1127"/>
      <c r="CX40" s="1127"/>
      <c r="CY40" s="1127"/>
      <c r="CZ40" s="1127"/>
      <c r="DA40" s="1127"/>
      <c r="DB40" s="1127"/>
      <c r="DC40" s="1127"/>
      <c r="DD40" s="1127"/>
      <c r="DE40" s="1127"/>
      <c r="DF40" s="1127"/>
      <c r="DG40" s="1127"/>
      <c r="DH40" s="1127"/>
      <c r="DI40" s="1127"/>
      <c r="DJ40" s="1127"/>
      <c r="DK40" s="1127"/>
      <c r="DL40" s="1127"/>
      <c r="DM40" s="1127"/>
      <c r="DN40" s="1127"/>
      <c r="DO40" s="1127"/>
      <c r="DP40" s="1127"/>
      <c r="DQ40" s="1127"/>
    </row>
    <row r="41" spans="2:121" ht="15">
      <c r="C41" s="261"/>
      <c r="H41" s="738" t="s">
        <v>62</v>
      </c>
      <c r="I41" s="752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5" cm="1">
        <f t="array" ref="K41">SUMPRODUCT((Table8[F])*(Table8[Adjusted Total]/Table8[BER Total])*(Table8[Archetype]=K33)*(Table8[County]=K32))</f>
        <v>588.4810036929083</v>
      </c>
      <c r="L41" s="752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5" cm="1">
        <f t="array" ref="N41">SUMPRODUCT((Table8[F])*(Table8[Adjusted Total]/Table8[BER Total])*(Table8[Archetype]=N33)*(Table8[County]=N32))</f>
        <v>3182.386390285983</v>
      </c>
      <c r="O41" s="752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5" cm="1">
        <f t="array" ref="Q41">SUMPRODUCT((Table8[F])*(Table8[Adjusted Total]/Table8[BER Total])*(Table8[Archetype]=Q33)*(Table8[County]=Q32))</f>
        <v>995.49553863868641</v>
      </c>
      <c r="R41" s="752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5" cm="1">
        <f t="array" ref="T41">SUMPRODUCT((Table8[F])*(Table8[Adjusted Total]/Table8[BER Total])*(Table8[Archetype]=T33)*(Table8[County]=T32))</f>
        <v>1067.7413087455609</v>
      </c>
      <c r="U41" s="752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5" cm="1">
        <f t="array" ref="W41">SUMPRODUCT((Table8[F])*(Table8[Adjusted Total]/Table8[BER Total])*(Table8[Archetype]=W33)*(Table8[County]=W32))</f>
        <v>921.62363510170371</v>
      </c>
      <c r="X41" s="752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5" cm="1">
        <f t="array" ref="Z41">SUMPRODUCT((Table8[F])*(Table8[Adjusted Total]/Table8[BER Total])*(Table8[Archetype]=Z33)*(Table8[County]=Z32))</f>
        <v>750.44655259154149</v>
      </c>
      <c r="AA41" s="752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5" cm="1">
        <f t="array" ref="AC41">SUMPRODUCT((Table8[F])*(Table8[Adjusted Total]/Table8[BER Total])*(Table8[Archetype]=AC33)*(Table8[County]=AC32))</f>
        <v>771.74560831785993</v>
      </c>
      <c r="AD41" s="752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5" cm="1">
        <f t="array" ref="AF41">SUMPRODUCT((Table8[F])*(Table8[Adjusted Total]/Table8[BER Total])*(Table8[Archetype]=AF33)*(Table8[County]=AF32))</f>
        <v>1401.8986757790453</v>
      </c>
      <c r="AG41" s="752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5" cm="1">
        <f t="array" ref="AI41">SUMPRODUCT((Table8[F])*(Table8[Adjusted Total]/Table8[BER Total])*(Table8[Archetype]=AI33)*(Table8[County]=AI32))</f>
        <v>1043.4682520937029</v>
      </c>
      <c r="AJ41" s="752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5" cm="1">
        <f t="array" ref="AL41">SUMPRODUCT((Table8[F])*(Table8[Adjusted Total]/Table8[BER Total])*(Table8[Archetype]=AL33)*(Table8[County]=AL32))</f>
        <v>1006.0755777538245</v>
      </c>
      <c r="AM41" s="752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5" cm="1">
        <f t="array" ref="AO41">SUMPRODUCT((Table8[F])*(Table8[Adjusted Total]/Table8[BER Total])*(Table8[Archetype]=AO33)*(Table8[County]=AO32))</f>
        <v>1451.854553806163</v>
      </c>
      <c r="AP41" s="752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5" cm="1">
        <f t="array" ref="AR41">SUMPRODUCT((Table8[F])*(Table8[Adjusted Total]/Table8[BER Total])*(Table8[Archetype]=AR33)*(Table8[County]=AR32))</f>
        <v>1249.8008288671338</v>
      </c>
      <c r="AS41" s="752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5" cm="1">
        <f t="array" ref="AU41">SUMPRODUCT((Table8[F])*(Table8[Adjusted Total]/Table8[BER Total])*(Table8[Archetype]=AU33)*(Table8[County]=AU32))</f>
        <v>1302.1438483345275</v>
      </c>
      <c r="AV41" s="752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5" cm="1">
        <f t="array" ref="AX41">SUMPRODUCT((Table8[F])*(Table8[Adjusted Total]/Table8[BER Total])*(Table8[Archetype]=AX33)*(Table8[County]=AX32))</f>
        <v>3641.9348534082524</v>
      </c>
      <c r="AY41" s="752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5" cm="1">
        <f t="array" ref="BA41">SUMPRODUCT((Table8[F])*(Table8[Adjusted Total]/Table8[BER Total])*(Table8[Archetype]=BA33)*(Table8[County]=BA32))</f>
        <v>1727.4447601952647</v>
      </c>
      <c r="BB41" s="752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5" cm="1">
        <f t="array" ref="BD41">SUMPRODUCT((Table8[F])*(Table8[Adjusted Total]/Table8[BER Total])*(Table8[Archetype]=BD33)*(Table8[County]=BD32))</f>
        <v>1825.5294690267435</v>
      </c>
      <c r="BE41" s="752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5" cm="1">
        <f t="array" ref="BG41">SUMPRODUCT((Table8[F])*(Table8[Adjusted Total]/Table8[BER Total])*(Table8[Archetype]=BG33)*(Table8[County]=BG32))</f>
        <v>2317.9169240783767</v>
      </c>
      <c r="BH41" s="752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5" cm="1">
        <f t="array" ref="BJ41">SUMPRODUCT((Table8[F])*(Table8[Adjusted Total]/Table8[BER Total])*(Table8[Archetype]=BJ33)*(Table8[County]=BJ32))</f>
        <v>855.83000209728061</v>
      </c>
      <c r="BK41" s="752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5" cm="1">
        <f t="array" ref="BM41">SUMPRODUCT((Table8[F])*(Table8[Adjusted Total]/Table8[BER Total])*(Table8[Archetype]=BM33)*(Table8[County]=BM32))</f>
        <v>2625.5981121450777</v>
      </c>
      <c r="BN41" s="752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5" cm="1">
        <f t="array" ref="BP41">SUMPRODUCT((Table8[F])*(Table8[Adjusted Total]/Table8[BER Total])*(Table8[Archetype]=BP33)*(Table8[County]=BP32))</f>
        <v>593.39068040532868</v>
      </c>
      <c r="BQ41" s="752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5" cm="1">
        <f t="array" ref="BS41">SUMPRODUCT((Table8[F])*(Table8[Adjusted Total]/Table8[BER Total])*(Table8[Archetype]=BS33)*(Table8[County]=BS32))</f>
        <v>2072.5881249878967</v>
      </c>
      <c r="BT41" s="752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5" cm="1">
        <f t="array" ref="BV41">SUMPRODUCT((Table8[F])*(Table8[Adjusted Total]/Table8[BER Total])*(Table8[Archetype]=BV33)*(Table8[County]=BV32))</f>
        <v>1165.7156797268954</v>
      </c>
      <c r="BW41" s="752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5" cm="1">
        <f t="array" ref="BY41">SUMPRODUCT((Table8[F])*(Table8[Adjusted Total]/Table8[BER Total])*(Table8[Archetype]=BY33)*(Table8[County]=BY32))</f>
        <v>1019.6808316344026</v>
      </c>
      <c r="BZ41" s="752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5" cm="1">
        <f t="array" ref="CB41">SUMPRODUCT((Table8[F])*(Table8[Adjusted Total]/Table8[BER Total])*(Table8[Archetype]=CB33)*(Table8[County]=CB32))</f>
        <v>923.15353079361739</v>
      </c>
      <c r="CC41" s="752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5" cm="1">
        <f t="array" ref="CE41">SUMPRODUCT((Table8[F])*(Table8[Adjusted Total]/Table8[BER Total])*(Table8[Archetype]=CE33)*(Table8[County]=CE32))</f>
        <v>2156.1664833839036</v>
      </c>
      <c r="CF41" s="752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5" cm="1">
        <f t="array" ref="CH41">SUMPRODUCT((Table8[F])*(Table8[Adjusted Total]/Table8[BER Total])*(Table8[Archetype]=CH33)*(Table8[County]=CH32))</f>
        <v>710.63643640755731</v>
      </c>
      <c r="CI41" s="310">
        <f t="shared" si="9"/>
        <v>83968.544281448994</v>
      </c>
      <c r="CK41" s="1127"/>
      <c r="CL41" s="1127"/>
      <c r="CM41" s="1127"/>
      <c r="CN41" s="1127"/>
      <c r="CO41" s="1127"/>
      <c r="CP41" s="1127"/>
      <c r="CQ41" s="1127"/>
      <c r="CR41" s="1127"/>
      <c r="CS41" s="1127"/>
      <c r="CT41" s="1127"/>
      <c r="CU41" s="1127"/>
      <c r="CV41" s="1127"/>
      <c r="CW41" s="1127"/>
      <c r="CX41" s="1127"/>
      <c r="CY41" s="1127"/>
      <c r="CZ41" s="1127"/>
      <c r="DA41" s="1127"/>
      <c r="DB41" s="1127"/>
      <c r="DC41" s="1127"/>
      <c r="DD41" s="1127"/>
      <c r="DE41" s="1127"/>
      <c r="DF41" s="1127"/>
      <c r="DG41" s="1127"/>
      <c r="DH41" s="1127"/>
      <c r="DI41" s="1127"/>
      <c r="DJ41" s="1127"/>
      <c r="DK41" s="1127"/>
      <c r="DL41" s="1127"/>
      <c r="DM41" s="1127"/>
      <c r="DN41" s="1127"/>
      <c r="DO41" s="1127"/>
      <c r="DP41" s="1127"/>
      <c r="DQ41" s="1127"/>
    </row>
    <row r="42" spans="2:121" ht="15.75" thickBot="1">
      <c r="C42" s="261"/>
      <c r="H42" s="740" t="s">
        <v>64</v>
      </c>
      <c r="I42" s="754" cm="1">
        <f t="array" ref="I42">SUMPRODUCT((Table8[G])*(Table8[Adjusted Total]/Table8[BER Total])*(Table8[Archetype]=I33)*(Table8[County]=I32))</f>
        <v>78.65119235564093</v>
      </c>
      <c r="J42" s="369" cm="1">
        <f t="array" ref="J42">SUMPRODUCT((Table8[G])*(Table8[Adjusted Total]/Table8[BER Total])*(Table8[Archetype]=J33)*(Table8[County]=J32))</f>
        <v>349.47304016171552</v>
      </c>
      <c r="K42" s="370" cm="1">
        <f t="array" ref="K42">SUMPRODUCT((Table8[G])*(Table8[Adjusted Total]/Table8[BER Total])*(Table8[Archetype]=K33)*(Table8[County]=K32))</f>
        <v>1106.2432601609178</v>
      </c>
      <c r="L42" s="754" cm="1">
        <f t="array" ref="L42">SUMPRODUCT((Table8[G])*(Table8[Adjusted Total]/Table8[BER Total])*(Table8[Archetype]=L33)*(Table8[County]=L32))</f>
        <v>3920.9529144305266</v>
      </c>
      <c r="M42" s="369" cm="1">
        <f t="array" ref="M42">SUMPRODUCT((Table8[G])*(Table8[Adjusted Total]/Table8[BER Total])*(Table8[Archetype]=M33)*(Table8[County]=M32))</f>
        <v>14876.02952344032</v>
      </c>
      <c r="N42" s="370" cm="1">
        <f t="array" ref="N42">SUMPRODUCT((Table8[G])*(Table8[Adjusted Total]/Table8[BER Total])*(Table8[Archetype]=N33)*(Table8[County]=N32))</f>
        <v>3590.952624460363</v>
      </c>
      <c r="O42" s="754" cm="1">
        <f t="array" ref="O42">SUMPRODUCT((Table8[G])*(Table8[Adjusted Total]/Table8[BER Total])*(Table8[Archetype]=O33)*(Table8[County]=O32))</f>
        <v>254.99553817517318</v>
      </c>
      <c r="P42" s="369" cm="1">
        <f t="array" ref="P42">SUMPRODUCT((Table8[G])*(Table8[Adjusted Total]/Table8[BER Total])*(Table8[Archetype]=P33)*(Table8[County]=P32))</f>
        <v>953.88219701593891</v>
      </c>
      <c r="Q42" s="370" cm="1">
        <f t="array" ref="Q42">SUMPRODUCT((Table8[G])*(Table8[Adjusted Total]/Table8[BER Total])*(Table8[Archetype]=Q33)*(Table8[County]=Q32))</f>
        <v>1752.4012374383487</v>
      </c>
      <c r="R42" s="754" cm="1">
        <f t="array" ref="R42">SUMPRODUCT((Table8[G])*(Table8[Adjusted Total]/Table8[BER Total])*(Table8[Archetype]=R33)*(Table8[County]=R32))</f>
        <v>111.01807144886514</v>
      </c>
      <c r="S42" s="369" cm="1">
        <f t="array" ref="S42">SUMPRODUCT((Table8[G])*(Table8[Adjusted Total]/Table8[BER Total])*(Table8[Archetype]=S33)*(Table8[County]=S32))</f>
        <v>665.47923954144892</v>
      </c>
      <c r="T42" s="370" cm="1">
        <f t="array" ref="T42">SUMPRODUCT((Table8[G])*(Table8[Adjusted Total]/Table8[BER Total])*(Table8[Archetype]=T33)*(Table8[County]=T32))</f>
        <v>2156.4187215841721</v>
      </c>
      <c r="U42" s="754" cm="1">
        <f t="array" ref="U42">SUMPRODUCT((Table8[G])*(Table8[Adjusted Total]/Table8[BER Total])*(Table8[Archetype]=U33)*(Table8[County]=U32))</f>
        <v>80.140699576066012</v>
      </c>
      <c r="V42" s="369" cm="1">
        <f t="array" ref="V42">SUMPRODUCT((Table8[G])*(Table8[Adjusted Total]/Table8[BER Total])*(Table8[Archetype]=V33)*(Table8[County]=V32))</f>
        <v>739.25140196721259</v>
      </c>
      <c r="W42" s="370" cm="1">
        <f t="array" ref="W42">SUMPRODUCT((Table8[G])*(Table8[Adjusted Total]/Table8[BER Total])*(Table8[Archetype]=W33)*(Table8[County]=W32))</f>
        <v>1636.7796376643894</v>
      </c>
      <c r="X42" s="754" cm="1">
        <f t="array" ref="X42">SUMPRODUCT((Table8[G])*(Table8[Adjusted Total]/Table8[BER Total])*(Table8[Archetype]=X33)*(Table8[County]=X32))</f>
        <v>40.633729529859139</v>
      </c>
      <c r="Y42" s="369" cm="1">
        <f t="array" ref="Y42">SUMPRODUCT((Table8[G])*(Table8[Adjusted Total]/Table8[BER Total])*(Table8[Archetype]=Y33)*(Table8[County]=Y32))</f>
        <v>212.47355171243336</v>
      </c>
      <c r="Z42" s="370" cm="1">
        <f t="array" ref="Z42">SUMPRODUCT((Table8[G])*(Table8[Adjusted Total]/Table8[BER Total])*(Table8[Archetype]=Z33)*(Table8[County]=Z32))</f>
        <v>1191.1002222627314</v>
      </c>
      <c r="AA42" s="754" cm="1">
        <f t="array" ref="AA42">SUMPRODUCT((Table8[G])*(Table8[Adjusted Total]/Table8[BER Total])*(Table8[Archetype]=AA33)*(Table8[County]=AA32))</f>
        <v>129.7819424718621</v>
      </c>
      <c r="AB42" s="369" cm="1">
        <f t="array" ref="AB42">SUMPRODUCT((Table8[G])*(Table8[Adjusted Total]/Table8[BER Total])*(Table8[Archetype]=AB33)*(Table8[County]=AB32))</f>
        <v>1140.0405442373233</v>
      </c>
      <c r="AC42" s="370" cm="1">
        <f t="array" ref="AC42">SUMPRODUCT((Table8[G])*(Table8[Adjusted Total]/Table8[BER Total])*(Table8[Archetype]=AC33)*(Table8[County]=AC32))</f>
        <v>1364.3830208486397</v>
      </c>
      <c r="AD42" s="754" cm="1">
        <f t="array" ref="AD42">SUMPRODUCT((Table8[G])*(Table8[Adjusted Total]/Table8[BER Total])*(Table8[Archetype]=AD33)*(Table8[County]=AD32))</f>
        <v>132.92341563290847</v>
      </c>
      <c r="AE42" s="369" cm="1">
        <f t="array" ref="AE42">SUMPRODUCT((Table8[G])*(Table8[Adjusted Total]/Table8[BER Total])*(Table8[Archetype]=AE33)*(Table8[County]=AE32))</f>
        <v>547.65126404641205</v>
      </c>
      <c r="AF42" s="370" cm="1">
        <f t="array" ref="AF42">SUMPRODUCT((Table8[G])*(Table8[Adjusted Total]/Table8[BER Total])*(Table8[Archetype]=AF33)*(Table8[County]=AF32))</f>
        <v>2480.7382486830043</v>
      </c>
      <c r="AG42" s="754" cm="1">
        <f t="array" ref="AG42">SUMPRODUCT((Table8[G])*(Table8[Adjusted Total]/Table8[BER Total])*(Table8[Archetype]=AG33)*(Table8[County]=AG32))</f>
        <v>94.623637174482425</v>
      </c>
      <c r="AH42" s="369" cm="1">
        <f t="array" ref="AH42">SUMPRODUCT((Table8[G])*(Table8[Adjusted Total]/Table8[BER Total])*(Table8[Archetype]=AH33)*(Table8[County]=AH32))</f>
        <v>959.05533147295398</v>
      </c>
      <c r="AI42" s="370" cm="1">
        <f t="array" ref="AI42">SUMPRODUCT((Table8[G])*(Table8[Adjusted Total]/Table8[BER Total])*(Table8[Archetype]=AI33)*(Table8[County]=AI32))</f>
        <v>1753.4229172840387</v>
      </c>
      <c r="AJ42" s="754" cm="1">
        <f t="array" ref="AJ42">SUMPRODUCT((Table8[G])*(Table8[Adjusted Total]/Table8[BER Total])*(Table8[Archetype]=AJ33)*(Table8[County]=AJ32))</f>
        <v>119.59595392861958</v>
      </c>
      <c r="AK42" s="369" cm="1">
        <f t="array" ref="AK42">SUMPRODUCT((Table8[G])*(Table8[Adjusted Total]/Table8[BER Total])*(Table8[Archetype]=AK33)*(Table8[County]=AK32))</f>
        <v>888.07003222751246</v>
      </c>
      <c r="AL42" s="370" cm="1">
        <f t="array" ref="AL42">SUMPRODUCT((Table8[G])*(Table8[Adjusted Total]/Table8[BER Total])*(Table8[Archetype]=AL33)*(Table8[County]=AL32))</f>
        <v>2043.4133909745758</v>
      </c>
      <c r="AM42" s="754" cm="1">
        <f t="array" ref="AM42">SUMPRODUCT((Table8[G])*(Table8[Adjusted Total]/Table8[BER Total])*(Table8[Archetype]=AM33)*(Table8[County]=AM32))</f>
        <v>191.88721533635132</v>
      </c>
      <c r="AN42" s="369" cm="1">
        <f t="array" ref="AN42">SUMPRODUCT((Table8[G])*(Table8[Adjusted Total]/Table8[BER Total])*(Table8[Archetype]=AN33)*(Table8[County]=AN32))</f>
        <v>1068.2911458454212</v>
      </c>
      <c r="AO42" s="370" cm="1">
        <f t="array" ref="AO42">SUMPRODUCT((Table8[G])*(Table8[Adjusted Total]/Table8[BER Total])*(Table8[Archetype]=AO33)*(Table8[County]=AO32))</f>
        <v>2371.5180493039575</v>
      </c>
      <c r="AP42" s="754" cm="1">
        <f t="array" ref="AP42">SUMPRODUCT((Table8[G])*(Table8[Adjusted Total]/Table8[BER Total])*(Table8[Archetype]=AP33)*(Table8[County]=AP32))</f>
        <v>261.36704932579357</v>
      </c>
      <c r="AQ42" s="369" cm="1">
        <f t="array" ref="AQ42">SUMPRODUCT((Table8[G])*(Table8[Adjusted Total]/Table8[BER Total])*(Table8[Archetype]=AQ33)*(Table8[County]=AQ32))</f>
        <v>1144.6660865720321</v>
      </c>
      <c r="AR42" s="370" cm="1">
        <f t="array" ref="AR42">SUMPRODUCT((Table8[G])*(Table8[Adjusted Total]/Table8[BER Total])*(Table8[Archetype]=AR33)*(Table8[County]=AR32))</f>
        <v>1993.9170456349871</v>
      </c>
      <c r="AS42" s="754" cm="1">
        <f t="array" ref="AS42">SUMPRODUCT((Table8[G])*(Table8[Adjusted Total]/Table8[BER Total])*(Table8[Archetype]=AS33)*(Table8[County]=AS32))</f>
        <v>186.44541286774603</v>
      </c>
      <c r="AT42" s="369" cm="1">
        <f t="array" ref="AT42">SUMPRODUCT((Table8[G])*(Table8[Adjusted Total]/Table8[BER Total])*(Table8[Archetype]=AT33)*(Table8[County]=AT32))</f>
        <v>702.62667412067731</v>
      </c>
      <c r="AU42" s="370" cm="1">
        <f t="array" ref="AU42">SUMPRODUCT((Table8[G])*(Table8[Adjusted Total]/Table8[BER Total])*(Table8[Archetype]=AU33)*(Table8[County]=AU32))</f>
        <v>2703.1221443604804</v>
      </c>
      <c r="AV42" s="754" cm="1">
        <f t="array" ref="AV42">SUMPRODUCT((Table8[G])*(Table8[Adjusted Total]/Table8[BER Total])*(Table8[Archetype]=AV33)*(Table8[County]=AV32))</f>
        <v>1071.1467075246926</v>
      </c>
      <c r="AW42" s="369" cm="1">
        <f t="array" ref="AW42">SUMPRODUCT((Table8[G])*(Table8[Adjusted Total]/Table8[BER Total])*(Table8[Archetype]=AW33)*(Table8[County]=AW32))</f>
        <v>4491.8808301123163</v>
      </c>
      <c r="AX42" s="370" cm="1">
        <f t="array" ref="AX42">SUMPRODUCT((Table8[G])*(Table8[Adjusted Total]/Table8[BER Total])*(Table8[Archetype]=AX33)*(Table8[County]=AX32))</f>
        <v>7373.7603950457287</v>
      </c>
      <c r="AY42" s="754" cm="1">
        <f t="array" ref="AY42">SUMPRODUCT((Table8[G])*(Table8[Adjusted Total]/Table8[BER Total])*(Table8[Archetype]=AY33)*(Table8[County]=AY32))</f>
        <v>190.47230322580251</v>
      </c>
      <c r="AZ42" s="369" cm="1">
        <f t="array" ref="AZ42">SUMPRODUCT((Table8[G])*(Table8[Adjusted Total]/Table8[BER Total])*(Table8[Archetype]=AZ33)*(Table8[County]=AZ32))</f>
        <v>880.66313255320063</v>
      </c>
      <c r="BA42" s="370" cm="1">
        <f t="array" ref="BA42">SUMPRODUCT((Table8[G])*(Table8[Adjusted Total]/Table8[BER Total])*(Table8[Archetype]=BA33)*(Table8[County]=BA32))</f>
        <v>3172.0330684287314</v>
      </c>
      <c r="BB42" s="754" cm="1">
        <f t="array" ref="BB42">SUMPRODUCT((Table8[G])*(Table8[Adjusted Total]/Table8[BER Total])*(Table8[Archetype]=BB33)*(Table8[County]=BB32))</f>
        <v>319.55241826843866</v>
      </c>
      <c r="BC42" s="369" cm="1">
        <f t="array" ref="BC42">SUMPRODUCT((Table8[G])*(Table8[Adjusted Total]/Table8[BER Total])*(Table8[Archetype]=BC33)*(Table8[County]=BC32))</f>
        <v>1497.4610346941654</v>
      </c>
      <c r="BD42" s="370" cm="1">
        <f t="array" ref="BD42">SUMPRODUCT((Table8[G])*(Table8[Adjusted Total]/Table8[BER Total])*(Table8[Archetype]=BD33)*(Table8[County]=BD32))</f>
        <v>3306.7225412011371</v>
      </c>
      <c r="BE42" s="754" cm="1">
        <f t="array" ref="BE42">SUMPRODUCT((Table8[G])*(Table8[Adjusted Total]/Table8[BER Total])*(Table8[Archetype]=BE33)*(Table8[County]=BE32))</f>
        <v>310.86762132924542</v>
      </c>
      <c r="BF42" s="369" cm="1">
        <f t="array" ref="BF42">SUMPRODUCT((Table8[G])*(Table8[Adjusted Total]/Table8[BER Total])*(Table8[Archetype]=BF33)*(Table8[County]=BF32))</f>
        <v>1844.5360239485519</v>
      </c>
      <c r="BG42" s="370" cm="1">
        <f t="array" ref="BG42">SUMPRODUCT((Table8[G])*(Table8[Adjusted Total]/Table8[BER Total])*(Table8[Archetype]=BG33)*(Table8[County]=BG32))</f>
        <v>3995.6726723468455</v>
      </c>
      <c r="BH42" s="754" cm="1">
        <f t="array" ref="BH42">SUMPRODUCT((Table8[G])*(Table8[Adjusted Total]/Table8[BER Total])*(Table8[Archetype]=BH33)*(Table8[County]=BH32))</f>
        <v>176.54272623413706</v>
      </c>
      <c r="BI42" s="369" cm="1">
        <f t="array" ref="BI42">SUMPRODUCT((Table8[G])*(Table8[Adjusted Total]/Table8[BER Total])*(Table8[Archetype]=BI33)*(Table8[County]=BI32))</f>
        <v>1046.7893745109748</v>
      </c>
      <c r="BJ42" s="370" cm="1">
        <f t="array" ref="BJ42">SUMPRODUCT((Table8[G])*(Table8[Adjusted Total]/Table8[BER Total])*(Table8[Archetype]=BJ33)*(Table8[County]=BJ32))</f>
        <v>1133.0328015187267</v>
      </c>
      <c r="BK42" s="754" cm="1">
        <f t="array" ref="BK42">SUMPRODUCT((Table8[G])*(Table8[Adjusted Total]/Table8[BER Total])*(Table8[Archetype]=BK33)*(Table8[County]=BK32))</f>
        <v>345.73225918337744</v>
      </c>
      <c r="BL42" s="369" cm="1">
        <f t="array" ref="BL42">SUMPRODUCT((Table8[G])*(Table8[Adjusted Total]/Table8[BER Total])*(Table8[Archetype]=BL33)*(Table8[County]=BL32))</f>
        <v>1242.3545765983852</v>
      </c>
      <c r="BM42" s="370" cm="1">
        <f t="array" ref="BM42">SUMPRODUCT((Table8[G])*(Table8[Adjusted Total]/Table8[BER Total])*(Table8[Archetype]=BM33)*(Table8[County]=BM32))</f>
        <v>4969.4247195721473</v>
      </c>
      <c r="BN42" s="754" cm="1">
        <f t="array" ref="BN42">SUMPRODUCT((Table8[G])*(Table8[Adjusted Total]/Table8[BER Total])*(Table8[Archetype]=BN33)*(Table8[County]=BN32))</f>
        <v>24.497327481891364</v>
      </c>
      <c r="BO42" s="369" cm="1">
        <f t="array" ref="BO42">SUMPRODUCT((Table8[G])*(Table8[Adjusted Total]/Table8[BER Total])*(Table8[Archetype]=BO33)*(Table8[County]=BO32))</f>
        <v>207.28900509384607</v>
      </c>
      <c r="BP42" s="370" cm="1">
        <f t="array" ref="BP42">SUMPRODUCT((Table8[G])*(Table8[Adjusted Total]/Table8[BER Total])*(Table8[Archetype]=BP33)*(Table8[County]=BP32))</f>
        <v>1326.9918169401865</v>
      </c>
      <c r="BQ42" s="754" cm="1">
        <f t="array" ref="BQ42">SUMPRODUCT((Table8[G])*(Table8[Adjusted Total]/Table8[BER Total])*(Table8[Archetype]=BQ33)*(Table8[County]=BQ32))</f>
        <v>132.19091746562813</v>
      </c>
      <c r="BR42" s="369" cm="1">
        <f t="array" ref="BR42">SUMPRODUCT((Table8[G])*(Table8[Adjusted Total]/Table8[BER Total])*(Table8[Archetype]=BR33)*(Table8[County]=BR32))</f>
        <v>908.91278786454882</v>
      </c>
      <c r="BS42" s="370" cm="1">
        <f t="array" ref="BS42">SUMPRODUCT((Table8[G])*(Table8[Adjusted Total]/Table8[BER Total])*(Table8[Archetype]=BS33)*(Table8[County]=BS32))</f>
        <v>3969.5331885361406</v>
      </c>
      <c r="BT42" s="754" cm="1">
        <f t="array" ref="BT42">SUMPRODUCT((Table8[G])*(Table8[Adjusted Total]/Table8[BER Total])*(Table8[Archetype]=BT33)*(Table8[County]=BT32))</f>
        <v>56.303854255682978</v>
      </c>
      <c r="BU42" s="369" cm="1">
        <f t="array" ref="BU42">SUMPRODUCT((Table8[G])*(Table8[Adjusted Total]/Table8[BER Total])*(Table8[Archetype]=BU33)*(Table8[County]=BU32))</f>
        <v>333.74680527579727</v>
      </c>
      <c r="BV42" s="370" cm="1">
        <f t="array" ref="BV42">SUMPRODUCT((Table8[G])*(Table8[Adjusted Total]/Table8[BER Total])*(Table8[Archetype]=BV33)*(Table8[County]=BV32))</f>
        <v>2611.904304951991</v>
      </c>
      <c r="BW42" s="754" cm="1">
        <f t="array" ref="BW42">SUMPRODUCT((Table8[G])*(Table8[Adjusted Total]/Table8[BER Total])*(Table8[Archetype]=BW33)*(Table8[County]=BW32))</f>
        <v>43.892581513786666</v>
      </c>
      <c r="BX42" s="369" cm="1">
        <f t="array" ref="BX42">SUMPRODUCT((Table8[G])*(Table8[Adjusted Total]/Table8[BER Total])*(Table8[Archetype]=BX33)*(Table8[County]=BX32))</f>
        <v>580.22575625942272</v>
      </c>
      <c r="BY42" s="370" cm="1">
        <f t="array" ref="BY42">SUMPRODUCT((Table8[G])*(Table8[Adjusted Total]/Table8[BER Total])*(Table8[Archetype]=BY33)*(Table8[County]=BY32))</f>
        <v>1682.4733721967643</v>
      </c>
      <c r="BZ42" s="754" cm="1">
        <f t="array" ref="BZ42">SUMPRODUCT((Table8[G])*(Table8[Adjusted Total]/Table8[BER Total])*(Table8[Archetype]=BZ33)*(Table8[County]=BZ32))</f>
        <v>84.564599795433949</v>
      </c>
      <c r="CA42" s="369" cm="1">
        <f t="array" ref="CA42">SUMPRODUCT((Table8[G])*(Table8[Adjusted Total]/Table8[BER Total])*(Table8[Archetype]=CA33)*(Table8[County]=CA32))</f>
        <v>417.73778386813041</v>
      </c>
      <c r="CB42" s="370" cm="1">
        <f t="array" ref="CB42">SUMPRODUCT((Table8[G])*(Table8[Adjusted Total]/Table8[BER Total])*(Table8[Archetype]=CB33)*(Table8[County]=CB32))</f>
        <v>1830.016116926171</v>
      </c>
      <c r="CC42" s="754" cm="1">
        <f t="array" ref="CC42">SUMPRODUCT((Table8[G])*(Table8[Adjusted Total]/Table8[BER Total])*(Table8[Archetype]=CC33)*(Table8[County]=CC32))</f>
        <v>137.06777124106719</v>
      </c>
      <c r="CD42" s="369" cm="1">
        <f t="array" ref="CD42">SUMPRODUCT((Table8[G])*(Table8[Adjusted Total]/Table8[BER Total])*(Table8[Archetype]=CD33)*(Table8[County]=CD32))</f>
        <v>891.79661892413662</v>
      </c>
      <c r="CE42" s="370" cm="1">
        <f t="array" ref="CE42">SUMPRODUCT((Table8[G])*(Table8[Adjusted Total]/Table8[BER Total])*(Table8[Archetype]=CE33)*(Table8[County]=CE32))</f>
        <v>3758.563432783963</v>
      </c>
      <c r="CF42" s="754" cm="1">
        <f t="array" ref="CF42">SUMPRODUCT((Table8[G])*(Table8[Adjusted Total]/Table8[BER Total])*(Table8[Archetype]=CF33)*(Table8[County]=CF32))</f>
        <v>162.27844864803691</v>
      </c>
      <c r="CG42" s="369" cm="1">
        <f t="array" ref="CG42">SUMPRODUCT((Table8[G])*(Table8[Adjusted Total]/Table8[BER Total])*(Table8[Archetype]=CG33)*(Table8[County]=CG32))</f>
        <v>314.72360492332024</v>
      </c>
      <c r="CH42" s="370" cm="1">
        <f t="array" ref="CH42">SUMPRODUCT((Table8[G])*(Table8[Adjusted Total]/Table8[BER Total])*(Table8[Archetype]=CH33)*(Table8[County]=CH32))</f>
        <v>1194.6374687716234</v>
      </c>
      <c r="CI42" s="312">
        <f t="shared" si="9"/>
        <v>114032.41009529008</v>
      </c>
    </row>
    <row r="43" spans="2:121" ht="15.75" thickBot="1">
      <c r="C43" s="261"/>
      <c r="H43" s="741" t="s">
        <v>216</v>
      </c>
      <c r="I43" s="747">
        <f t="shared" ref="I43:AN43" si="10">SUM(I34:I42)</f>
        <v>1272.084432974631</v>
      </c>
      <c r="J43" s="748">
        <f t="shared" si="10"/>
        <v>9017.3696255538798</v>
      </c>
      <c r="K43" s="749">
        <f t="shared" si="10"/>
        <v>10817.00516141598</v>
      </c>
      <c r="L43" s="743">
        <f t="shared" si="10"/>
        <v>123314.67820831671</v>
      </c>
      <c r="M43" s="314">
        <f t="shared" si="10"/>
        <v>299739.87494657928</v>
      </c>
      <c r="N43" s="750">
        <f t="shared" si="10"/>
        <v>56159.174425610254</v>
      </c>
      <c r="O43" s="743">
        <f t="shared" si="10"/>
        <v>7363.7968231969135</v>
      </c>
      <c r="P43" s="314">
        <f t="shared" si="10"/>
        <v>38144.204386107944</v>
      </c>
      <c r="Q43" s="750">
        <f t="shared" si="10"/>
        <v>30304.517514538838</v>
      </c>
      <c r="R43" s="743">
        <f t="shared" si="10"/>
        <v>1751.3817529766175</v>
      </c>
      <c r="S43" s="314">
        <f t="shared" si="10"/>
        <v>12508.441600918088</v>
      </c>
      <c r="T43" s="750">
        <f t="shared" si="10"/>
        <v>20891.382011189213</v>
      </c>
      <c r="U43" s="743">
        <f t="shared" si="10"/>
        <v>1434.9997251520253</v>
      </c>
      <c r="V43" s="314">
        <f t="shared" si="10"/>
        <v>11510.58391452228</v>
      </c>
      <c r="W43" s="750">
        <f t="shared" si="10"/>
        <v>16295.614216511489</v>
      </c>
      <c r="X43" s="743">
        <f t="shared" si="10"/>
        <v>691.43208570294928</v>
      </c>
      <c r="Y43" s="314">
        <f t="shared" si="10"/>
        <v>4746.2770797513549</v>
      </c>
      <c r="Z43" s="750">
        <f t="shared" si="10"/>
        <v>9718.9087422298653</v>
      </c>
      <c r="AA43" s="743">
        <f t="shared" si="10"/>
        <v>3038.8153054039785</v>
      </c>
      <c r="AB43" s="314">
        <f t="shared" si="10"/>
        <v>24289.540001760251</v>
      </c>
      <c r="AC43" s="750">
        <f t="shared" si="10"/>
        <v>18866.743201020949</v>
      </c>
      <c r="AD43" s="743">
        <f t="shared" si="10"/>
        <v>5411.4225176697691</v>
      </c>
      <c r="AE43" s="314">
        <f t="shared" si="10"/>
        <v>27103.374443441171</v>
      </c>
      <c r="AF43" s="750">
        <f t="shared" si="10"/>
        <v>34324.09820344366</v>
      </c>
      <c r="AG43" s="743">
        <f t="shared" si="10"/>
        <v>1175.2936766265591</v>
      </c>
      <c r="AH43" s="314">
        <f t="shared" si="10"/>
        <v>10239.258420802398</v>
      </c>
      <c r="AI43" s="750">
        <f t="shared" si="10"/>
        <v>15966.202026112715</v>
      </c>
      <c r="AJ43" s="743">
        <f t="shared" si="10"/>
        <v>2888.9605821519499</v>
      </c>
      <c r="AK43" s="314">
        <f t="shared" si="10"/>
        <v>12264.197780781444</v>
      </c>
      <c r="AL43" s="750">
        <f t="shared" si="10"/>
        <v>16822.932669034672</v>
      </c>
      <c r="AM43" s="743">
        <f t="shared" si="10"/>
        <v>2668.9797196485479</v>
      </c>
      <c r="AN43" s="314">
        <f t="shared" si="10"/>
        <v>18385.501077566361</v>
      </c>
      <c r="AO43" s="750">
        <f t="shared" ref="AO43:BT43" si="11">SUM(AO34:AO42)</f>
        <v>33878.287885206948</v>
      </c>
      <c r="AP43" s="743">
        <f t="shared" si="11"/>
        <v>4513.1911767694201</v>
      </c>
      <c r="AQ43" s="314">
        <f t="shared" si="11"/>
        <v>23167.339151815657</v>
      </c>
      <c r="AR43" s="750">
        <f t="shared" si="11"/>
        <v>22529.580764463226</v>
      </c>
      <c r="AS43" s="743">
        <f t="shared" si="11"/>
        <v>2491.2235846235253</v>
      </c>
      <c r="AT43" s="314">
        <f t="shared" si="11"/>
        <v>15118.989670799881</v>
      </c>
      <c r="AU43" s="750">
        <f t="shared" si="11"/>
        <v>26221.499459384846</v>
      </c>
      <c r="AV43" s="743">
        <f t="shared" si="11"/>
        <v>18164.569738528382</v>
      </c>
      <c r="AW43" s="314">
        <f t="shared" si="11"/>
        <v>91446.903647123108</v>
      </c>
      <c r="AX43" s="750">
        <f t="shared" si="11"/>
        <v>88706.618668082694</v>
      </c>
      <c r="AY43" s="743">
        <f t="shared" si="11"/>
        <v>2906.0721193547802</v>
      </c>
      <c r="AZ43" s="314">
        <f t="shared" si="11"/>
        <v>15686.699374231552</v>
      </c>
      <c r="BA43" s="750">
        <f t="shared" si="11"/>
        <v>36376.580790193235</v>
      </c>
      <c r="BB43" s="743">
        <f t="shared" si="11"/>
        <v>7461.1258002920376</v>
      </c>
      <c r="BC43" s="314">
        <f t="shared" si="11"/>
        <v>31695.949118274744</v>
      </c>
      <c r="BD43" s="750">
        <f t="shared" si="11"/>
        <v>32750.827361563519</v>
      </c>
      <c r="BE43" s="743">
        <f t="shared" si="11"/>
        <v>2382.2341251096568</v>
      </c>
      <c r="BF43" s="314">
        <f t="shared" si="11"/>
        <v>21954.232438086234</v>
      </c>
      <c r="BG43" s="750">
        <f t="shared" si="11"/>
        <v>34965.040184897764</v>
      </c>
      <c r="BH43" s="743">
        <f t="shared" si="11"/>
        <v>3199.1719442467102</v>
      </c>
      <c r="BI43" s="314">
        <f t="shared" si="11"/>
        <v>21769.226916806354</v>
      </c>
      <c r="BJ43" s="750">
        <f t="shared" si="11"/>
        <v>19142.703253806059</v>
      </c>
      <c r="BK43" s="743">
        <f t="shared" si="11"/>
        <v>9881.5892011882625</v>
      </c>
      <c r="BL43" s="314">
        <f t="shared" si="11"/>
        <v>27589.465054026703</v>
      </c>
      <c r="BM43" s="750">
        <f t="shared" si="11"/>
        <v>55372.585087977008</v>
      </c>
      <c r="BN43" s="743">
        <f t="shared" si="11"/>
        <v>543.02409251525864</v>
      </c>
      <c r="BO43" s="314">
        <f t="shared" si="11"/>
        <v>2737.7793125602311</v>
      </c>
      <c r="BP43" s="750">
        <f t="shared" si="11"/>
        <v>9101.1608576935432</v>
      </c>
      <c r="BQ43" s="743">
        <f t="shared" si="11"/>
        <v>2141.3166117916521</v>
      </c>
      <c r="BR43" s="314">
        <f t="shared" si="11"/>
        <v>12519.701036831018</v>
      </c>
      <c r="BS43" s="750">
        <f t="shared" si="11"/>
        <v>34699.30894292317</v>
      </c>
      <c r="BT43" s="743">
        <f t="shared" si="11"/>
        <v>676.45175529921289</v>
      </c>
      <c r="BU43" s="314">
        <f t="shared" ref="BU43:CH43" si="12">SUM(BU34:BU42)</f>
        <v>5372.2948402948405</v>
      </c>
      <c r="BV43" s="750">
        <f t="shared" si="12"/>
        <v>18080.993461874819</v>
      </c>
      <c r="BW43" s="743">
        <f t="shared" si="12"/>
        <v>1676.0939551367242</v>
      </c>
      <c r="BX43" s="314">
        <f t="shared" si="12"/>
        <v>8889.5641738149861</v>
      </c>
      <c r="BY43" s="750">
        <f t="shared" si="12"/>
        <v>14494.215013491199</v>
      </c>
      <c r="BZ43" s="743">
        <f t="shared" si="12"/>
        <v>1271.052567009926</v>
      </c>
      <c r="CA43" s="314">
        <f t="shared" si="12"/>
        <v>7706.8792520168045</v>
      </c>
      <c r="CB43" s="750">
        <f t="shared" si="12"/>
        <v>18119.875348525962</v>
      </c>
      <c r="CC43" s="743">
        <f t="shared" si="12"/>
        <v>2392.9923596273825</v>
      </c>
      <c r="CD43" s="314">
        <f t="shared" si="12"/>
        <v>15881.582138278784</v>
      </c>
      <c r="CE43" s="750">
        <f t="shared" si="12"/>
        <v>40738.467908725754</v>
      </c>
      <c r="CF43" s="743">
        <f t="shared" si="12"/>
        <v>1027.5356632394301</v>
      </c>
      <c r="CG43" s="314">
        <f t="shared" si="12"/>
        <v>6619.1242565355706</v>
      </c>
      <c r="CH43" s="750">
        <f t="shared" si="12"/>
        <v>14155.109041449583</v>
      </c>
      <c r="CI43" s="315">
        <f t="shared" si="9"/>
        <v>1717343.2753852012</v>
      </c>
    </row>
    <row r="44" spans="2:121" ht="15">
      <c r="C44" s="261"/>
    </row>
    <row r="45" spans="2:121" ht="15">
      <c r="K45" s="348" t="s">
        <v>565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327" t="s">
        <v>284</v>
      </c>
      <c r="C48" s="1328"/>
      <c r="D48" s="1328"/>
      <c r="E48" s="1328"/>
      <c r="F48" s="1328"/>
      <c r="G48" s="1328"/>
      <c r="H48" s="1328"/>
      <c r="I48" s="1328"/>
      <c r="J48" s="1328"/>
      <c r="K48" s="1328"/>
      <c r="L48" s="1329"/>
      <c r="M48" s="1320" t="s">
        <v>1062</v>
      </c>
      <c r="N48" s="1321"/>
      <c r="O48" s="1322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913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317" t="s">
        <v>1056</v>
      </c>
      <c r="AN50" s="1317"/>
      <c r="AO50" s="1317"/>
      <c r="AP50" s="1317"/>
      <c r="AQ50" s="1317"/>
      <c r="AR50" s="1317"/>
      <c r="AZ50" s="1317" t="s">
        <v>1077</v>
      </c>
      <c r="BA50" s="1317"/>
      <c r="BB50" s="1317"/>
      <c r="BC50" s="1317"/>
      <c r="BD50" s="1317"/>
      <c r="BE50" s="1317"/>
      <c r="BF50" s="1317"/>
      <c r="BG50" s="1317"/>
      <c r="BH50" s="1317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55" t="s">
        <v>915</v>
      </c>
      <c r="AN51" s="736" t="s">
        <v>914</v>
      </c>
      <c r="AO51" s="736" t="s">
        <v>880</v>
      </c>
      <c r="AP51" s="736" t="s">
        <v>881</v>
      </c>
      <c r="AQ51" s="736" t="s">
        <v>42</v>
      </c>
      <c r="AR51" s="736" t="s">
        <v>216</v>
      </c>
      <c r="AY51" s="806" t="s">
        <v>914</v>
      </c>
      <c r="AZ51" s="806" t="s">
        <v>914</v>
      </c>
      <c r="BA51" s="806" t="s">
        <v>880</v>
      </c>
      <c r="BB51" s="806" t="s">
        <v>881</v>
      </c>
      <c r="BC51" s="806" t="s">
        <v>42</v>
      </c>
      <c r="BD51" s="806" t="s">
        <v>216</v>
      </c>
      <c r="BE51" s="879" t="s">
        <v>46</v>
      </c>
      <c r="BF51" s="879" t="s">
        <v>44</v>
      </c>
      <c r="BG51" s="880" t="s">
        <v>292</v>
      </c>
      <c r="BH51" s="880" t="s">
        <v>1076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3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882</v>
      </c>
      <c r="AO52">
        <v>145</v>
      </c>
      <c r="AP52">
        <v>859</v>
      </c>
      <c r="AQ52">
        <v>155</v>
      </c>
      <c r="AR52">
        <f t="shared" ref="AR52:AR82" si="14">SUM(AO52:AQ52)</f>
        <v>1159</v>
      </c>
      <c r="AY52" s="875" t="s">
        <v>325</v>
      </c>
      <c r="AZ52" s="877" t="s">
        <v>882</v>
      </c>
      <c r="BA52">
        <v>5911</v>
      </c>
      <c r="BB52">
        <v>7905</v>
      </c>
      <c r="BC52">
        <v>983</v>
      </c>
      <c r="BD52">
        <f>SUM(BA52:BC52)</f>
        <v>14799</v>
      </c>
      <c r="BE52" s="874">
        <f>BA52/BD52</f>
        <v>0.39941887965403067</v>
      </c>
      <c r="BF52" s="874">
        <f>BB52/BD52</f>
        <v>0.53415771335901074</v>
      </c>
      <c r="BG52" s="874">
        <f>BC52/BD52</f>
        <v>6.6423406986958575E-2</v>
      </c>
      <c r="BH52" s="874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3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883</v>
      </c>
      <c r="AO53">
        <v>401</v>
      </c>
      <c r="AP53">
        <v>222</v>
      </c>
      <c r="AQ53">
        <v>16</v>
      </c>
      <c r="AR53">
        <f t="shared" si="14"/>
        <v>639</v>
      </c>
      <c r="AY53" s="876" t="s">
        <v>321</v>
      </c>
      <c r="AZ53" s="878" t="s">
        <v>883</v>
      </c>
      <c r="BA53">
        <v>1801</v>
      </c>
      <c r="BB53">
        <v>962</v>
      </c>
      <c r="BC53">
        <v>87</v>
      </c>
      <c r="BD53">
        <f t="shared" ref="BD53:BD82" si="15">SUM(BA53:BC53)</f>
        <v>2850</v>
      </c>
      <c r="BE53" s="874">
        <f t="shared" ref="BE53:BE82" si="16">BA53/BD53</f>
        <v>0.63192982456140356</v>
      </c>
      <c r="BF53" s="874">
        <f t="shared" ref="BF53:BF82" si="17">BB53/BD53</f>
        <v>0.33754385964912281</v>
      </c>
      <c r="BG53" s="874">
        <f t="shared" ref="BG53:BG82" si="18">BC53/BD53</f>
        <v>3.0526315789473683E-2</v>
      </c>
      <c r="BH53" s="874">
        <f t="shared" ref="BH53:BH82" si="19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3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884</v>
      </c>
      <c r="AO54">
        <v>265</v>
      </c>
      <c r="AP54">
        <v>82</v>
      </c>
      <c r="AQ54">
        <v>35</v>
      </c>
      <c r="AR54">
        <f t="shared" si="14"/>
        <v>382</v>
      </c>
      <c r="AY54" s="875" t="s">
        <v>303</v>
      </c>
      <c r="AZ54" s="877" t="s">
        <v>884</v>
      </c>
      <c r="BA54">
        <v>1125</v>
      </c>
      <c r="BB54">
        <v>362</v>
      </c>
      <c r="BC54">
        <v>78</v>
      </c>
      <c r="BD54">
        <f t="shared" si="15"/>
        <v>1565</v>
      </c>
      <c r="BE54" s="874">
        <f t="shared" si="16"/>
        <v>0.71884984025559107</v>
      </c>
      <c r="BF54" s="874">
        <f t="shared" si="17"/>
        <v>0.23130990415335465</v>
      </c>
      <c r="BG54" s="874">
        <f t="shared" si="18"/>
        <v>4.984025559105431E-2</v>
      </c>
      <c r="BH54" s="874">
        <f t="shared" si="19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3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885</v>
      </c>
      <c r="AO55">
        <v>1305</v>
      </c>
      <c r="AP55">
        <v>1058</v>
      </c>
      <c r="AQ55">
        <v>142</v>
      </c>
      <c r="AR55">
        <f t="shared" si="14"/>
        <v>2505</v>
      </c>
      <c r="AY55" s="876"/>
      <c r="AZ55" s="878" t="s">
        <v>885</v>
      </c>
      <c r="BA55">
        <v>5419</v>
      </c>
      <c r="BB55">
        <v>4367</v>
      </c>
      <c r="BC55">
        <v>370</v>
      </c>
      <c r="BD55">
        <f t="shared" si="15"/>
        <v>10156</v>
      </c>
      <c r="BE55" s="874">
        <f t="shared" si="16"/>
        <v>0.53357621110673492</v>
      </c>
      <c r="BF55" s="874">
        <f t="shared" si="17"/>
        <v>0.4299921228830248</v>
      </c>
      <c r="BG55" s="874">
        <f t="shared" si="18"/>
        <v>3.6431666010240255E-2</v>
      </c>
      <c r="BH55" s="874">
        <f t="shared" si="19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3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886</v>
      </c>
      <c r="AO56">
        <v>141</v>
      </c>
      <c r="AP56">
        <v>230</v>
      </c>
      <c r="AQ56">
        <v>7</v>
      </c>
      <c r="AR56">
        <f t="shared" si="14"/>
        <v>378</v>
      </c>
      <c r="AY56" s="875" t="s">
        <v>291</v>
      </c>
      <c r="AZ56" s="877" t="s">
        <v>886</v>
      </c>
      <c r="BA56">
        <v>652</v>
      </c>
      <c r="BB56">
        <v>797</v>
      </c>
      <c r="BC56">
        <v>31</v>
      </c>
      <c r="BD56">
        <f t="shared" si="15"/>
        <v>1480</v>
      </c>
      <c r="BE56" s="874">
        <f t="shared" si="16"/>
        <v>0.44054054054054054</v>
      </c>
      <c r="BF56" s="874">
        <f t="shared" si="17"/>
        <v>0.53851351351351351</v>
      </c>
      <c r="BG56" s="874">
        <f t="shared" si="18"/>
        <v>2.0945945945945947E-2</v>
      </c>
      <c r="BH56" s="874">
        <f t="shared" si="19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3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887</v>
      </c>
      <c r="AO57">
        <v>173</v>
      </c>
      <c r="AP57">
        <v>1913</v>
      </c>
      <c r="AQ57">
        <v>1779</v>
      </c>
      <c r="AR57">
        <f t="shared" si="14"/>
        <v>3865</v>
      </c>
      <c r="AY57" s="876" t="s">
        <v>333</v>
      </c>
      <c r="AZ57" s="878" t="s">
        <v>887</v>
      </c>
      <c r="BA57">
        <v>2477</v>
      </c>
      <c r="BB57">
        <v>23832</v>
      </c>
      <c r="BC57">
        <v>17183</v>
      </c>
      <c r="BD57">
        <f t="shared" si="15"/>
        <v>43492</v>
      </c>
      <c r="BE57" s="874">
        <f t="shared" si="16"/>
        <v>5.6953002851099055E-2</v>
      </c>
      <c r="BF57" s="874">
        <f t="shared" si="17"/>
        <v>0.54796284374137771</v>
      </c>
      <c r="BG57" s="874">
        <f t="shared" si="18"/>
        <v>0.39508415340752323</v>
      </c>
      <c r="BH57" s="874">
        <f t="shared" si="19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3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888</v>
      </c>
      <c r="AO58">
        <v>182</v>
      </c>
      <c r="AP58">
        <v>1448</v>
      </c>
      <c r="AQ58">
        <v>1383</v>
      </c>
      <c r="AR58">
        <f t="shared" si="14"/>
        <v>3013</v>
      </c>
      <c r="AY58" s="875"/>
      <c r="AZ58" s="877" t="s">
        <v>888</v>
      </c>
      <c r="BA58">
        <v>603</v>
      </c>
      <c r="BB58">
        <v>3337</v>
      </c>
      <c r="BC58">
        <v>4600</v>
      </c>
      <c r="BD58">
        <f t="shared" si="15"/>
        <v>8540</v>
      </c>
      <c r="BE58" s="874">
        <f t="shared" si="16"/>
        <v>7.0608899297423894E-2</v>
      </c>
      <c r="BF58" s="874">
        <f t="shared" si="17"/>
        <v>0.3907494145199063</v>
      </c>
      <c r="BG58" s="874">
        <f t="shared" si="18"/>
        <v>0.53864168618266983</v>
      </c>
      <c r="BH58" s="874">
        <f t="shared" si="19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3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889</v>
      </c>
      <c r="AO59">
        <v>708</v>
      </c>
      <c r="AP59">
        <v>205</v>
      </c>
      <c r="AQ59">
        <v>32</v>
      </c>
      <c r="AR59">
        <f t="shared" si="14"/>
        <v>945</v>
      </c>
      <c r="AY59" s="876" t="s">
        <v>329</v>
      </c>
      <c r="AZ59" s="878" t="s">
        <v>889</v>
      </c>
      <c r="BA59">
        <v>3124</v>
      </c>
      <c r="BB59">
        <v>898</v>
      </c>
      <c r="BC59">
        <v>248</v>
      </c>
      <c r="BD59">
        <f t="shared" si="15"/>
        <v>4270</v>
      </c>
      <c r="BE59" s="874">
        <f t="shared" si="16"/>
        <v>0.731615925058548</v>
      </c>
      <c r="BF59" s="874">
        <f t="shared" si="17"/>
        <v>0.21030444964871195</v>
      </c>
      <c r="BG59" s="874">
        <f t="shared" si="18"/>
        <v>5.807962529274005E-2</v>
      </c>
      <c r="BH59" s="874">
        <f t="shared" si="19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3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890</v>
      </c>
      <c r="AO60">
        <v>220</v>
      </c>
      <c r="AP60">
        <v>3682</v>
      </c>
      <c r="AQ60">
        <v>612</v>
      </c>
      <c r="AR60">
        <f t="shared" si="14"/>
        <v>4514</v>
      </c>
      <c r="AY60" s="875"/>
      <c r="AZ60" s="877" t="s">
        <v>890</v>
      </c>
      <c r="BA60">
        <v>830</v>
      </c>
      <c r="BB60">
        <v>9873</v>
      </c>
      <c r="BC60">
        <v>2556</v>
      </c>
      <c r="BD60">
        <f t="shared" si="15"/>
        <v>13259</v>
      </c>
      <c r="BE60" s="874">
        <f t="shared" si="16"/>
        <v>6.2598989365713856E-2</v>
      </c>
      <c r="BF60" s="874">
        <f t="shared" si="17"/>
        <v>0.74462629157553362</v>
      </c>
      <c r="BG60" s="874">
        <f t="shared" si="18"/>
        <v>0.19277471905875254</v>
      </c>
      <c r="BH60" s="874">
        <f t="shared" si="19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3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891</v>
      </c>
      <c r="AO61">
        <v>936</v>
      </c>
      <c r="AP61">
        <v>233</v>
      </c>
      <c r="AQ61">
        <v>66</v>
      </c>
      <c r="AR61">
        <f t="shared" si="14"/>
        <v>1235</v>
      </c>
      <c r="AY61" s="876" t="s">
        <v>335</v>
      </c>
      <c r="AZ61" s="878" t="s">
        <v>891</v>
      </c>
      <c r="BA61">
        <v>4147</v>
      </c>
      <c r="BB61">
        <v>2251</v>
      </c>
      <c r="BC61">
        <v>576</v>
      </c>
      <c r="BD61">
        <f t="shared" si="15"/>
        <v>6974</v>
      </c>
      <c r="BE61" s="874">
        <f t="shared" si="16"/>
        <v>0.59463722397476337</v>
      </c>
      <c r="BF61" s="874">
        <f t="shared" si="17"/>
        <v>0.32277028964726123</v>
      </c>
      <c r="BG61" s="874">
        <f t="shared" si="18"/>
        <v>8.2592486377975338E-2</v>
      </c>
      <c r="BH61" s="874">
        <f t="shared" si="19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3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892</v>
      </c>
      <c r="AO62">
        <v>47</v>
      </c>
      <c r="AP62">
        <v>258</v>
      </c>
      <c r="AQ62">
        <v>49</v>
      </c>
      <c r="AR62">
        <f t="shared" si="14"/>
        <v>354</v>
      </c>
      <c r="AY62" s="875"/>
      <c r="AZ62" s="877" t="s">
        <v>892</v>
      </c>
      <c r="BA62">
        <v>201</v>
      </c>
      <c r="BB62">
        <v>862</v>
      </c>
      <c r="BC62">
        <v>337</v>
      </c>
      <c r="BD62">
        <f t="shared" si="15"/>
        <v>1400</v>
      </c>
      <c r="BE62" s="874">
        <f t="shared" si="16"/>
        <v>0.14357142857142857</v>
      </c>
      <c r="BF62" s="874">
        <f t="shared" si="17"/>
        <v>0.61571428571428577</v>
      </c>
      <c r="BG62" s="874">
        <f t="shared" si="18"/>
        <v>0.24071428571428571</v>
      </c>
      <c r="BH62" s="874">
        <f t="shared" si="19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3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893</v>
      </c>
      <c r="AO63">
        <v>404</v>
      </c>
      <c r="AP63">
        <v>2105</v>
      </c>
      <c r="AQ63">
        <v>58</v>
      </c>
      <c r="AR63">
        <f t="shared" si="14"/>
        <v>2567</v>
      </c>
      <c r="AY63" s="876" t="s">
        <v>322</v>
      </c>
      <c r="AZ63" s="878" t="s">
        <v>893</v>
      </c>
      <c r="BA63">
        <v>1626</v>
      </c>
      <c r="BB63">
        <v>8161</v>
      </c>
      <c r="BC63">
        <v>516</v>
      </c>
      <c r="BD63">
        <f t="shared" si="15"/>
        <v>10303</v>
      </c>
      <c r="BE63" s="874">
        <f t="shared" si="16"/>
        <v>0.15781811122973891</v>
      </c>
      <c r="BF63" s="874">
        <f t="shared" si="17"/>
        <v>0.7920993885276133</v>
      </c>
      <c r="BG63" s="874">
        <f t="shared" si="18"/>
        <v>5.0082500242647772E-2</v>
      </c>
      <c r="BH63" s="874">
        <f t="shared" si="19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3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894</v>
      </c>
      <c r="AO64">
        <v>374</v>
      </c>
      <c r="AP64">
        <v>92</v>
      </c>
      <c r="AQ64">
        <v>48</v>
      </c>
      <c r="AR64">
        <f t="shared" si="14"/>
        <v>514</v>
      </c>
      <c r="AY64" s="875" t="s">
        <v>323</v>
      </c>
      <c r="AZ64" s="877" t="s">
        <v>894</v>
      </c>
      <c r="BA64">
        <v>1454</v>
      </c>
      <c r="BB64">
        <v>641</v>
      </c>
      <c r="BC64">
        <v>191</v>
      </c>
      <c r="BD64">
        <f t="shared" si="15"/>
        <v>2286</v>
      </c>
      <c r="BE64" s="874">
        <f t="shared" si="16"/>
        <v>0.63604549431321089</v>
      </c>
      <c r="BF64" s="874">
        <f t="shared" si="17"/>
        <v>0.2804024496937883</v>
      </c>
      <c r="BG64" s="874">
        <f t="shared" si="18"/>
        <v>8.3552055993000876E-2</v>
      </c>
      <c r="BH64" s="874">
        <f t="shared" si="19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3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895</v>
      </c>
      <c r="AO65">
        <v>522</v>
      </c>
      <c r="AP65">
        <v>269</v>
      </c>
      <c r="AQ65">
        <v>54</v>
      </c>
      <c r="AR65">
        <f t="shared" si="14"/>
        <v>845</v>
      </c>
      <c r="AY65" s="876" t="s">
        <v>336</v>
      </c>
      <c r="AZ65" s="878" t="s">
        <v>895</v>
      </c>
      <c r="BA65">
        <v>2223</v>
      </c>
      <c r="BB65">
        <v>1163</v>
      </c>
      <c r="BC65">
        <v>220</v>
      </c>
      <c r="BD65">
        <f t="shared" si="15"/>
        <v>3606</v>
      </c>
      <c r="BE65" s="874">
        <f t="shared" si="16"/>
        <v>0.61647254575707155</v>
      </c>
      <c r="BF65" s="874">
        <f t="shared" si="17"/>
        <v>0.32251802551303382</v>
      </c>
      <c r="BG65" s="874">
        <f t="shared" si="18"/>
        <v>6.1009428729894621E-2</v>
      </c>
      <c r="BH65" s="874">
        <f t="shared" si="19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3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896</v>
      </c>
      <c r="AO66">
        <v>118</v>
      </c>
      <c r="AP66">
        <v>37</v>
      </c>
      <c r="AQ66">
        <v>15</v>
      </c>
      <c r="AR66">
        <f t="shared" si="14"/>
        <v>170</v>
      </c>
      <c r="AY66" s="875" t="s">
        <v>326</v>
      </c>
      <c r="AZ66" s="877" t="s">
        <v>896</v>
      </c>
      <c r="BA66">
        <v>495</v>
      </c>
      <c r="BB66">
        <v>302</v>
      </c>
      <c r="BC66">
        <v>52</v>
      </c>
      <c r="BD66">
        <f t="shared" si="15"/>
        <v>849</v>
      </c>
      <c r="BE66" s="874">
        <f t="shared" si="16"/>
        <v>0.58303886925795056</v>
      </c>
      <c r="BF66" s="874">
        <f t="shared" si="17"/>
        <v>0.35571260306242636</v>
      </c>
      <c r="BG66" s="874">
        <f t="shared" si="18"/>
        <v>6.1248527679623084E-2</v>
      </c>
      <c r="BH66" s="874">
        <f t="shared" si="19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3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897</v>
      </c>
      <c r="AO67">
        <v>279</v>
      </c>
      <c r="AP67">
        <v>746</v>
      </c>
      <c r="AQ67">
        <v>47</v>
      </c>
      <c r="AR67">
        <f t="shared" si="14"/>
        <v>1072</v>
      </c>
      <c r="AY67" s="876" t="s">
        <v>327</v>
      </c>
      <c r="AZ67" s="878" t="s">
        <v>897</v>
      </c>
      <c r="BA67">
        <v>1130</v>
      </c>
      <c r="BB67">
        <v>2777</v>
      </c>
      <c r="BC67">
        <v>296</v>
      </c>
      <c r="BD67">
        <f t="shared" si="15"/>
        <v>4203</v>
      </c>
      <c r="BE67" s="874">
        <f t="shared" si="16"/>
        <v>0.26885557934808468</v>
      </c>
      <c r="BF67" s="874">
        <f t="shared" si="17"/>
        <v>0.66071853438020467</v>
      </c>
      <c r="BG67" s="874">
        <f t="shared" si="18"/>
        <v>7.0425886271710689E-2</v>
      </c>
      <c r="BH67" s="874">
        <f t="shared" si="19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3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898</v>
      </c>
      <c r="AO68">
        <v>416</v>
      </c>
      <c r="AP68">
        <v>675</v>
      </c>
      <c r="AQ68">
        <v>46</v>
      </c>
      <c r="AR68">
        <f t="shared" si="14"/>
        <v>1137</v>
      </c>
      <c r="AY68" s="875" t="s">
        <v>337</v>
      </c>
      <c r="AZ68" s="877" t="s">
        <v>898</v>
      </c>
      <c r="BA68">
        <v>1734</v>
      </c>
      <c r="BB68">
        <v>2040</v>
      </c>
      <c r="BC68">
        <v>370</v>
      </c>
      <c r="BD68">
        <f t="shared" si="15"/>
        <v>4144</v>
      </c>
      <c r="BE68" s="874">
        <f t="shared" si="16"/>
        <v>0.41843629343629346</v>
      </c>
      <c r="BF68" s="874">
        <f t="shared" si="17"/>
        <v>0.49227799227799229</v>
      </c>
      <c r="BG68" s="874">
        <f t="shared" si="18"/>
        <v>8.9285714285714288E-2</v>
      </c>
      <c r="BH68" s="874">
        <f t="shared" si="19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3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916</v>
      </c>
      <c r="AN69" s="156" t="s">
        <v>899</v>
      </c>
      <c r="AO69">
        <v>106</v>
      </c>
      <c r="AP69">
        <v>51</v>
      </c>
      <c r="AQ69">
        <v>15</v>
      </c>
      <c r="AR69">
        <f t="shared" si="14"/>
        <v>172</v>
      </c>
      <c r="AY69" s="876" t="s">
        <v>340</v>
      </c>
      <c r="AZ69" s="878" t="s">
        <v>899</v>
      </c>
      <c r="BA69">
        <v>455</v>
      </c>
      <c r="BB69">
        <v>121</v>
      </c>
      <c r="BC69">
        <v>61</v>
      </c>
      <c r="BD69">
        <f t="shared" si="15"/>
        <v>637</v>
      </c>
      <c r="BE69" s="874">
        <f t="shared" si="16"/>
        <v>0.7142857142857143</v>
      </c>
      <c r="BF69" s="874">
        <f t="shared" si="17"/>
        <v>0.18995290423861852</v>
      </c>
      <c r="BG69" s="874">
        <f t="shared" si="18"/>
        <v>9.5761381475667193E-2</v>
      </c>
      <c r="BH69" s="874">
        <f t="shared" si="19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3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900</v>
      </c>
      <c r="AO70">
        <v>245</v>
      </c>
      <c r="AP70">
        <v>139</v>
      </c>
      <c r="AQ70">
        <v>17</v>
      </c>
      <c r="AR70">
        <f t="shared" si="14"/>
        <v>401</v>
      </c>
      <c r="AY70" s="875" t="s">
        <v>324</v>
      </c>
      <c r="AZ70" s="877" t="s">
        <v>900</v>
      </c>
      <c r="BA70">
        <v>1042</v>
      </c>
      <c r="BB70">
        <v>860</v>
      </c>
      <c r="BC70">
        <v>91</v>
      </c>
      <c r="BD70">
        <f t="shared" si="15"/>
        <v>1993</v>
      </c>
      <c r="BE70" s="874">
        <f t="shared" si="16"/>
        <v>0.52282990466633217</v>
      </c>
      <c r="BF70" s="874">
        <f t="shared" si="17"/>
        <v>0.4315102860010035</v>
      </c>
      <c r="BG70" s="874">
        <f t="shared" si="18"/>
        <v>4.5659809332664322E-2</v>
      </c>
      <c r="BH70" s="874">
        <f t="shared" si="19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3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901</v>
      </c>
      <c r="AO71">
        <v>640</v>
      </c>
      <c r="AP71">
        <v>2276</v>
      </c>
      <c r="AQ71">
        <v>70</v>
      </c>
      <c r="AR71">
        <f t="shared" si="14"/>
        <v>2986</v>
      </c>
      <c r="AY71" s="876" t="s">
        <v>328</v>
      </c>
      <c r="AZ71" s="878" t="s">
        <v>901</v>
      </c>
      <c r="BA71">
        <v>2472</v>
      </c>
      <c r="BB71">
        <v>6355</v>
      </c>
      <c r="BC71">
        <v>264</v>
      </c>
      <c r="BD71">
        <f t="shared" si="15"/>
        <v>9091</v>
      </c>
      <c r="BE71" s="874">
        <f t="shared" si="16"/>
        <v>0.27191728082719174</v>
      </c>
      <c r="BF71" s="874">
        <f t="shared" si="17"/>
        <v>0.69904300956990428</v>
      </c>
      <c r="BG71" s="874">
        <f t="shared" si="18"/>
        <v>2.903970960290397E-2</v>
      </c>
      <c r="BH71" s="874">
        <f t="shared" si="19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3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902</v>
      </c>
      <c r="AO72">
        <v>242</v>
      </c>
      <c r="AP72">
        <v>66</v>
      </c>
      <c r="AQ72">
        <v>16</v>
      </c>
      <c r="AR72">
        <f t="shared" si="14"/>
        <v>324</v>
      </c>
      <c r="AY72" s="875" t="s">
        <v>344</v>
      </c>
      <c r="AZ72" s="877" t="s">
        <v>902</v>
      </c>
      <c r="BA72">
        <v>1104</v>
      </c>
      <c r="BB72">
        <v>432</v>
      </c>
      <c r="BC72">
        <v>75</v>
      </c>
      <c r="BD72">
        <f t="shared" si="15"/>
        <v>1611</v>
      </c>
      <c r="BE72" s="874">
        <f t="shared" si="16"/>
        <v>0.68528864059590322</v>
      </c>
      <c r="BF72" s="874">
        <f t="shared" si="17"/>
        <v>0.26815642458100558</v>
      </c>
      <c r="BG72" s="874">
        <f t="shared" si="18"/>
        <v>4.6554934823091247E-2</v>
      </c>
      <c r="BH72" s="874">
        <f t="shared" si="19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3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903</v>
      </c>
      <c r="AO73">
        <v>557</v>
      </c>
      <c r="AP73">
        <v>138</v>
      </c>
      <c r="AQ73">
        <v>18</v>
      </c>
      <c r="AR73">
        <f t="shared" si="14"/>
        <v>713</v>
      </c>
      <c r="AY73" s="876" t="s">
        <v>341</v>
      </c>
      <c r="AZ73" s="878" t="s">
        <v>903</v>
      </c>
      <c r="BA73">
        <v>2359</v>
      </c>
      <c r="BB73">
        <v>773</v>
      </c>
      <c r="BC73">
        <v>123</v>
      </c>
      <c r="BD73">
        <f t="shared" si="15"/>
        <v>3255</v>
      </c>
      <c r="BE73" s="874">
        <f t="shared" si="16"/>
        <v>0.72473118279569892</v>
      </c>
      <c r="BF73" s="874">
        <f t="shared" si="17"/>
        <v>0.23748079877112135</v>
      </c>
      <c r="BG73" s="874">
        <f t="shared" si="18"/>
        <v>3.7788018433179721E-2</v>
      </c>
      <c r="BH73" s="874">
        <f t="shared" si="19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3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904</v>
      </c>
      <c r="AO74">
        <v>192</v>
      </c>
      <c r="AP74">
        <v>85</v>
      </c>
      <c r="AQ74">
        <v>13</v>
      </c>
      <c r="AR74">
        <f t="shared" si="14"/>
        <v>290</v>
      </c>
      <c r="AY74" s="875" t="s">
        <v>330</v>
      </c>
      <c r="AZ74" s="877" t="s">
        <v>904</v>
      </c>
      <c r="BA74">
        <v>944</v>
      </c>
      <c r="BB74">
        <v>566</v>
      </c>
      <c r="BC74">
        <v>68</v>
      </c>
      <c r="BD74">
        <f t="shared" si="15"/>
        <v>1578</v>
      </c>
      <c r="BE74" s="874">
        <f t="shared" si="16"/>
        <v>0.59822560202788344</v>
      </c>
      <c r="BF74" s="874">
        <f t="shared" si="17"/>
        <v>0.35868187579214195</v>
      </c>
      <c r="BG74" s="874">
        <f t="shared" si="18"/>
        <v>4.3092522179974654E-2</v>
      </c>
      <c r="BH74" s="874">
        <f t="shared" si="19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3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905</v>
      </c>
      <c r="AO75">
        <v>195</v>
      </c>
      <c r="AP75">
        <v>78</v>
      </c>
      <c r="AQ75">
        <v>20</v>
      </c>
      <c r="AR75">
        <f t="shared" si="14"/>
        <v>293</v>
      </c>
      <c r="AY75" s="876" t="s">
        <v>342</v>
      </c>
      <c r="AZ75" s="878" t="s">
        <v>905</v>
      </c>
      <c r="BA75">
        <v>969</v>
      </c>
      <c r="BB75">
        <v>339</v>
      </c>
      <c r="BC75">
        <v>58</v>
      </c>
      <c r="BD75">
        <f t="shared" si="15"/>
        <v>1366</v>
      </c>
      <c r="BE75" s="874">
        <f t="shared" si="16"/>
        <v>0.70937042459736455</v>
      </c>
      <c r="BF75" s="874">
        <f t="shared" si="17"/>
        <v>0.24816983894582723</v>
      </c>
      <c r="BG75" s="874">
        <f t="shared" si="18"/>
        <v>4.24597364568082E-2</v>
      </c>
      <c r="BH75" s="874">
        <f t="shared" si="19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3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906</v>
      </c>
      <c r="AO76">
        <v>125</v>
      </c>
      <c r="AP76">
        <v>2732</v>
      </c>
      <c r="AQ76">
        <v>101</v>
      </c>
      <c r="AR76">
        <f t="shared" si="14"/>
        <v>2958</v>
      </c>
      <c r="AY76" s="875"/>
      <c r="AZ76" s="877" t="s">
        <v>906</v>
      </c>
      <c r="BA76">
        <v>429</v>
      </c>
      <c r="BB76">
        <v>6911</v>
      </c>
      <c r="BC76">
        <v>1165</v>
      </c>
      <c r="BD76">
        <f t="shared" si="15"/>
        <v>8505</v>
      </c>
      <c r="BE76" s="874">
        <f t="shared" si="16"/>
        <v>5.0440917107583777E-2</v>
      </c>
      <c r="BF76" s="874">
        <f t="shared" si="17"/>
        <v>0.81258083480305698</v>
      </c>
      <c r="BG76" s="874">
        <f t="shared" si="18"/>
        <v>0.13697824808935921</v>
      </c>
      <c r="BH76" s="874">
        <f t="shared" si="19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3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907</v>
      </c>
      <c r="AO77">
        <v>216</v>
      </c>
      <c r="AP77">
        <v>102</v>
      </c>
      <c r="AQ77">
        <v>31</v>
      </c>
      <c r="AR77">
        <f t="shared" si="14"/>
        <v>349</v>
      </c>
      <c r="AY77" s="876" t="s">
        <v>343</v>
      </c>
      <c r="AZ77" s="878" t="s">
        <v>907</v>
      </c>
      <c r="BA77">
        <v>898</v>
      </c>
      <c r="BB77">
        <v>332</v>
      </c>
      <c r="BC77">
        <v>166</v>
      </c>
      <c r="BD77">
        <f t="shared" si="15"/>
        <v>1396</v>
      </c>
      <c r="BE77" s="874">
        <f t="shared" si="16"/>
        <v>0.64326647564469919</v>
      </c>
      <c r="BF77" s="874">
        <f t="shared" si="17"/>
        <v>0.23782234957020057</v>
      </c>
      <c r="BG77" s="874">
        <f t="shared" si="18"/>
        <v>0.11891117478510028</v>
      </c>
      <c r="BH77" s="874">
        <f t="shared" si="19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3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908</v>
      </c>
      <c r="AO78">
        <v>383</v>
      </c>
      <c r="AP78">
        <v>51</v>
      </c>
      <c r="AQ78">
        <v>32</v>
      </c>
      <c r="AR78">
        <f t="shared" si="14"/>
        <v>466</v>
      </c>
      <c r="AY78" s="875" t="s">
        <v>338</v>
      </c>
      <c r="AZ78" s="877" t="s">
        <v>908</v>
      </c>
      <c r="BA78">
        <v>1778</v>
      </c>
      <c r="BB78">
        <v>514</v>
      </c>
      <c r="BC78">
        <v>180</v>
      </c>
      <c r="BD78">
        <f t="shared" si="15"/>
        <v>2472</v>
      </c>
      <c r="BE78" s="874">
        <f t="shared" si="16"/>
        <v>0.71925566343042069</v>
      </c>
      <c r="BF78" s="874">
        <f t="shared" si="17"/>
        <v>0.20792880258899676</v>
      </c>
      <c r="BG78" s="874">
        <f t="shared" si="18"/>
        <v>7.281553398058252E-2</v>
      </c>
      <c r="BH78" s="874">
        <f t="shared" si="19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3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909</v>
      </c>
      <c r="AO79">
        <v>266</v>
      </c>
      <c r="AP79">
        <v>524</v>
      </c>
      <c r="AQ79">
        <v>67</v>
      </c>
      <c r="AR79">
        <f t="shared" si="14"/>
        <v>857</v>
      </c>
      <c r="AY79" s="876" t="s">
        <v>339</v>
      </c>
      <c r="AZ79" s="878" t="s">
        <v>909</v>
      </c>
      <c r="BA79">
        <v>1100</v>
      </c>
      <c r="BB79">
        <v>1790</v>
      </c>
      <c r="BC79">
        <v>265</v>
      </c>
      <c r="BD79">
        <f t="shared" si="15"/>
        <v>3155</v>
      </c>
      <c r="BE79" s="874">
        <f t="shared" si="16"/>
        <v>0.34865293185419971</v>
      </c>
      <c r="BF79" s="874">
        <f t="shared" si="17"/>
        <v>0.56735340729001582</v>
      </c>
      <c r="BG79" s="874">
        <f t="shared" si="18"/>
        <v>8.3993660855784469E-2</v>
      </c>
      <c r="BH79" s="874">
        <f t="shared" si="19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3"/>
        <v>1417.9997251520253</v>
      </c>
      <c r="R80" s="108" t="s">
        <v>299</v>
      </c>
      <c r="S80" s="109">
        <f t="shared" ref="S80:AE80" si="21">SUM(S54:S79)</f>
        <v>535675</v>
      </c>
      <c r="T80" s="110">
        <f t="shared" si="21"/>
        <v>611877</v>
      </c>
      <c r="U80" s="110">
        <f t="shared" si="21"/>
        <v>309728</v>
      </c>
      <c r="V80" s="110">
        <f t="shared" si="21"/>
        <v>143178</v>
      </c>
      <c r="W80" s="110">
        <f t="shared" si="21"/>
        <v>16765</v>
      </c>
      <c r="X80" s="110">
        <f t="shared" si="21"/>
        <v>27440</v>
      </c>
      <c r="Y80" s="111">
        <f t="shared" si="21"/>
        <v>53002</v>
      </c>
      <c r="Z80" s="112">
        <f t="shared" si="21"/>
        <v>1697665</v>
      </c>
      <c r="AA80" s="113">
        <f t="shared" si="21"/>
        <v>9788</v>
      </c>
      <c r="AB80" s="110">
        <f t="shared" si="21"/>
        <v>50732</v>
      </c>
      <c r="AC80" s="110">
        <f t="shared" si="21"/>
        <v>140120</v>
      </c>
      <c r="AD80" s="110">
        <f t="shared" si="21"/>
        <v>43192</v>
      </c>
      <c r="AE80" s="111">
        <f t="shared" si="21"/>
        <v>62148</v>
      </c>
      <c r="AF80" s="114">
        <f t="shared" si="20"/>
        <v>2003645</v>
      </c>
      <c r="AG80" s="115">
        <f>SUM(AG54:AG79)</f>
        <v>94255000000</v>
      </c>
      <c r="AH80" s="276"/>
      <c r="AM80" s="58" t="s">
        <v>331</v>
      </c>
      <c r="AN80" s="155" t="s">
        <v>910</v>
      </c>
      <c r="AO80">
        <v>271</v>
      </c>
      <c r="AP80">
        <v>78</v>
      </c>
      <c r="AQ80">
        <v>16</v>
      </c>
      <c r="AR80">
        <f t="shared" si="14"/>
        <v>365</v>
      </c>
      <c r="AY80" s="875" t="s">
        <v>331</v>
      </c>
      <c r="AZ80" s="877" t="s">
        <v>910</v>
      </c>
      <c r="BA80">
        <v>1096</v>
      </c>
      <c r="BB80">
        <v>501</v>
      </c>
      <c r="BC80">
        <v>111</v>
      </c>
      <c r="BD80">
        <f t="shared" si="15"/>
        <v>1708</v>
      </c>
      <c r="BE80" s="874">
        <f t="shared" si="16"/>
        <v>0.64168618266978927</v>
      </c>
      <c r="BF80" s="874">
        <f t="shared" si="17"/>
        <v>0.2933255269320843</v>
      </c>
      <c r="BG80" s="874">
        <f t="shared" si="18"/>
        <v>6.4988290398126466E-2</v>
      </c>
      <c r="BH80" s="874">
        <f t="shared" si="19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3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911</v>
      </c>
      <c r="AO81">
        <v>324</v>
      </c>
      <c r="AP81">
        <v>918</v>
      </c>
      <c r="AQ81">
        <v>44</v>
      </c>
      <c r="AR81">
        <f t="shared" si="14"/>
        <v>1286</v>
      </c>
      <c r="AY81" s="876" t="s">
        <v>334</v>
      </c>
      <c r="AZ81" s="878" t="s">
        <v>911</v>
      </c>
      <c r="BA81">
        <v>1277</v>
      </c>
      <c r="BB81">
        <v>3726</v>
      </c>
      <c r="BC81">
        <v>544</v>
      </c>
      <c r="BD81">
        <f t="shared" si="15"/>
        <v>5547</v>
      </c>
      <c r="BE81" s="874">
        <f t="shared" si="16"/>
        <v>0.23021453037678025</v>
      </c>
      <c r="BF81" s="874">
        <f t="shared" si="17"/>
        <v>0.67171444023796645</v>
      </c>
      <c r="BG81" s="874">
        <f t="shared" si="18"/>
        <v>9.8071029385253292E-2</v>
      </c>
      <c r="BH81" s="874">
        <f t="shared" si="19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2">L82*N82</f>
        <v>16050.614216511489</v>
      </c>
      <c r="S82" s="1330" t="s">
        <v>345</v>
      </c>
      <c r="T82" s="1331"/>
      <c r="U82" s="1331"/>
      <c r="V82" s="1331"/>
      <c r="W82" s="1331"/>
      <c r="X82" s="1331"/>
      <c r="Y82" s="1331"/>
      <c r="Z82" s="1332"/>
      <c r="AB82" s="1318" t="s">
        <v>346</v>
      </c>
      <c r="AC82" s="1318"/>
      <c r="AD82" s="1318"/>
      <c r="AE82" s="1318"/>
      <c r="AF82" s="1319"/>
      <c r="AG82" s="93" t="s">
        <v>299</v>
      </c>
      <c r="AM82" s="58" t="s">
        <v>332</v>
      </c>
      <c r="AN82" s="155" t="s">
        <v>912</v>
      </c>
      <c r="AO82">
        <v>579</v>
      </c>
      <c r="AP82">
        <v>361</v>
      </c>
      <c r="AQ82">
        <v>17</v>
      </c>
      <c r="AR82">
        <f t="shared" si="14"/>
        <v>957</v>
      </c>
      <c r="AY82" s="875" t="s">
        <v>332</v>
      </c>
      <c r="AZ82" s="877" t="s">
        <v>912</v>
      </c>
      <c r="BA82">
        <v>2462</v>
      </c>
      <c r="BB82">
        <v>1716</v>
      </c>
      <c r="BC82">
        <v>174</v>
      </c>
      <c r="BD82">
        <f t="shared" si="15"/>
        <v>4352</v>
      </c>
      <c r="BE82" s="874">
        <f t="shared" si="16"/>
        <v>0.56571691176470584</v>
      </c>
      <c r="BF82" s="874">
        <f t="shared" si="17"/>
        <v>0.39430147058823528</v>
      </c>
      <c r="BG82" s="874">
        <f t="shared" si="18"/>
        <v>3.998161764705882E-2</v>
      </c>
      <c r="BH82" s="874">
        <f t="shared" si="19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318"/>
      <c r="AC83" s="1318"/>
      <c r="AD83" s="1318"/>
      <c r="AE83" s="1318"/>
      <c r="AF83" s="1319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2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3">SUM(BP88:BP243)</f>
        <v>6994</v>
      </c>
      <c r="BQ84">
        <f t="shared" si="23"/>
        <v>4911</v>
      </c>
      <c r="BR84">
        <f t="shared" si="23"/>
        <v>4575</v>
      </c>
      <c r="BS84">
        <f t="shared" si="23"/>
        <v>5518</v>
      </c>
      <c r="BT84">
        <f t="shared" si="23"/>
        <v>7219</v>
      </c>
      <c r="BU84">
        <f t="shared" si="23"/>
        <v>9842</v>
      </c>
      <c r="BV84">
        <f t="shared" si="23"/>
        <v>14321</v>
      </c>
      <c r="BW84">
        <f t="shared" si="23"/>
        <v>17899</v>
      </c>
      <c r="BX84">
        <f t="shared" si="23"/>
        <v>21047</v>
      </c>
      <c r="BY84">
        <f t="shared" si="23"/>
        <v>20514</v>
      </c>
      <c r="BZ84">
        <f t="shared" si="23"/>
        <v>20473</v>
      </c>
      <c r="CA84">
        <f t="shared" si="23"/>
        <v>23759</v>
      </c>
      <c r="CB84">
        <f t="shared" ref="CB84:CI84" si="24">SUM(CB88:CB243)</f>
        <v>26865</v>
      </c>
      <c r="CC84">
        <f t="shared" si="24"/>
        <v>31143</v>
      </c>
      <c r="CD84">
        <f t="shared" si="24"/>
        <v>37095</v>
      </c>
      <c r="CE84">
        <f t="shared" si="24"/>
        <v>45403</v>
      </c>
      <c r="CF84">
        <f t="shared" si="24"/>
        <v>56992</v>
      </c>
      <c r="CG84">
        <f t="shared" si="24"/>
        <v>23076</v>
      </c>
      <c r="CH84">
        <f t="shared" si="24"/>
        <v>23058</v>
      </c>
      <c r="CI84">
        <f t="shared" si="24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2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69" t="s">
        <v>291</v>
      </c>
      <c r="AC85" s="81">
        <f t="shared" ref="AC85:AC110" si="25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6">Z85/AG85*AG85</f>
        <v>413</v>
      </c>
      <c r="AG85" s="671">
        <f t="shared" ref="AG85:AG110" si="27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913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2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0" t="s">
        <v>333</v>
      </c>
      <c r="AC86" s="89">
        <f t="shared" si="25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6"/>
        <v>6603</v>
      </c>
      <c r="AG86" s="672">
        <f t="shared" si="27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1024</v>
      </c>
      <c r="AW86" t="s">
        <v>1078</v>
      </c>
      <c r="AZ86" s="1311" t="s">
        <v>1063</v>
      </c>
      <c r="BA86" s="1312"/>
      <c r="BB86" s="1312"/>
      <c r="BC86" s="1312"/>
      <c r="BD86" s="1312"/>
      <c r="BE86" s="1312"/>
      <c r="BF86" s="1312" t="s">
        <v>1064</v>
      </c>
      <c r="BG86" s="1312"/>
      <c r="BH86" s="1312"/>
      <c r="BI86" s="1312" t="s">
        <v>1064</v>
      </c>
      <c r="BJ86" s="1312"/>
      <c r="BK86" s="1312"/>
      <c r="BM86" s="1317" t="s">
        <v>1057</v>
      </c>
      <c r="BN86" s="1317"/>
      <c r="BO86" s="1317"/>
      <c r="BP86" s="1317"/>
      <c r="BQ86" s="1317"/>
      <c r="BR86" s="1317"/>
      <c r="BS86" s="1317"/>
      <c r="BT86" s="1317"/>
      <c r="BU86" s="1317"/>
      <c r="BV86" s="1317"/>
      <c r="BW86" s="1317"/>
      <c r="BX86" s="1317"/>
      <c r="BY86" s="1317"/>
      <c r="BZ86" s="1317"/>
      <c r="CA86" s="1317"/>
      <c r="CB86" s="1317"/>
      <c r="CC86" s="1317"/>
      <c r="CD86" s="1317"/>
      <c r="CE86" s="1317"/>
      <c r="CF86" s="1317"/>
      <c r="CG86" s="1317"/>
      <c r="CH86" s="1317"/>
      <c r="CI86" s="1317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2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0" t="s">
        <v>322</v>
      </c>
      <c r="AC87" s="89">
        <f t="shared" si="25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6"/>
        <v>665</v>
      </c>
      <c r="AG87" s="671">
        <f t="shared" si="27"/>
        <v>73596</v>
      </c>
      <c r="AH87" s="166">
        <v>80158</v>
      </c>
      <c r="AI87" s="184">
        <f>Table2[[#This Row],[Not Stated]]/Table2[[#This Row],[Total Residence]]</f>
        <v>9.0358171639763028E-3</v>
      </c>
      <c r="AO87" s="798"/>
      <c r="AP87" s="1323" t="s">
        <v>1023</v>
      </c>
      <c r="AQ87" s="1324"/>
      <c r="AR87" s="1324"/>
      <c r="AS87" s="1324"/>
      <c r="AT87" s="1324"/>
      <c r="AV87" s="799" t="s">
        <v>1027</v>
      </c>
      <c r="AW87" s="1325" t="s">
        <v>1028</v>
      </c>
      <c r="AX87" s="1326"/>
      <c r="AY87" s="1326"/>
      <c r="AZ87" s="1311">
        <v>2018</v>
      </c>
      <c r="BA87" s="1312"/>
      <c r="BB87" s="1312"/>
      <c r="BC87" s="1312"/>
      <c r="BD87" s="1312"/>
      <c r="BE87" s="1313"/>
      <c r="BF87" s="1311">
        <v>2040</v>
      </c>
      <c r="BG87" s="1312"/>
      <c r="BH87" s="1313"/>
      <c r="BI87" s="1311">
        <v>2070</v>
      </c>
      <c r="BJ87" s="1312"/>
      <c r="BK87" s="1313"/>
      <c r="BM87" s="805" t="s">
        <v>1029</v>
      </c>
      <c r="BN87" s="806" t="s">
        <v>1030</v>
      </c>
      <c r="BO87" s="806" t="s">
        <v>1031</v>
      </c>
      <c r="BP87" s="806" t="s">
        <v>1032</v>
      </c>
      <c r="BQ87" s="805" t="s">
        <v>1033</v>
      </c>
      <c r="BR87" s="806" t="s">
        <v>1034</v>
      </c>
      <c r="BS87" s="806" t="s">
        <v>1035</v>
      </c>
      <c r="BT87" s="806" t="s">
        <v>1036</v>
      </c>
      <c r="BU87" s="805" t="s">
        <v>1037</v>
      </c>
      <c r="BV87" s="806" t="s">
        <v>1038</v>
      </c>
      <c r="BW87" s="806" t="s">
        <v>1039</v>
      </c>
      <c r="BX87" s="806" t="s">
        <v>1040</v>
      </c>
      <c r="BY87" s="805" t="s">
        <v>1041</v>
      </c>
      <c r="BZ87" s="806" t="s">
        <v>1042</v>
      </c>
      <c r="CA87" s="806" t="s">
        <v>1043</v>
      </c>
      <c r="CB87" s="806" t="s">
        <v>1044</v>
      </c>
      <c r="CC87" s="805" t="s">
        <v>1045</v>
      </c>
      <c r="CD87" s="806" t="s">
        <v>1046</v>
      </c>
      <c r="CE87" s="806" t="s">
        <v>1047</v>
      </c>
      <c r="CF87" s="806" t="s">
        <v>1048</v>
      </c>
      <c r="CG87" s="805" t="s">
        <v>1049</v>
      </c>
      <c r="CH87" s="806" t="s">
        <v>1050</v>
      </c>
      <c r="CI87" s="806" t="s">
        <v>1051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2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0" t="s">
        <v>323</v>
      </c>
      <c r="AC88" s="89">
        <f t="shared" si="25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6"/>
        <v>352</v>
      </c>
      <c r="AG88" s="672">
        <f t="shared" si="27"/>
        <v>34855</v>
      </c>
      <c r="AH88" s="166">
        <v>39226</v>
      </c>
      <c r="AI88" s="184">
        <f>Table2[[#This Row],[Not Stated]]/Table2[[#This Row],[Total Residence]]</f>
        <v>1.0098981494764023E-2</v>
      </c>
      <c r="AO88" s="798"/>
      <c r="AP88" s="799">
        <v>2017</v>
      </c>
      <c r="AQ88" s="799">
        <v>2021</v>
      </c>
      <c r="AR88" s="799">
        <v>2026</v>
      </c>
      <c r="AS88" s="799">
        <v>2031</v>
      </c>
      <c r="AT88" s="799">
        <v>2040</v>
      </c>
      <c r="AU88" s="799" t="s">
        <v>1025</v>
      </c>
      <c r="AV88" s="799">
        <v>2030</v>
      </c>
      <c r="AW88" s="799" t="s">
        <v>292</v>
      </c>
      <c r="AX88" s="799" t="s">
        <v>44</v>
      </c>
      <c r="AY88" s="821" t="s">
        <v>46</v>
      </c>
      <c r="AZ88" s="819" t="s">
        <v>292</v>
      </c>
      <c r="BA88" s="808" t="s">
        <v>44</v>
      </c>
      <c r="BB88" s="808" t="s">
        <v>46</v>
      </c>
      <c r="BC88" s="808" t="s">
        <v>292</v>
      </c>
      <c r="BD88" s="808" t="s">
        <v>44</v>
      </c>
      <c r="BE88" s="820" t="s">
        <v>46</v>
      </c>
      <c r="BF88" s="819" t="s">
        <v>292</v>
      </c>
      <c r="BG88" s="808" t="s">
        <v>44</v>
      </c>
      <c r="BH88" s="820" t="s">
        <v>46</v>
      </c>
      <c r="BI88" s="819" t="s">
        <v>292</v>
      </c>
      <c r="BJ88" s="808" t="s">
        <v>44</v>
      </c>
      <c r="BK88" s="820" t="s">
        <v>46</v>
      </c>
      <c r="BM88" s="1337" t="s">
        <v>886</v>
      </c>
      <c r="BN88" s="1337" t="s">
        <v>42</v>
      </c>
      <c r="BO88" s="803" t="s">
        <v>1052</v>
      </c>
      <c r="BP88" s="804">
        <v>0</v>
      </c>
      <c r="BQ88" s="804">
        <v>0</v>
      </c>
      <c r="BR88" s="804">
        <v>1</v>
      </c>
      <c r="BS88" s="804">
        <v>0</v>
      </c>
      <c r="BT88" s="804">
        <v>6</v>
      </c>
      <c r="BU88" s="804">
        <v>0</v>
      </c>
      <c r="BV88" s="804">
        <v>2</v>
      </c>
      <c r="BW88" s="804">
        <v>5</v>
      </c>
      <c r="BX88" s="804">
        <v>10</v>
      </c>
      <c r="BY88" s="804">
        <v>5</v>
      </c>
      <c r="BZ88" s="804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2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0" t="s">
        <v>324</v>
      </c>
      <c r="AC89" s="89">
        <f t="shared" si="25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6"/>
        <v>470.00000000000006</v>
      </c>
      <c r="AG89" s="671">
        <f t="shared" si="27"/>
        <v>29107</v>
      </c>
      <c r="AH89" s="166">
        <v>32794</v>
      </c>
      <c r="AI89" s="184">
        <f>Table2[[#This Row],[Not Stated]]/Table2[[#This Row],[Total Residence]]</f>
        <v>1.6147318514446698E-2</v>
      </c>
      <c r="AO89" s="800" t="s">
        <v>1026</v>
      </c>
      <c r="AP89" s="801">
        <v>27721</v>
      </c>
      <c r="AQ89" s="801">
        <v>30852</v>
      </c>
      <c r="AR89" s="801">
        <v>27398</v>
      </c>
      <c r="AS89" s="801">
        <v>27821</v>
      </c>
      <c r="AT89" s="801">
        <v>24291</v>
      </c>
      <c r="AU89" s="306">
        <f>SUM(AU90:AU120)</f>
        <v>1.0000144840422065</v>
      </c>
      <c r="AV89" s="801">
        <f>AR89+4/5*(AS89-AR89)</f>
        <v>27736.400000000001</v>
      </c>
      <c r="AZ89" s="317"/>
      <c r="BC89" s="317"/>
      <c r="BF89" s="317"/>
      <c r="BH89" s="336"/>
      <c r="BI89" s="317"/>
      <c r="BK89" s="336"/>
      <c r="BM89" s="1338"/>
      <c r="BN89" s="1338"/>
      <c r="BO89" s="803" t="s">
        <v>1053</v>
      </c>
      <c r="CA89" s="804">
        <v>3</v>
      </c>
      <c r="CB89" s="804">
        <v>4</v>
      </c>
      <c r="CC89" s="804">
        <v>4</v>
      </c>
      <c r="CD89" s="804">
        <v>4</v>
      </c>
      <c r="CE89" s="804">
        <v>4</v>
      </c>
      <c r="CF89" s="804">
        <v>4</v>
      </c>
      <c r="CG89" s="804">
        <v>4</v>
      </c>
      <c r="CH89" s="804">
        <v>4</v>
      </c>
      <c r="CI89" s="804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2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0" t="s">
        <v>326</v>
      </c>
      <c r="AC90" s="89">
        <f t="shared" si="25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6"/>
        <v>252</v>
      </c>
      <c r="AG90" s="672">
        <f t="shared" si="27"/>
        <v>15122</v>
      </c>
      <c r="AH90" s="166">
        <v>18591</v>
      </c>
      <c r="AI90" s="184">
        <f>Table2[[#This Row],[Not Stated]]/Table2[[#This Row],[Total Residence]]</f>
        <v>1.6664462372702023E-2</v>
      </c>
      <c r="AO90" s="794" t="s">
        <v>995</v>
      </c>
      <c r="AP90" s="794">
        <v>328</v>
      </c>
      <c r="AQ90" s="794">
        <v>395</v>
      </c>
      <c r="AR90" s="794">
        <v>398</v>
      </c>
      <c r="AS90" s="794">
        <v>423</v>
      </c>
      <c r="AT90" s="794">
        <v>392</v>
      </c>
      <c r="AU90" s="811">
        <f t="shared" ref="AU90:AU120" si="28">SUM(AP90:AT90)/SUM($AP$89:$AT$89)</f>
        <v>1.4020552855891022E-2</v>
      </c>
      <c r="AV90" s="794">
        <f t="shared" ref="AV90:AV120" si="29">AR90+4/5*(AS90-AR90)</f>
        <v>418</v>
      </c>
      <c r="AW90" s="882">
        <f>AVERAGE(SUM(CA89:CI89)/SUM(CA89:CI93),INDEX(BE52:BG82,MATCH(AO90,AY52:AY82,0),MATCH(AW88,BE51:BG51,0)))</f>
        <v>1.6572659274820309E-2</v>
      </c>
      <c r="AX90" s="809">
        <f>AVERAGE(SUM(CA91:CI91)/SUM(CA89:CI93),INDEX(BE52:BG82,MATCH(AO90,AY52:AY82,0),MATCH(AX88,BE51:BG51,0)))</f>
        <v>0.65475693103350818</v>
      </c>
      <c r="AY90" s="809">
        <f>AVERAGE(SUM(CA93:CI93)/SUM(CA89:CI93),INDEX(BE52:BG82,MATCH(AO90,AY52:AY82,0),MATCH(AY88,BE51:BG51,0)))</f>
        <v>0.32867040969167144</v>
      </c>
      <c r="AZ90" s="822" cm="1">
        <f t="array" ref="AZ90">INDEX($I$43:$CH$43,MATCH(AZ$88&amp;AO90,$I$33:$CH$33&amp;$I$32:$CH$32,0))</f>
        <v>1272.084432974631</v>
      </c>
      <c r="BA90" s="813" cm="1">
        <f t="array" ref="BA90">INDEX($I$43:$CH$43,MATCH(BA$88&amp;AO90,$I$33:$CH$33&amp;$I$32:$CH$32,0))</f>
        <v>9017.3696255538798</v>
      </c>
      <c r="BB90" s="813" cm="1">
        <f t="array" ref="BB90">INDEX($I$43:$CH$43,MATCH(BB$88&amp;AO90,$I$33:$CH$33&amp;$I$32:$CH$32,0))</f>
        <v>10817.00516141598</v>
      </c>
      <c r="BC90" s="822">
        <f>(AZ90*(1+AW90))</f>
        <v>1293.1662548511226</v>
      </c>
      <c r="BD90" s="813">
        <f>(BA90*(1+AX90))</f>
        <v>14921.554887576312</v>
      </c>
      <c r="BE90" s="813">
        <f>(BB90*(1+AY90))</f>
        <v>14372.234679455496</v>
      </c>
      <c r="BF90" s="822">
        <f>BC90*(BF123/$BC$122)</f>
        <v>2147.2393448382686</v>
      </c>
      <c r="BG90" s="813">
        <f t="shared" ref="BG90:BG96" si="30">BD90*($BG$123/$BD$122)</f>
        <v>13306.39232706811</v>
      </c>
      <c r="BH90" s="826">
        <f t="shared" ref="BH90:BH96" si="31">BE90*($BH$123/$BE$122)</f>
        <v>12190.632162909209</v>
      </c>
      <c r="BI90" s="822">
        <f>BC90*($BI$123/$BC$122)</f>
        <v>4018.6603783691717</v>
      </c>
      <c r="BJ90" s="813">
        <f>BD90*($BJ$123/$BD$122)</f>
        <v>14882.390276614156</v>
      </c>
      <c r="BK90" s="826">
        <f t="shared" ref="BK90:BK120" si="32">BE90*($BK$123/$BE$122)</f>
        <v>12032.722707781786</v>
      </c>
      <c r="BM90" s="1338"/>
      <c r="BN90" s="1337" t="s">
        <v>1054</v>
      </c>
      <c r="BO90" s="803" t="s">
        <v>1052</v>
      </c>
      <c r="BP90" s="804">
        <v>15</v>
      </c>
      <c r="BQ90" s="804">
        <v>3</v>
      </c>
      <c r="BR90" s="804">
        <v>2</v>
      </c>
      <c r="BS90" s="804">
        <v>32</v>
      </c>
      <c r="BT90" s="804">
        <v>33</v>
      </c>
      <c r="BU90" s="804">
        <v>33</v>
      </c>
      <c r="BV90" s="804">
        <v>47</v>
      </c>
      <c r="BW90" s="804">
        <v>161</v>
      </c>
      <c r="BX90" s="804">
        <v>127</v>
      </c>
      <c r="BY90" s="804">
        <v>117</v>
      </c>
      <c r="BZ90" s="804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2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0" t="s">
        <v>327</v>
      </c>
      <c r="AC91" s="89">
        <f t="shared" si="25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6"/>
        <v>681</v>
      </c>
      <c r="AG91" s="671">
        <f t="shared" si="27"/>
        <v>45448</v>
      </c>
      <c r="AH91" s="166">
        <v>51399</v>
      </c>
      <c r="AI91" s="184">
        <f>Table2[[#This Row],[Not Stated]]/Table2[[#This Row],[Total Residence]]</f>
        <v>1.4984157718711495E-2</v>
      </c>
      <c r="AO91" s="795" t="s">
        <v>996</v>
      </c>
      <c r="AP91" s="795">
        <v>364</v>
      </c>
      <c r="AQ91" s="795">
        <v>451</v>
      </c>
      <c r="AR91" s="795">
        <v>454</v>
      </c>
      <c r="AS91" s="795">
        <v>496</v>
      </c>
      <c r="AT91" s="795">
        <v>448</v>
      </c>
      <c r="AU91" s="812">
        <f t="shared" si="28"/>
        <v>1.6026592701491132E-2</v>
      </c>
      <c r="AV91" s="795">
        <f t="shared" si="29"/>
        <v>487.6</v>
      </c>
      <c r="AW91" s="883">
        <f>AVERAGE(SUM(CA95:CI95)/SUM($CA$95:$CI$99),INDEX($BE$52:$BG$82,MATCH(AO91,$AY$52:$AY$82,0),MATCH($AW$88,$BE$51:$BG$51,0)))</f>
        <v>4.488590075616606E-2</v>
      </c>
      <c r="AX91" s="810">
        <f>AVERAGE(SUM(CA97:CI97)/SUM($CA$95:$CI$99),INDEX($BE$52:$BG$82,MATCH($AO$91,$AY$52:$AY$82,0),MATCH(AX88,$BE$51:$BG$51,0)))</f>
        <v>0.28850150085020843</v>
      </c>
      <c r="AY91" s="810">
        <f>AVERAGE(SUM(CA99:CI99)/SUM($CA$95:$CI$99),INDEX($BE$52:$BG$82,MATCH($AO$91,$AY$52:$AY$82,0),MATCH(AY88,$BE$51:$BG$51,0)))</f>
        <v>0.66661259839362552</v>
      </c>
      <c r="AZ91" s="823" cm="1">
        <f t="array" ref="AZ91">INDEX($I$43:$CH$43,MATCH(AZ$88&amp;AO91,$I$33:$CH$33&amp;$I$32:$CH$32,0))</f>
        <v>1271.052567009926</v>
      </c>
      <c r="BA91" s="814" cm="1">
        <f t="array" ref="BA91">INDEX($I$43:$CH$43,MATCH(BA$88&amp;AO91,$I$33:$CH$33&amp;$I$32:$CH$32,0))</f>
        <v>7706.8792520168045</v>
      </c>
      <c r="BB91" s="814" cm="1">
        <f t="array" ref="BB91">INDEX($I$43:$CH$43,MATCH(BB$88&amp;AO91,$I$33:$CH$33&amp;$I$32:$CH$32,0))</f>
        <v>18119.875348525962</v>
      </c>
      <c r="BC91" s="823">
        <f t="shared" ref="BC91:BC120" si="33">(AZ91*(1+AW91))</f>
        <v>1328.1049063886037</v>
      </c>
      <c r="BD91" s="814">
        <f t="shared" ref="BD91:BD120" si="34">(BA91*(1+AX91))</f>
        <v>9930.3254830949845</v>
      </c>
      <c r="BE91" s="814">
        <f t="shared" ref="BE91:BE120" si="35">(BB91*(1+AY91))</f>
        <v>30198.812537175454</v>
      </c>
      <c r="BF91" s="823">
        <f t="shared" ref="BF91:BF96" si="36">BC91*($BF$123/$BC$122)</f>
        <v>2205.2532676076271</v>
      </c>
      <c r="BG91" s="814">
        <f t="shared" si="30"/>
        <v>8855.43147541287</v>
      </c>
      <c r="BH91" s="827">
        <f t="shared" si="31"/>
        <v>25614.848602743827</v>
      </c>
      <c r="BI91" s="823">
        <f t="shared" ref="BI91:BI120" si="37">BC91*($BI$123/$BC$122)</f>
        <v>4127.2361891596311</v>
      </c>
      <c r="BJ91" s="814">
        <f t="shared" ref="BJ91:BJ120" si="38">BD91*($BJ$123/$BD$122)</f>
        <v>9904.2613539071608</v>
      </c>
      <c r="BK91" s="827">
        <f t="shared" si="32"/>
        <v>25283.050650678848</v>
      </c>
      <c r="BM91" s="1338"/>
      <c r="BN91" s="1338"/>
      <c r="BO91" s="803" t="s">
        <v>1053</v>
      </c>
      <c r="CA91" s="804">
        <v>182</v>
      </c>
      <c r="CB91" s="804">
        <v>200</v>
      </c>
      <c r="CC91" s="804">
        <v>216</v>
      </c>
      <c r="CD91" s="804">
        <v>231</v>
      </c>
      <c r="CE91" s="804">
        <v>246</v>
      </c>
      <c r="CF91" s="804">
        <v>261</v>
      </c>
      <c r="CG91" s="804">
        <v>277</v>
      </c>
      <c r="CH91" s="804">
        <v>292</v>
      </c>
      <c r="CI91" s="804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2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0" t="s">
        <v>328</v>
      </c>
      <c r="AC92" s="89">
        <f t="shared" si="25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6"/>
        <v>724</v>
      </c>
      <c r="AG92" s="672">
        <f t="shared" si="27"/>
        <v>64234</v>
      </c>
      <c r="AH92" s="166">
        <v>70649</v>
      </c>
      <c r="AI92" s="184">
        <f>Table2[[#This Row],[Not Stated]]/Table2[[#This Row],[Total Residence]]</f>
        <v>1.1271289348320205E-2</v>
      </c>
      <c r="AO92" s="794" t="s">
        <v>997</v>
      </c>
      <c r="AP92" s="794">
        <v>482</v>
      </c>
      <c r="AQ92" s="794">
        <v>591</v>
      </c>
      <c r="AR92" s="794">
        <v>567</v>
      </c>
      <c r="AS92" s="794">
        <v>583</v>
      </c>
      <c r="AT92" s="794">
        <v>458</v>
      </c>
      <c r="AU92" s="811">
        <f t="shared" si="28"/>
        <v>1.9415858577811897E-2</v>
      </c>
      <c r="AV92" s="794">
        <f t="shared" si="29"/>
        <v>579.79999999999995</v>
      </c>
      <c r="AW92" s="882">
        <f>AVERAGE(SUM(CA101:CI101)/SUM($CA$101:$CI$105),INDEX($BE$52:$BG$82,MATCH(AO92,$AY$52:$AY$82,0),MATCH($AW$88,$BE$51:$BG$51,0)))</f>
        <v>2.5361077111383107E-2</v>
      </c>
      <c r="AX92" s="809">
        <f>AVERAGE(SUM(CA103:CI103)/SUM($CA$101:$CI$105),INDEX($BE$52:$BG$82,MATCH(AO92,$AY$52:$AY$82,0),MATCH($AX$88,$BE$51:$BG$51,0)))</f>
        <v>0.52120461036311716</v>
      </c>
      <c r="AY92" s="809">
        <f>AVERAGE(SUM(CA105:CI105)/SUM($CA$101:$CI$105),INDEX($BE$52:$BG$82,MATCH(AO92,$AY$52:$AY$82,0),MATCH($AY$88,$BE$51:$BG$51,0)))</f>
        <v>0.45343431252549982</v>
      </c>
      <c r="AZ92" s="822" cm="1">
        <f t="array" ref="AZ92">INDEX($I$43:$CH$43,MATCH(AZ$88&amp;AO92,$I$33:$CH$33&amp;$I$32:$CH$32,0))</f>
        <v>2491.2235846235253</v>
      </c>
      <c r="BA92" s="813" cm="1">
        <f t="array" ref="BA92">INDEX($I$43:$CH$43,MATCH(BA$88&amp;AO92,$I$33:$CH$33&amp;$I$32:$CH$32,0))</f>
        <v>15118.989670799881</v>
      </c>
      <c r="BB92" s="813" cm="1">
        <f t="array" ref="BB92">INDEX($I$43:$CH$43,MATCH(BB$88&amp;AO92,$I$33:$CH$33&amp;$I$32:$CH$32,0))</f>
        <v>26221.499459384846</v>
      </c>
      <c r="BC92" s="822">
        <f>(AZ92*(1+AW92))</f>
        <v>2554.4036980548585</v>
      </c>
      <c r="BD92" s="813">
        <f t="shared" si="34"/>
        <v>22999.076791253126</v>
      </c>
      <c r="BE92" s="813">
        <f t="shared" si="35"/>
        <v>38111.22704013878</v>
      </c>
      <c r="BF92" s="822">
        <f t="shared" si="36"/>
        <v>4241.4624588972301</v>
      </c>
      <c r="BG92" s="813">
        <f t="shared" si="30"/>
        <v>20509.574320541178</v>
      </c>
      <c r="BH92" s="826">
        <f t="shared" si="31"/>
        <v>32326.215128366712</v>
      </c>
      <c r="BI92" s="822">
        <f t="shared" si="37"/>
        <v>7938.0983637827385</v>
      </c>
      <c r="BJ92" s="813">
        <f t="shared" si="38"/>
        <v>22938.711105384278</v>
      </c>
      <c r="BK92" s="826">
        <f t="shared" si="32"/>
        <v>31907.48253525449</v>
      </c>
      <c r="BM92" s="1338"/>
      <c r="BN92" s="1337" t="s">
        <v>1055</v>
      </c>
      <c r="BO92" s="803" t="s">
        <v>1052</v>
      </c>
      <c r="BP92" s="804">
        <v>88</v>
      </c>
      <c r="BQ92" s="804">
        <v>52</v>
      </c>
      <c r="BR92" s="804">
        <v>39</v>
      </c>
      <c r="BS92" s="804">
        <v>41</v>
      </c>
      <c r="BT92" s="804">
        <v>60</v>
      </c>
      <c r="BU92" s="804">
        <v>50</v>
      </c>
      <c r="BV92" s="804">
        <v>51</v>
      </c>
      <c r="BW92" s="804">
        <v>62</v>
      </c>
      <c r="BX92" s="804">
        <v>53</v>
      </c>
      <c r="BY92" s="804">
        <v>73</v>
      </c>
      <c r="BZ92" s="804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2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0" t="s">
        <v>330</v>
      </c>
      <c r="AC93" s="89">
        <f t="shared" si="25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6"/>
        <v>419</v>
      </c>
      <c r="AG93" s="671">
        <f t="shared" si="27"/>
        <v>27343</v>
      </c>
      <c r="AH93" s="166">
        <v>30740</v>
      </c>
      <c r="AI93" s="184">
        <f>Table2[[#This Row],[Not Stated]]/Table2[[#This Row],[Total Residence]]</f>
        <v>1.5323848882712212E-2</v>
      </c>
      <c r="AO93" s="795" t="s">
        <v>325</v>
      </c>
      <c r="AP93" s="795">
        <v>833</v>
      </c>
      <c r="AQ93" s="795">
        <v>962</v>
      </c>
      <c r="AR93" s="795">
        <v>900</v>
      </c>
      <c r="AS93" s="795">
        <v>998</v>
      </c>
      <c r="AT93" s="795">
        <v>696</v>
      </c>
      <c r="AU93" s="812">
        <f t="shared" si="28"/>
        <v>3.1785230622162035E-2</v>
      </c>
      <c r="AV93" s="795">
        <f t="shared" si="29"/>
        <v>978.4</v>
      </c>
      <c r="AW93" s="883">
        <f>AVERAGE(SUM(CA107:CI107)/SUM($CA$107:$CI$111),INDEX($BE$52:$BG$82,MATCH($AO$93,$AY$52:$AY$82,0),MATCH(AW88,$BE$51:$BG$51,0)))</f>
        <v>0.12411850830160684</v>
      </c>
      <c r="AX93" s="810">
        <f>AVERAGE(SUM(CA109:CI109)/SUM($CA$107:$CI$111),INDEX($BE$52:$BG$82,MATCH($AO$93,$AY$52:$AY$82,0),MATCH(AX88,$BE$51:$BG$51,0)))</f>
        <v>0.54269118882254208</v>
      </c>
      <c r="AY93" s="810">
        <f>AVERAGE(SUM(CA111:CI111)/SUM($CA$107:$CI$111),INDEX($BE$52:$BG$82,MATCH($AO$93,$AY$52:$AY$82,0),MATCH(AY88,$BE$51:$BG$51,0)))</f>
        <v>0.33319030287585105</v>
      </c>
      <c r="AZ93" s="823" cm="1">
        <f t="array" ref="AZ93">INDEX($I$43:$CH$43,MATCH(AZ$88&amp;AO93,$I$33:$CH$33&amp;$I$32:$CH$32,0))</f>
        <v>18164.569738528382</v>
      </c>
      <c r="BA93" s="814" cm="1">
        <f t="array" ref="BA93">INDEX($I$43:$CH$43,MATCH(BA$88&amp;AO93,$I$33:$CH$33&amp;$I$32:$CH$32,0))</f>
        <v>91446.903647123108</v>
      </c>
      <c r="BB93" s="814" cm="1">
        <f t="array" ref="BB93">INDEX($I$43:$CH$43,MATCH(BB$88&amp;AO93,$I$33:$CH$33&amp;$I$32:$CH$32,0))</f>
        <v>88706.618668082694</v>
      </c>
      <c r="BC93" s="823">
        <f t="shared" si="33"/>
        <v>20419.129038415031</v>
      </c>
      <c r="BD93" s="814">
        <f t="shared" si="34"/>
        <v>141074.33250152081</v>
      </c>
      <c r="BE93" s="814">
        <f t="shared" si="35"/>
        <v>118262.80380919381</v>
      </c>
      <c r="BF93" s="823">
        <f t="shared" si="36"/>
        <v>33904.965501641578</v>
      </c>
      <c r="BG93" s="814">
        <f t="shared" si="30"/>
        <v>125803.94132433481</v>
      </c>
      <c r="BH93" s="827">
        <f t="shared" si="31"/>
        <v>100311.35532827243</v>
      </c>
      <c r="BI93" s="823">
        <f t="shared" si="37"/>
        <v>63454.752642716354</v>
      </c>
      <c r="BJ93" s="814">
        <f t="shared" si="38"/>
        <v>140704.0546457078</v>
      </c>
      <c r="BK93" s="827">
        <f t="shared" si="32"/>
        <v>99011.98780973017</v>
      </c>
      <c r="BM93" s="1338"/>
      <c r="BN93" s="1338"/>
      <c r="BO93" s="803" t="s">
        <v>1053</v>
      </c>
      <c r="CA93" s="804">
        <v>70</v>
      </c>
      <c r="CB93" s="804">
        <v>69</v>
      </c>
      <c r="CC93" s="804">
        <v>69</v>
      </c>
      <c r="CD93" s="804">
        <v>69</v>
      </c>
      <c r="CE93" s="804">
        <v>69</v>
      </c>
      <c r="CF93" s="804">
        <v>69</v>
      </c>
      <c r="CG93" s="804">
        <v>69</v>
      </c>
      <c r="CH93" s="804">
        <v>69</v>
      </c>
      <c r="CI93" s="804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2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0" t="s">
        <v>331</v>
      </c>
      <c r="AC94" s="89">
        <f t="shared" si="25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6"/>
        <v>382</v>
      </c>
      <c r="AG94" s="672">
        <f t="shared" si="27"/>
        <v>31813</v>
      </c>
      <c r="AH94" s="166">
        <v>36890</v>
      </c>
      <c r="AI94" s="184">
        <f>Table2[[#This Row],[Not Stated]]/Table2[[#This Row],[Total Residence]]</f>
        <v>1.2007669820513626E-2</v>
      </c>
      <c r="AO94" s="794" t="s">
        <v>998</v>
      </c>
      <c r="AP94" s="796">
        <v>2320</v>
      </c>
      <c r="AQ94" s="796">
        <v>2583</v>
      </c>
      <c r="AR94" s="796">
        <v>2259</v>
      </c>
      <c r="AS94" s="796">
        <v>2206</v>
      </c>
      <c r="AT94" s="796">
        <v>2040</v>
      </c>
      <c r="AU94" s="811">
        <f t="shared" si="28"/>
        <v>8.2616976745870235E-2</v>
      </c>
      <c r="AV94" s="796">
        <f t="shared" si="29"/>
        <v>2216.6</v>
      </c>
      <c r="AW94" s="882"/>
      <c r="AX94" s="809"/>
      <c r="AY94" s="809"/>
      <c r="AZ94" s="822"/>
      <c r="BA94" s="813"/>
      <c r="BB94" s="813"/>
      <c r="BC94" s="822">
        <f t="shared" si="33"/>
        <v>0</v>
      </c>
      <c r="BD94" s="813">
        <f t="shared" si="34"/>
        <v>0</v>
      </c>
      <c r="BE94" s="813">
        <f t="shared" si="35"/>
        <v>0</v>
      </c>
      <c r="BF94" s="822">
        <f t="shared" si="36"/>
        <v>0</v>
      </c>
      <c r="BG94" s="813">
        <f t="shared" si="30"/>
        <v>0</v>
      </c>
      <c r="BH94" s="826">
        <f t="shared" si="31"/>
        <v>0</v>
      </c>
      <c r="BI94" s="822">
        <f t="shared" si="37"/>
        <v>0</v>
      </c>
      <c r="BJ94" s="813">
        <f t="shared" si="38"/>
        <v>0</v>
      </c>
      <c r="BK94" s="826">
        <f t="shared" si="32"/>
        <v>0</v>
      </c>
      <c r="BM94" s="1337" t="s">
        <v>884</v>
      </c>
      <c r="BN94" s="1337" t="s">
        <v>42</v>
      </c>
      <c r="BO94" s="803" t="s">
        <v>1052</v>
      </c>
      <c r="BP94" s="804">
        <v>1</v>
      </c>
      <c r="BQ94" s="804">
        <v>2</v>
      </c>
      <c r="BR94" s="804">
        <v>0</v>
      </c>
      <c r="BS94" s="804">
        <v>2</v>
      </c>
      <c r="BT94" s="804">
        <v>5</v>
      </c>
      <c r="BU94" s="804">
        <v>6</v>
      </c>
      <c r="BV94" s="804">
        <v>27</v>
      </c>
      <c r="BW94" s="804">
        <v>5</v>
      </c>
      <c r="BX94" s="804">
        <v>9</v>
      </c>
      <c r="BY94" s="804">
        <v>10</v>
      </c>
      <c r="BZ94" s="804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2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0" t="s">
        <v>332</v>
      </c>
      <c r="AC95" s="89">
        <f t="shared" si="25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6"/>
        <v>629</v>
      </c>
      <c r="AG95" s="671">
        <f t="shared" si="27"/>
        <v>54289</v>
      </c>
      <c r="AH95" s="166">
        <v>68206</v>
      </c>
      <c r="AI95" s="184">
        <f>Table2[[#This Row],[Not Stated]]/Table2[[#This Row],[Total Residence]]</f>
        <v>1.1586140838843965E-2</v>
      </c>
      <c r="AO95" s="795" t="s">
        <v>999</v>
      </c>
      <c r="AP95" s="795">
        <v>668</v>
      </c>
      <c r="AQ95" s="795">
        <v>875</v>
      </c>
      <c r="AR95" s="795">
        <v>892</v>
      </c>
      <c r="AS95" s="795">
        <v>979</v>
      </c>
      <c r="AT95" s="795">
        <v>827</v>
      </c>
      <c r="AU95" s="812">
        <f t="shared" si="28"/>
        <v>3.0713411498881106E-2</v>
      </c>
      <c r="AV95" s="795">
        <f t="shared" si="29"/>
        <v>961.6</v>
      </c>
      <c r="AW95" s="883">
        <f>AVERAGE(SUM(CA113:CI113)/SUM($CA$113:$CI$117),INDEX($BE$52:$BG$82,MATCH($AO$95,$AY$52:$AY$82,0),MATCH(AW88,$BE$51:$BG$51,0)))</f>
        <v>6.4791324007637485E-2</v>
      </c>
      <c r="AX95" s="810">
        <f>AVERAGE(SUM(CA115:CI115)/SUM($CA$113:$CI$117),INDEX($BE$52:$BG$82,MATCH($AO$95,$AY$52:$AY$82,0),MATCH(AX88,$BE$51:$BG$51,0)))</f>
        <v>0.26660730091357843</v>
      </c>
      <c r="AY95" s="810">
        <f>AVERAGE(SUM(CA117:CI117)/SUM($CA$113:$CI$117),INDEX($BE$52:$BG$82,MATCH($AO$95,$AY$52:$AY$82,0),MATCH(AY88,$BE$51:$BG$51,0)))</f>
        <v>0.66860137507878403</v>
      </c>
      <c r="AZ95" s="823" cm="1">
        <f t="array" ref="AZ95">INDEX($I$43:$CH$43,MATCH(AZ$88&amp;AO95,$I$33:$CH$33&amp;$I$32:$CH$32,0))</f>
        <v>2392.9923596273825</v>
      </c>
      <c r="BA95" s="814" cm="1">
        <f t="array" ref="BA95">INDEX($I$43:$CH$43,MATCH(BA$88&amp;AO95,$I$33:$CH$33&amp;$I$32:$CH$32,0))</f>
        <v>15881.582138278784</v>
      </c>
      <c r="BB95" s="814" cm="1">
        <f t="array" ref="BB95">INDEX($I$43:$CH$43,MATCH(BB$88&amp;AO95,$I$33:$CH$33&amp;$I$32:$CH$32,0))</f>
        <v>40738.467908725754</v>
      </c>
      <c r="BC95" s="823">
        <f t="shared" si="33"/>
        <v>2548.0375029478009</v>
      </c>
      <c r="BD95" s="814">
        <f t="shared" si="34"/>
        <v>20115.72788640259</v>
      </c>
      <c r="BE95" s="814">
        <f t="shared" si="35"/>
        <v>67976.263571102711</v>
      </c>
      <c r="BF95" s="823">
        <f t="shared" si="36"/>
        <v>4230.8917031575793</v>
      </c>
      <c r="BG95" s="814">
        <f t="shared" si="30"/>
        <v>17938.329431330083</v>
      </c>
      <c r="BH95" s="827">
        <f t="shared" si="31"/>
        <v>57657.952537390192</v>
      </c>
      <c r="BI95" s="823">
        <f t="shared" si="37"/>
        <v>7918.3146925481024</v>
      </c>
      <c r="BJ95" s="814">
        <f t="shared" si="38"/>
        <v>20062.930127534477</v>
      </c>
      <c r="BK95" s="827">
        <f t="shared" si="32"/>
        <v>56911.089228968514</v>
      </c>
      <c r="BM95" s="1338"/>
      <c r="BN95" s="1338"/>
      <c r="BO95" s="803" t="s">
        <v>1053</v>
      </c>
      <c r="CA95" s="804">
        <v>6</v>
      </c>
      <c r="CB95" s="804">
        <v>8</v>
      </c>
      <c r="CC95" s="804">
        <v>8</v>
      </c>
      <c r="CD95" s="804">
        <v>8</v>
      </c>
      <c r="CE95" s="804">
        <v>8</v>
      </c>
      <c r="CF95" s="804">
        <v>8</v>
      </c>
      <c r="CG95" s="804">
        <v>8</v>
      </c>
      <c r="CH95" s="804">
        <v>8</v>
      </c>
      <c r="CI95" s="804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2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0" t="s">
        <v>334</v>
      </c>
      <c r="AC96" s="89">
        <f t="shared" si="25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6"/>
        <v>555</v>
      </c>
      <c r="AG96" s="672">
        <f t="shared" si="27"/>
        <v>49211</v>
      </c>
      <c r="AH96" s="166">
        <v>54986</v>
      </c>
      <c r="AI96" s="184">
        <f>Table2[[#This Row],[Not Stated]]/Table2[[#This Row],[Total Residence]]</f>
        <v>1.1277966308345695E-2</v>
      </c>
      <c r="AO96" s="794" t="s">
        <v>333</v>
      </c>
      <c r="AP96" s="796">
        <v>4190</v>
      </c>
      <c r="AQ96" s="796">
        <v>4333</v>
      </c>
      <c r="AR96" s="796">
        <v>3278</v>
      </c>
      <c r="AS96" s="796">
        <v>3415</v>
      </c>
      <c r="AT96" s="796">
        <v>3293</v>
      </c>
      <c r="AU96" s="811">
        <f t="shared" si="28"/>
        <v>0.1340425686000449</v>
      </c>
      <c r="AV96" s="796">
        <f t="shared" si="29"/>
        <v>3387.6</v>
      </c>
      <c r="AW96" s="882">
        <f>AVERAGE(SUM(CA119:CI119)/SUM($CA$119:$CI$123),INDEX($BE$52:$BG$82,MATCH($AO$96,$AY$52:$AY$82,0),MATCH(AW88,$BE$51:$BG$51,0)))</f>
        <v>0.61920361303689897</v>
      </c>
      <c r="AX96" s="809">
        <f>AVERAGE(SUM(CA121:CI121)/SUM($CA$119:$CI$123),INDEX($BE$52:$BG$82,MATCH($AO$96,$AY$52:$AY$82,0),MATCH(AX88,$BE$51:$BG$51,0)))</f>
        <v>0.34480423513807723</v>
      </c>
      <c r="AY96" s="809">
        <f>AVERAGE(SUM(CA123:CI123)/SUM($CA$119:$CI$123),INDEX($BE$52:$BG$82,MATCH($AO$96,$AY$52:$AY$82,0),MATCH(AY88,$BE$51:$BG$51,0)))</f>
        <v>3.5992151825023813E-2</v>
      </c>
      <c r="AZ96" s="822" cm="1">
        <f t="array" ref="AZ96">INDEX($I$43:$CH$43,MATCH(AZ$88&amp;AO96,$I$33:$CH$33&amp;$I$32:$CH$32,0))</f>
        <v>123314.67820831671</v>
      </c>
      <c r="BA96" s="813" cm="1">
        <f t="array" ref="BA96">INDEX($I$43:$CH$43,MATCH(BA$88&amp;AO96,$I$33:$CH$33&amp;$I$32:$CH$32,0))</f>
        <v>299739.87494657928</v>
      </c>
      <c r="BB96" s="813" cm="1">
        <f t="array" ref="BB96">INDEX($I$43:$CH$43,MATCH(BB$88&amp;AO96,$I$33:$CH$33&amp;$I$32:$CH$32,0))</f>
        <v>56159.174425610254</v>
      </c>
      <c r="BC96" s="822">
        <f>(AZ96*(1+AW96))</f>
        <v>199671.57249538897</v>
      </c>
      <c r="BD96" s="813">
        <f t="shared" si="34"/>
        <v>403091.4532679175</v>
      </c>
      <c r="BE96" s="813">
        <f t="shared" si="35"/>
        <v>58180.463957904816</v>
      </c>
      <c r="BF96" s="822">
        <f t="shared" si="36"/>
        <v>331544.88442569622</v>
      </c>
      <c r="BG96" s="813">
        <f t="shared" si="30"/>
        <v>359459.39020984754</v>
      </c>
      <c r="BH96" s="826">
        <f t="shared" si="31"/>
        <v>49349.085302097592</v>
      </c>
      <c r="BI96" s="822">
        <f t="shared" si="37"/>
        <v>620501.99196256173</v>
      </c>
      <c r="BJ96" s="813">
        <f t="shared" si="38"/>
        <v>402033.45897252724</v>
      </c>
      <c r="BK96" s="826">
        <f t="shared" si="32"/>
        <v>48709.849611367732</v>
      </c>
      <c r="BM96" s="1338"/>
      <c r="BN96" s="1337" t="s">
        <v>1054</v>
      </c>
      <c r="BO96" s="803" t="s">
        <v>1052</v>
      </c>
      <c r="BP96" s="804">
        <v>56</v>
      </c>
      <c r="BQ96" s="804">
        <v>1</v>
      </c>
      <c r="BR96" s="804">
        <v>4</v>
      </c>
      <c r="BS96" s="804">
        <v>13</v>
      </c>
      <c r="BT96" s="804">
        <v>15</v>
      </c>
      <c r="BU96" s="804">
        <v>30</v>
      </c>
      <c r="BV96" s="804">
        <v>24</v>
      </c>
      <c r="BW96" s="804">
        <v>49</v>
      </c>
      <c r="BX96" s="804">
        <v>21</v>
      </c>
      <c r="BY96" s="804">
        <v>68</v>
      </c>
      <c r="BZ96" s="804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2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0" t="s">
        <v>321</v>
      </c>
      <c r="AC97" s="89">
        <f t="shared" si="25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6"/>
        <v>547</v>
      </c>
      <c r="AG97" s="671">
        <f t="shared" si="27"/>
        <v>43469</v>
      </c>
      <c r="AH97" s="166">
        <v>55779</v>
      </c>
      <c r="AI97" s="184">
        <f>Table2[[#This Row],[Not Stated]]/Table2[[#This Row],[Total Residence]]</f>
        <v>1.2583680323908993E-2</v>
      </c>
      <c r="AO97" s="795" t="s">
        <v>1000</v>
      </c>
      <c r="AP97" s="797">
        <v>1756</v>
      </c>
      <c r="AQ97" s="797">
        <v>1930</v>
      </c>
      <c r="AR97" s="797">
        <v>1636</v>
      </c>
      <c r="AS97" s="797">
        <v>1550</v>
      </c>
      <c r="AT97" s="797">
        <v>1296</v>
      </c>
      <c r="AU97" s="812">
        <f t="shared" si="28"/>
        <v>5.9152828371341871E-2</v>
      </c>
      <c r="AV97" s="797">
        <f t="shared" si="29"/>
        <v>1567.2</v>
      </c>
      <c r="AW97" s="883"/>
      <c r="AX97" s="810"/>
      <c r="AY97" s="810"/>
      <c r="AZ97" s="823"/>
      <c r="BA97" s="814"/>
      <c r="BB97" s="814"/>
      <c r="BC97" s="823"/>
      <c r="BD97" s="814"/>
      <c r="BE97" s="814"/>
      <c r="BF97" s="823"/>
      <c r="BG97" s="814"/>
      <c r="BH97" s="827"/>
      <c r="BI97" s="823">
        <f t="shared" si="37"/>
        <v>0</v>
      </c>
      <c r="BJ97" s="814">
        <f t="shared" si="38"/>
        <v>0</v>
      </c>
      <c r="BK97" s="827">
        <f t="shared" si="32"/>
        <v>0</v>
      </c>
      <c r="BM97" s="1338"/>
      <c r="BN97" s="1338"/>
      <c r="BO97" s="803" t="s">
        <v>1053</v>
      </c>
      <c r="CA97" s="804">
        <v>70</v>
      </c>
      <c r="CB97" s="804">
        <v>67</v>
      </c>
      <c r="CC97" s="804">
        <v>67</v>
      </c>
      <c r="CD97" s="804">
        <v>67</v>
      </c>
      <c r="CE97" s="804">
        <v>67</v>
      </c>
      <c r="CF97" s="804">
        <v>67</v>
      </c>
      <c r="CG97" s="804">
        <v>67</v>
      </c>
      <c r="CH97" s="804">
        <v>67</v>
      </c>
      <c r="CI97" s="804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2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0" t="s">
        <v>325</v>
      </c>
      <c r="AC98" s="89">
        <f t="shared" si="25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6"/>
        <v>2266</v>
      </c>
      <c r="AG98" s="672">
        <f t="shared" si="27"/>
        <v>195853</v>
      </c>
      <c r="AH98" s="166">
        <v>229495</v>
      </c>
      <c r="AI98" s="184">
        <f>Table2[[#This Row],[Not Stated]]/Table2[[#This Row],[Total Residence]]</f>
        <v>1.1569901916233093E-2</v>
      </c>
      <c r="AO98" s="794" t="s">
        <v>1001</v>
      </c>
      <c r="AP98" s="796">
        <v>2034</v>
      </c>
      <c r="AQ98" s="796">
        <v>2152</v>
      </c>
      <c r="AR98" s="796">
        <v>1381</v>
      </c>
      <c r="AS98" s="794">
        <v>977</v>
      </c>
      <c r="AT98" s="794">
        <v>743</v>
      </c>
      <c r="AU98" s="811">
        <f t="shared" si="28"/>
        <v>5.2772607779379067E-2</v>
      </c>
      <c r="AV98" s="796">
        <f t="shared" si="29"/>
        <v>1057.8</v>
      </c>
      <c r="AW98" s="882"/>
      <c r="AX98" s="809"/>
      <c r="AY98" s="809"/>
      <c r="AZ98" s="822"/>
      <c r="BA98" s="813"/>
      <c r="BB98" s="813"/>
      <c r="BC98" s="822"/>
      <c r="BD98" s="813"/>
      <c r="BE98" s="813"/>
      <c r="BF98" s="822"/>
      <c r="BG98" s="813"/>
      <c r="BH98" s="826"/>
      <c r="BI98" s="822">
        <f t="shared" si="37"/>
        <v>0</v>
      </c>
      <c r="BJ98" s="813">
        <f t="shared" si="38"/>
        <v>0</v>
      </c>
      <c r="BK98" s="826">
        <f t="shared" si="32"/>
        <v>0</v>
      </c>
      <c r="BM98" s="1338"/>
      <c r="BN98" s="1337" t="s">
        <v>1055</v>
      </c>
      <c r="BO98" s="803" t="s">
        <v>1052</v>
      </c>
      <c r="BP98" s="804">
        <v>114</v>
      </c>
      <c r="BQ98" s="804">
        <v>96</v>
      </c>
      <c r="BR98" s="804">
        <v>65</v>
      </c>
      <c r="BS98" s="804">
        <v>87</v>
      </c>
      <c r="BT98" s="804">
        <v>71</v>
      </c>
      <c r="BU98" s="804">
        <v>109</v>
      </c>
      <c r="BV98" s="804">
        <v>93</v>
      </c>
      <c r="BW98" s="804">
        <v>106</v>
      </c>
      <c r="BX98" s="804">
        <v>109</v>
      </c>
      <c r="BY98" s="804">
        <v>120</v>
      </c>
      <c r="BZ98" s="804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2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0" t="s">
        <v>336</v>
      </c>
      <c r="AC99" s="89">
        <f t="shared" si="25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6"/>
        <v>720</v>
      </c>
      <c r="AG99" s="671">
        <f t="shared" si="27"/>
        <v>54493</v>
      </c>
      <c r="AH99" s="166">
        <v>74094</v>
      </c>
      <c r="AI99" s="184">
        <f>Table2[[#This Row],[Not Stated]]/Table2[[#This Row],[Total Residence]]</f>
        <v>1.3212706219147413E-2</v>
      </c>
      <c r="AO99" s="795" t="s">
        <v>1002</v>
      </c>
      <c r="AP99" s="797">
        <v>1952</v>
      </c>
      <c r="AQ99" s="797">
        <v>2058</v>
      </c>
      <c r="AR99" s="797">
        <v>1491</v>
      </c>
      <c r="AS99" s="797">
        <v>1233</v>
      </c>
      <c r="AT99" s="797">
        <v>1087</v>
      </c>
      <c r="AU99" s="812">
        <f t="shared" si="28"/>
        <v>5.6639847048514297E-2</v>
      </c>
      <c r="AV99" s="797">
        <f t="shared" si="29"/>
        <v>1284.5999999999999</v>
      </c>
      <c r="AW99" s="883"/>
      <c r="AX99" s="810"/>
      <c r="AY99" s="810"/>
      <c r="AZ99" s="823"/>
      <c r="BA99" s="814"/>
      <c r="BB99" s="814"/>
      <c r="BC99" s="823"/>
      <c r="BD99" s="814"/>
      <c r="BE99" s="814"/>
      <c r="BF99" s="823"/>
      <c r="BG99" s="814"/>
      <c r="BH99" s="827"/>
      <c r="BI99" s="823">
        <f t="shared" si="37"/>
        <v>0</v>
      </c>
      <c r="BJ99" s="814">
        <f t="shared" si="38"/>
        <v>0</v>
      </c>
      <c r="BK99" s="827">
        <f t="shared" si="32"/>
        <v>0</v>
      </c>
      <c r="BM99" s="1338"/>
      <c r="BN99" s="1338"/>
      <c r="BO99" s="803" t="s">
        <v>1053</v>
      </c>
      <c r="CA99" s="804">
        <v>117</v>
      </c>
      <c r="CB99" s="804">
        <v>120</v>
      </c>
      <c r="CC99" s="804">
        <v>120</v>
      </c>
      <c r="CD99" s="804">
        <v>120</v>
      </c>
      <c r="CE99" s="804">
        <v>120</v>
      </c>
      <c r="CF99" s="804">
        <v>120</v>
      </c>
      <c r="CG99" s="804">
        <v>120</v>
      </c>
      <c r="CH99" s="804">
        <v>120</v>
      </c>
      <c r="CI99" s="804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2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0" t="s">
        <v>337</v>
      </c>
      <c r="AC100" s="89">
        <f t="shared" si="25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6"/>
        <v>932</v>
      </c>
      <c r="AG100" s="672">
        <f t="shared" si="27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794" t="s">
        <v>335</v>
      </c>
      <c r="AP100" s="794">
        <v>296</v>
      </c>
      <c r="AQ100" s="794">
        <v>297</v>
      </c>
      <c r="AR100" s="794">
        <v>284</v>
      </c>
      <c r="AS100" s="794">
        <v>341</v>
      </c>
      <c r="AT100" s="794">
        <v>185</v>
      </c>
      <c r="AU100" s="811">
        <f t="shared" si="28"/>
        <v>1.0160555607859041E-2</v>
      </c>
      <c r="AV100" s="794">
        <f t="shared" si="29"/>
        <v>329.6</v>
      </c>
      <c r="AW100" s="882">
        <f>AVERAGE(SUM(CA125:CI125)/SUM($CA$125:$CI$129),INDEX($BE$52:$BG$82,MATCH($AO$100,$AY$52:$AY$82,0),MATCH(AW88,$BE$51:$BG$51,0)))</f>
        <v>0.11988193565932714</v>
      </c>
      <c r="AX100" s="809">
        <f>AVERAGE(SUM(CA127:CI127)/SUM($CA$125:$CI$129),INDEX($BE$52:$BG$82,MATCH($AO$100,$AY$52:$AY$82,0),MATCH(AX88,$BE$51:$BG$51,0)))</f>
        <v>0.34281354844162659</v>
      </c>
      <c r="AY100" s="809">
        <f>AVERAGE(SUM(CA129:CI129)/SUM($CA$125:$CI$129),INDEX($BE$52:$BG$82,MATCH($AO$100,$AY$52:$AY$82,0),MATCH(AY88,$BE$51:$BG$51,0)))</f>
        <v>0.53730451589904615</v>
      </c>
      <c r="AZ100" s="822" cm="1">
        <f t="array" ref="AZ100">INDEX($I$43:$CH$43,MATCH(AZ$88&amp;AO100,$I$33:$CH$33&amp;$I$32:$CH$32,0))</f>
        <v>9881.5892011882625</v>
      </c>
      <c r="BA100" s="813" cm="1">
        <f t="array" ref="BA100">INDEX($I$43:$CH$43,MATCH(BA$88&amp;AO100,$I$33:$CH$33&amp;$I$32:$CH$32,0))</f>
        <v>27589.465054026703</v>
      </c>
      <c r="BB100" s="813" cm="1">
        <f t="array" ref="BB100">INDEX($I$43:$CH$43,MATCH(BB$88&amp;AO100,$I$33:$CH$33&amp;$I$32:$CH$32,0))</f>
        <v>55372.585087977008</v>
      </c>
      <c r="BC100" s="822">
        <f t="shared" si="33"/>
        <v>11066.213242017016</v>
      </c>
      <c r="BD100" s="813">
        <f t="shared" si="34"/>
        <v>37047.507468803851</v>
      </c>
      <c r="BE100" s="813">
        <f t="shared" si="35"/>
        <v>85124.525112751231</v>
      </c>
      <c r="BF100" s="822">
        <f t="shared" ref="BF100:BF120" si="39">BC100*($BF$123/$BC$122)</f>
        <v>18374.90607452079</v>
      </c>
      <c r="BG100" s="813">
        <f t="shared" ref="BG100:BG120" si="40">BD100*($BG$123/$BD$122)</f>
        <v>33037.352530220276</v>
      </c>
      <c r="BH100" s="826">
        <f t="shared" ref="BH100:BH120" si="41">BE100*($BH$123/$BE$122)</f>
        <v>72203.230523034625</v>
      </c>
      <c r="BI100" s="822">
        <f t="shared" si="37"/>
        <v>34389.509104069424</v>
      </c>
      <c r="BJ100" s="813">
        <f t="shared" si="38"/>
        <v>36950.26886142914</v>
      </c>
      <c r="BK100" s="826">
        <f t="shared" si="32"/>
        <v>71267.95722153825</v>
      </c>
      <c r="BM100" s="1337" t="s">
        <v>883</v>
      </c>
      <c r="BN100" s="1337" t="s">
        <v>42</v>
      </c>
      <c r="BO100" s="803" t="s">
        <v>1052</v>
      </c>
      <c r="BP100" s="804">
        <v>7</v>
      </c>
      <c r="BQ100" s="804">
        <v>2</v>
      </c>
      <c r="BR100" s="804">
        <v>2</v>
      </c>
      <c r="BS100" s="804">
        <v>3</v>
      </c>
      <c r="BT100" s="804">
        <v>2</v>
      </c>
      <c r="BU100" s="804">
        <v>6</v>
      </c>
      <c r="BV100" s="804">
        <v>12</v>
      </c>
      <c r="BW100" s="804">
        <v>2</v>
      </c>
      <c r="BX100" s="804">
        <v>16</v>
      </c>
      <c r="BY100" s="804">
        <v>20</v>
      </c>
      <c r="BZ100" s="804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2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0" t="s">
        <v>338</v>
      </c>
      <c r="AC101" s="89">
        <f t="shared" si="25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6"/>
        <v>814</v>
      </c>
      <c r="AG101" s="671">
        <f t="shared" si="27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795" t="s">
        <v>1003</v>
      </c>
      <c r="AP101" s="797">
        <v>1030</v>
      </c>
      <c r="AQ101" s="797">
        <v>1144</v>
      </c>
      <c r="AR101" s="797">
        <v>1021</v>
      </c>
      <c r="AS101" s="795">
        <v>953</v>
      </c>
      <c r="AT101" s="795">
        <v>843</v>
      </c>
      <c r="AU101" s="812">
        <f t="shared" si="28"/>
        <v>3.614492732631823E-2</v>
      </c>
      <c r="AV101" s="797">
        <f t="shared" si="29"/>
        <v>966.6</v>
      </c>
      <c r="AW101" s="883"/>
      <c r="AX101" s="810"/>
      <c r="AY101" s="810"/>
      <c r="AZ101" s="823"/>
      <c r="BA101" s="814"/>
      <c r="BB101" s="814"/>
      <c r="BC101" s="823">
        <f t="shared" si="33"/>
        <v>0</v>
      </c>
      <c r="BD101" s="814">
        <f t="shared" si="34"/>
        <v>0</v>
      </c>
      <c r="BE101" s="814">
        <f t="shared" si="35"/>
        <v>0</v>
      </c>
      <c r="BF101" s="823">
        <f t="shared" si="39"/>
        <v>0</v>
      </c>
      <c r="BG101" s="814">
        <f t="shared" si="40"/>
        <v>0</v>
      </c>
      <c r="BH101" s="827">
        <f t="shared" si="41"/>
        <v>0</v>
      </c>
      <c r="BI101" s="823">
        <f t="shared" si="37"/>
        <v>0</v>
      </c>
      <c r="BJ101" s="814">
        <f t="shared" si="38"/>
        <v>0</v>
      </c>
      <c r="BK101" s="827">
        <f t="shared" si="32"/>
        <v>0</v>
      </c>
      <c r="BM101" s="1338"/>
      <c r="BN101" s="1338"/>
      <c r="BO101" s="803" t="s">
        <v>1053</v>
      </c>
      <c r="CA101" s="804">
        <v>20</v>
      </c>
      <c r="CB101" s="804">
        <v>14</v>
      </c>
      <c r="CC101" s="804">
        <v>14</v>
      </c>
      <c r="CD101" s="804">
        <v>14</v>
      </c>
      <c r="CE101" s="804">
        <v>14</v>
      </c>
      <c r="CF101" s="804">
        <v>14</v>
      </c>
      <c r="CG101" s="804">
        <v>14</v>
      </c>
      <c r="CH101" s="804">
        <v>14</v>
      </c>
      <c r="CI101" s="804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2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0" t="s">
        <v>339</v>
      </c>
      <c r="AC102" s="89">
        <f t="shared" si="25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6"/>
        <v>588</v>
      </c>
      <c r="AG102" s="672">
        <f t="shared" si="27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794" t="s">
        <v>1004</v>
      </c>
      <c r="AP102" s="794">
        <v>779</v>
      </c>
      <c r="AQ102" s="794">
        <v>929</v>
      </c>
      <c r="AR102" s="794">
        <v>879</v>
      </c>
      <c r="AS102" s="794">
        <v>926</v>
      </c>
      <c r="AT102" s="794">
        <v>833</v>
      </c>
      <c r="AU102" s="811">
        <f t="shared" si="28"/>
        <v>3.1473823714722307E-2</v>
      </c>
      <c r="AV102" s="794">
        <f t="shared" si="29"/>
        <v>916.6</v>
      </c>
      <c r="AW102" s="882">
        <f>AVERAGE(SUM(CA131:CI131)/SUM($CA$131:$CI$135),INDEX($BE$52:$BG$82,MATCH($AO$102,$AY$52:$AY$82,0),MATCH(AW88,$BE$51:$BG$51,0)))</f>
        <v>6.5655683269859433E-2</v>
      </c>
      <c r="AX102" s="809">
        <f>AVERAGE(SUM(CA133:CI133)/SUM($CA$131:$CI$135),INDEX($BE$52:$BG$82,MATCH($AO$102,$AY$52:$AY$82,0),MATCH(AX88,$BE$51:$BG$51,0)))</f>
        <v>0.41554022050775619</v>
      </c>
      <c r="AY102" s="809">
        <f>AVERAGE(SUM(CA135:CI135)/SUM($CA$131:$CI$135),INDEX($BE$52:$BG$82,MATCH($AO$102,$AY$52:$AY$82,0),MATCH(AY88,$BE$51:$BG$51,0)))</f>
        <v>0.51880409622238433</v>
      </c>
      <c r="AZ102" s="822" cm="1">
        <f t="array" ref="AZ102">INDEX($I$43:$CH$43,MATCH(AZ$88&amp;AO102,$I$33:$CH$33&amp;$I$32:$CH$32,0))</f>
        <v>2906.0721193547802</v>
      </c>
      <c r="BA102" s="813" cm="1">
        <f t="array" ref="BA102">INDEX($I$43:$CH$43,MATCH(BA$88&amp;AO102,$I$33:$CH$33&amp;$I$32:$CH$32,0))</f>
        <v>15686.699374231552</v>
      </c>
      <c r="BB102" s="813" cm="1">
        <f t="array" ref="BB102">INDEX($I$43:$CH$43,MATCH(BB$88&amp;AO102,$I$33:$CH$33&amp;$I$32:$CH$32,0))</f>
        <v>36376.580790193235</v>
      </c>
      <c r="BC102" s="822">
        <f t="shared" si="33"/>
        <v>3096.8722699825066</v>
      </c>
      <c r="BD102" s="813">
        <f t="shared" si="34"/>
        <v>22205.15389123861</v>
      </c>
      <c r="BE102" s="813">
        <f t="shared" si="35"/>
        <v>55248.899910709981</v>
      </c>
      <c r="BF102" s="822">
        <f t="shared" si="39"/>
        <v>5142.2050019474082</v>
      </c>
      <c r="BG102" s="813">
        <f t="shared" si="40"/>
        <v>19801.58847961299</v>
      </c>
      <c r="BH102" s="826">
        <f t="shared" si="41"/>
        <v>46862.511727533922</v>
      </c>
      <c r="BI102" s="822">
        <f t="shared" si="37"/>
        <v>9623.8807976640819</v>
      </c>
      <c r="BJ102" s="813">
        <f t="shared" si="38"/>
        <v>22146.87201511662</v>
      </c>
      <c r="BK102" s="826">
        <f t="shared" si="32"/>
        <v>46255.485480337942</v>
      </c>
      <c r="BM102" s="1338"/>
      <c r="BN102" s="1337" t="s">
        <v>1054</v>
      </c>
      <c r="BO102" s="803" t="s">
        <v>1052</v>
      </c>
      <c r="BP102" s="804">
        <v>15</v>
      </c>
      <c r="BQ102" s="804">
        <v>12</v>
      </c>
      <c r="BR102" s="804">
        <v>9</v>
      </c>
      <c r="BS102" s="804">
        <v>42</v>
      </c>
      <c r="BT102" s="804">
        <v>29</v>
      </c>
      <c r="BU102" s="804">
        <v>73</v>
      </c>
      <c r="BV102" s="804">
        <v>102</v>
      </c>
      <c r="BW102" s="804">
        <v>71</v>
      </c>
      <c r="BX102" s="804">
        <v>158</v>
      </c>
      <c r="BY102" s="804">
        <v>156</v>
      </c>
      <c r="BZ102" s="804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2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0" t="s">
        <v>335</v>
      </c>
      <c r="AC103" s="117">
        <f t="shared" si="25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6"/>
        <v>1275</v>
      </c>
      <c r="AG103" s="671">
        <f t="shared" si="27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795" t="s">
        <v>1005</v>
      </c>
      <c r="AP103" s="797">
        <v>1397</v>
      </c>
      <c r="AQ103" s="797">
        <v>1494</v>
      </c>
      <c r="AR103" s="797">
        <v>1464</v>
      </c>
      <c r="AS103" s="797">
        <v>1517</v>
      </c>
      <c r="AT103" s="797">
        <v>1281</v>
      </c>
      <c r="AU103" s="812">
        <f t="shared" si="28"/>
        <v>5.1802176951543634E-2</v>
      </c>
      <c r="AV103" s="797">
        <f t="shared" si="29"/>
        <v>1506.4</v>
      </c>
      <c r="AW103" s="883">
        <f>AVERAGE(SUM(CA137:CI137)/SUM($CA$137:$CI$141),INDEX($BE$52:$BG$82,MATCH($AO$103,$AY$52:$AY$82,0),MATCH(AW88,$BE$51:$BG$51,0)))</f>
        <v>0.10582727632219724</v>
      </c>
      <c r="AX103" s="810">
        <f>AVERAGE(SUM(CA139:CI139)/SUM($CA$137:$CI$141),INDEX($BE$52:$BG$82,MATCH($AO$103,$AY$52:$AY$82,0),MATCH(AX88,$BE$51:$BG$51,0)))</f>
        <v>0.78236125118369082</v>
      </c>
      <c r="AY103" s="810">
        <f>AVERAGE(SUM(CA141:CI141)/SUM($CA$137:$CI$141),INDEX($BE$52:$BG$82,MATCH($AO$103,$AY$52:$AY$82,0),MATCH(AY88,$BE$51:$BG$51,0)))</f>
        <v>0.11181147249411197</v>
      </c>
      <c r="AZ103" s="823" cm="1">
        <f t="array" ref="AZ103">INDEX($I$43:$CH$43,MATCH(AZ$88&amp;AO103,$I$33:$CH$33&amp;$I$32:$CH$32,0))</f>
        <v>7363.7968231969135</v>
      </c>
      <c r="BA103" s="814" cm="1">
        <f t="array" ref="BA103">INDEX($I$43:$CH$43,MATCH(BA$88&amp;AO103,$I$33:$CH$33&amp;$I$32:$CH$32,0))</f>
        <v>38144.204386107944</v>
      </c>
      <c r="BB103" s="814" cm="1">
        <f t="array" ref="BB103">INDEX($I$43:$CH$43,MATCH(BB$88&amp;AO103,$I$33:$CH$33&amp;$I$32:$CH$32,0))</f>
        <v>30304.517514538838</v>
      </c>
      <c r="BC103" s="823">
        <f t="shared" si="33"/>
        <v>8143.0873843858917</v>
      </c>
      <c r="BD103" s="814">
        <f t="shared" si="34"/>
        <v>67986.751855029783</v>
      </c>
      <c r="BE103" s="814">
        <f t="shared" si="35"/>
        <v>33692.910241063029</v>
      </c>
      <c r="BF103" s="823">
        <f t="shared" si="39"/>
        <v>13521.198496029834</v>
      </c>
      <c r="BG103" s="814">
        <f t="shared" si="40"/>
        <v>60627.622258004121</v>
      </c>
      <c r="BH103" s="827">
        <f t="shared" si="41"/>
        <v>28578.567244928763</v>
      </c>
      <c r="BI103" s="823">
        <f t="shared" si="37"/>
        <v>25305.564931399218</v>
      </c>
      <c r="BJ103" s="814">
        <f t="shared" si="38"/>
        <v>67808.307000787419</v>
      </c>
      <c r="BK103" s="827">
        <f t="shared" si="32"/>
        <v>28208.379225008048</v>
      </c>
      <c r="BM103" s="1338"/>
      <c r="BN103" s="1338"/>
      <c r="BO103" s="803" t="s">
        <v>1053</v>
      </c>
      <c r="CA103" s="804">
        <v>291</v>
      </c>
      <c r="CB103" s="804">
        <v>326</v>
      </c>
      <c r="CC103" s="804">
        <v>387</v>
      </c>
      <c r="CD103" s="804">
        <v>448</v>
      </c>
      <c r="CE103" s="804">
        <v>509</v>
      </c>
      <c r="CF103" s="804">
        <v>570</v>
      </c>
      <c r="CG103" s="804">
        <v>631</v>
      </c>
      <c r="CH103" s="804">
        <v>692</v>
      </c>
      <c r="CI103" s="804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2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0" t="s">
        <v>340</v>
      </c>
      <c r="AC104" s="117">
        <f t="shared" si="25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6"/>
        <v>141</v>
      </c>
      <c r="AG104" s="672">
        <f t="shared" si="27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794" t="s">
        <v>1006</v>
      </c>
      <c r="AP104" s="794">
        <v>529</v>
      </c>
      <c r="AQ104" s="794">
        <v>574</v>
      </c>
      <c r="AR104" s="794">
        <v>600</v>
      </c>
      <c r="AS104" s="794">
        <v>663</v>
      </c>
      <c r="AT104" s="794">
        <v>675</v>
      </c>
      <c r="AU104" s="811">
        <f t="shared" si="28"/>
        <v>2.2022986174981714E-2</v>
      </c>
      <c r="AV104" s="794">
        <f t="shared" si="29"/>
        <v>650.4</v>
      </c>
      <c r="AW104" s="882">
        <f>AVERAGE(SUM(CA143:CI143)/SUM($CA$143:$CI$147),INDEX($BE$52:$BG$82,MATCH($AO$104,$AY$52:$AY$82,0),MATCH(AW88,$BE$51:$BG$51,0)))</f>
        <v>8.780490886292644E-2</v>
      </c>
      <c r="AX104" s="809">
        <f>AVERAGE(SUM(CA145:CI145)/SUM($CA$143:$CI$147),INDEX($BE$52:$BG$82,MATCH($AO$104,$AY$52:$AY$82,0),MATCH(AX88,$BE$51:$BG$51,0)))</f>
        <v>0.33767414903461979</v>
      </c>
      <c r="AY104" s="809">
        <f>AVERAGE(SUM(CA147:CI147)/SUM($CA$143:$CI$147),INDEX($BE$52:$BG$82,MATCH($AO$104,$AY$52:$AY$82,0),MATCH(AY88,$BE$51:$BG$51,0)))</f>
        <v>0.57452094210245375</v>
      </c>
      <c r="AZ104" s="822" cm="1">
        <f t="array" ref="AZ104">INDEX($I$43:$CH$43,MATCH(AZ$88&amp;AO104,$I$33:$CH$33&amp;$I$32:$CH$32,0))</f>
        <v>1751.3817529766175</v>
      </c>
      <c r="BA104" s="813" cm="1">
        <f t="array" ref="BA104">INDEX($I$43:$CH$43,MATCH(BA$88&amp;AO104,$I$33:$CH$33&amp;$I$32:$CH$32,0))</f>
        <v>12508.441600918088</v>
      </c>
      <c r="BB104" s="813" cm="1">
        <f t="array" ref="BB104">INDEX($I$43:$CH$43,MATCH(BB$88&amp;AO104,$I$33:$CH$33&amp;$I$32:$CH$32,0))</f>
        <v>20891.382011189213</v>
      </c>
      <c r="BC104" s="822">
        <f t="shared" si="33"/>
        <v>1905.1616681809217</v>
      </c>
      <c r="BD104" s="813">
        <f t="shared" si="34"/>
        <v>16732.218974257339</v>
      </c>
      <c r="BE104" s="813">
        <f t="shared" si="35"/>
        <v>32893.918486079892</v>
      </c>
      <c r="BF104" s="822">
        <f t="shared" si="39"/>
        <v>3163.4278089531094</v>
      </c>
      <c r="BG104" s="813">
        <f t="shared" si="40"/>
        <v>14921.063645937858</v>
      </c>
      <c r="BH104" s="826">
        <f t="shared" si="41"/>
        <v>27900.856728545397</v>
      </c>
      <c r="BI104" s="822">
        <f t="shared" si="37"/>
        <v>5920.5053345502074</v>
      </c>
      <c r="BJ104" s="813">
        <f t="shared" si="38"/>
        <v>16688.301912557152</v>
      </c>
      <c r="BK104" s="826">
        <f t="shared" si="32"/>
        <v>27539.447326250585</v>
      </c>
      <c r="BM104" s="1338"/>
      <c r="BN104" s="1337" t="s">
        <v>1055</v>
      </c>
      <c r="BO104" s="803" t="s">
        <v>1052</v>
      </c>
      <c r="BP104" s="804">
        <v>183</v>
      </c>
      <c r="BQ104" s="804">
        <v>146</v>
      </c>
      <c r="BR104" s="804">
        <v>112</v>
      </c>
      <c r="BS104" s="804">
        <v>116</v>
      </c>
      <c r="BT104" s="804">
        <v>115</v>
      </c>
      <c r="BU104" s="804">
        <v>147</v>
      </c>
      <c r="BV104" s="804">
        <v>142</v>
      </c>
      <c r="BW104" s="804">
        <v>170</v>
      </c>
      <c r="BX104" s="804">
        <v>209</v>
      </c>
      <c r="BY104" s="804">
        <v>218</v>
      </c>
      <c r="BZ104" s="804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2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69" t="s">
        <v>341</v>
      </c>
      <c r="AC105" s="81">
        <f t="shared" si="25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6"/>
        <v>454</v>
      </c>
      <c r="AG105" s="671">
        <f t="shared" si="27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795" t="s">
        <v>1007</v>
      </c>
      <c r="AP105" s="795">
        <v>548</v>
      </c>
      <c r="AQ105" s="795">
        <v>613</v>
      </c>
      <c r="AR105" s="795">
        <v>611</v>
      </c>
      <c r="AS105" s="795">
        <v>659</v>
      </c>
      <c r="AT105" s="795">
        <v>631</v>
      </c>
      <c r="AU105" s="812">
        <f t="shared" si="28"/>
        <v>2.2175068618149954E-2</v>
      </c>
      <c r="AV105" s="795">
        <f t="shared" si="29"/>
        <v>649.4</v>
      </c>
      <c r="AW105" s="883">
        <f>AVERAGE(SUM(CA149:CI149)/SUM($CA$149:$CI$153),INDEX($BE$52:$BG$82,MATCH($AO$105,$AY$52:$AY$82,0),MATCH(AW88,$BE$51:$BG$51,0)))</f>
        <v>4.05964021282611E-2</v>
      </c>
      <c r="AX105" s="810">
        <f>AVERAGE(SUM(CA151:CI151)/SUM($CA$149:$CI$153),INDEX($BE$52:$BG$82,MATCH($AO$105,$AY$52:$AY$82,0),MATCH(AX88,$BE$51:$BG$51,0)))</f>
        <v>0.50238796871962188</v>
      </c>
      <c r="AY105" s="810">
        <f>AVERAGE(SUM(CA153:CI153)/SUM($CA$149:$CI$153),INDEX($BE$52:$BG$82,MATCH($AO$105,$AY$52:$AY$82,0),MATCH(AY88,$BE$51:$BG$51,0)))</f>
        <v>0.45701562915211702</v>
      </c>
      <c r="AZ105" s="823" cm="1">
        <f t="array" ref="AZ105">INDEX($I$43:$CH$43,MATCH(AZ$88&amp;AO105,$I$33:$CH$33&amp;$I$32:$CH$32,0))</f>
        <v>1434.9997251520253</v>
      </c>
      <c r="BA105" s="814" cm="1">
        <f t="array" ref="BA105">INDEX($I$43:$CH$43,MATCH(BA$88&amp;AO105,$I$33:$CH$33&amp;$I$32:$CH$32,0))</f>
        <v>11510.58391452228</v>
      </c>
      <c r="BB105" s="814" cm="1">
        <f t="array" ref="BB105">INDEX($I$43:$CH$43,MATCH(BB$88&amp;AO105,$I$33:$CH$33&amp;$I$32:$CH$32,0))</f>
        <v>16295.614216511489</v>
      </c>
      <c r="BC105" s="823">
        <f t="shared" si="33"/>
        <v>1493.2555510482414</v>
      </c>
      <c r="BD105" s="814">
        <f t="shared" si="34"/>
        <v>17293.362786115882</v>
      </c>
      <c r="BE105" s="814">
        <f t="shared" si="35"/>
        <v>23742.964600090669</v>
      </c>
      <c r="BF105" s="823">
        <f t="shared" si="39"/>
        <v>2479.4778390486781</v>
      </c>
      <c r="BG105" s="814">
        <f t="shared" si="40"/>
        <v>15421.467241190063</v>
      </c>
      <c r="BH105" s="827">
        <f t="shared" si="41"/>
        <v>20138.952247309524</v>
      </c>
      <c r="BI105" s="823">
        <f t="shared" si="37"/>
        <v>4640.4604939743431</v>
      </c>
      <c r="BJ105" s="814">
        <f t="shared" si="38"/>
        <v>17247.972890032761</v>
      </c>
      <c r="BK105" s="827">
        <f t="shared" si="32"/>
        <v>19878.085465856992</v>
      </c>
      <c r="BM105" s="1338"/>
      <c r="BN105" s="1338"/>
      <c r="BO105" s="803" t="s">
        <v>1053</v>
      </c>
      <c r="CA105" s="804">
        <v>197</v>
      </c>
      <c r="CB105" s="804">
        <v>200</v>
      </c>
      <c r="CC105" s="804">
        <v>200</v>
      </c>
      <c r="CD105" s="804">
        <v>200</v>
      </c>
      <c r="CE105" s="804">
        <v>200</v>
      </c>
      <c r="CF105" s="804">
        <v>200</v>
      </c>
      <c r="CG105" s="804">
        <v>200</v>
      </c>
      <c r="CH105" s="804">
        <v>200</v>
      </c>
      <c r="CI105" s="804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2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0" t="s">
        <v>342</v>
      </c>
      <c r="AC106" s="89">
        <f t="shared" si="25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6"/>
        <v>302</v>
      </c>
      <c r="AG106" s="672">
        <f t="shared" si="27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794" t="s">
        <v>1008</v>
      </c>
      <c r="AP106" s="794">
        <v>113</v>
      </c>
      <c r="AQ106" s="794">
        <v>161</v>
      </c>
      <c r="AR106" s="794">
        <v>171</v>
      </c>
      <c r="AS106" s="794">
        <v>192</v>
      </c>
      <c r="AT106" s="794">
        <v>173</v>
      </c>
      <c r="AU106" s="811">
        <f t="shared" si="28"/>
        <v>5.866037093632091E-3</v>
      </c>
      <c r="AV106" s="794">
        <f t="shared" si="29"/>
        <v>187.8</v>
      </c>
      <c r="AW106" s="809">
        <f>AVERAGE(SUM(CA155:CI155)/SUM($CA$155:$CI$159),INDEX($BE$52:$BG$82,MATCH($AO$106,$AY$52:$AY$82,0),MATCH(AW88,$BE$51:$BG$51,0)))</f>
        <v>6.9053329174315684E-2</v>
      </c>
      <c r="AX106" s="809">
        <f>AVERAGE(SUM(CA157:CI157)/SUM($CA$155:$CI$159),INDEX($BE$52:$BG$82,MATCH($AO$106,$AY$52:$AY$82,0),MATCH(AX88,$BE$51:$BG$51,0)))</f>
        <v>0.28878752703787602</v>
      </c>
      <c r="AY106" s="809">
        <f>AVERAGE(SUM(CA159:CI159)/SUM($CA$155:$CI$159),INDEX($BE$52:$BG$82,MATCH($AO$106,$AY$52:$AY$82,0),MATCH(AY88,$BE$51:$BG$51,0)))</f>
        <v>0.64215914378780825</v>
      </c>
      <c r="AZ106" s="822" cm="1">
        <f t="array" ref="AZ106">INDEX($I$43:$CH$43,MATCH(AZ$88&amp;AO106,$I$33:$CH$33&amp;$I$32:$CH$32,0))</f>
        <v>543.02409251525864</v>
      </c>
      <c r="BA106" s="813" cm="1">
        <f t="array" ref="BA106">INDEX($I$43:$CH$43,MATCH(BA$88&amp;AO106,$I$33:$CH$33&amp;$I$32:$CH$32,0))</f>
        <v>2737.7793125602311</v>
      </c>
      <c r="BB106" s="813" cm="1">
        <f t="array" ref="BB106">INDEX($I$43:$CH$43,MATCH(BB$88&amp;AO106,$I$33:$CH$33&amp;$I$32:$CH$32,0))</f>
        <v>9101.1608576935432</v>
      </c>
      <c r="BC106" s="822">
        <f t="shared" si="33"/>
        <v>580.52171392529885</v>
      </c>
      <c r="BD106" s="813">
        <f t="shared" si="34"/>
        <v>3528.4158298099569</v>
      </c>
      <c r="BE106" s="813">
        <f t="shared" si="35"/>
        <v>14945.554521545144</v>
      </c>
      <c r="BF106" s="822">
        <f t="shared" si="39"/>
        <v>963.92792496495713</v>
      </c>
      <c r="BG106" s="813">
        <f t="shared" si="40"/>
        <v>3146.487459130673</v>
      </c>
      <c r="BH106" s="826">
        <f t="shared" si="41"/>
        <v>12676.926150065066</v>
      </c>
      <c r="BI106" s="822">
        <f t="shared" si="37"/>
        <v>1804.0368759878766</v>
      </c>
      <c r="BJ106" s="813">
        <f t="shared" si="38"/>
        <v>3519.1547953984373</v>
      </c>
      <c r="BK106" s="826">
        <f t="shared" si="32"/>
        <v>12512.717561511474</v>
      </c>
      <c r="BM106" s="1337" t="s">
        <v>325</v>
      </c>
      <c r="BN106" s="1337" t="s">
        <v>42</v>
      </c>
      <c r="BO106" s="803" t="s">
        <v>1052</v>
      </c>
      <c r="BP106" s="804">
        <v>78</v>
      </c>
      <c r="BQ106" s="804">
        <v>20</v>
      </c>
      <c r="BR106" s="804">
        <v>13</v>
      </c>
      <c r="BS106" s="804">
        <v>26</v>
      </c>
      <c r="BT106" s="804">
        <v>48</v>
      </c>
      <c r="BU106" s="804">
        <v>79</v>
      </c>
      <c r="BV106" s="804">
        <v>82</v>
      </c>
      <c r="BW106" s="804">
        <v>168</v>
      </c>
      <c r="BX106" s="804">
        <v>110</v>
      </c>
      <c r="BY106" s="804">
        <v>210</v>
      </c>
      <c r="BZ106" s="804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2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0" t="s">
        <v>343</v>
      </c>
      <c r="AC107" s="89">
        <f t="shared" si="25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6"/>
        <v>253</v>
      </c>
      <c r="AG107" s="671">
        <f t="shared" si="27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795" t="s">
        <v>1009</v>
      </c>
      <c r="AP107" s="797">
        <v>1231</v>
      </c>
      <c r="AQ107" s="797">
        <v>1263</v>
      </c>
      <c r="AR107" s="797">
        <v>1110</v>
      </c>
      <c r="AS107" s="797">
        <v>1101</v>
      </c>
      <c r="AT107" s="795">
        <v>892</v>
      </c>
      <c r="AU107" s="812">
        <f t="shared" si="28"/>
        <v>4.0533592114887426E-2</v>
      </c>
      <c r="AV107" s="797">
        <f t="shared" si="29"/>
        <v>1102.8</v>
      </c>
      <c r="AW107" s="810">
        <f>AVERAGE(SUM(CA161:CI161)/SUM($CA$161:$CI$165),INDEX($BE$52:$BG$82,MATCH($AO$107,$AY$52:$AY$82,0),MATCH(AW88,$BE$51:$BG$51,0)))</f>
        <v>0.15356458675424192</v>
      </c>
      <c r="AX107" s="810">
        <f>AVERAGE(SUM(CA163:CI163)/SUM($CA$161:$CI$165),INDEX($BE$52:$BG$82,MATCH($AO$107,$AY$52:$AY$82,0),MATCH(AX88,$BE$51:$BG$51,0)))</f>
        <v>0.52247999230757847</v>
      </c>
      <c r="AY107" s="810">
        <f>AVERAGE(SUM(CA165:CI165)/SUM($CA$161:$CI$165),INDEX($BE$52:$BG$82,MATCH($AO$107,$AY$52:$AY$82,0),MATCH(AY88,$BE$51:$BG$51,0)))</f>
        <v>0.32395542093817958</v>
      </c>
      <c r="AZ107" s="823" cm="1">
        <f t="array" ref="AZ107">INDEX($I$43:$CH$43,MATCH(AZ$88&amp;AO107,$I$33:$CH$33&amp;$I$32:$CH$32,0))</f>
        <v>7461.1258002920376</v>
      </c>
      <c r="BA107" s="814" cm="1">
        <f t="array" ref="BA107">INDEX($I$43:$CH$43,MATCH(BA$88&amp;AO107,$I$33:$CH$33&amp;$I$32:$CH$32,0))</f>
        <v>31695.949118274744</v>
      </c>
      <c r="BB107" s="814" cm="1">
        <f t="array" ref="BB107">INDEX($I$43:$CH$43,MATCH(BB$88&amp;AO107,$I$33:$CH$33&amp;$I$32:$CH$32,0))</f>
        <v>32750.827361563519</v>
      </c>
      <c r="BC107" s="823">
        <f t="shared" si="33"/>
        <v>8606.8905005352972</v>
      </c>
      <c r="BD107" s="814">
        <f t="shared" si="34"/>
        <v>48256.448369772334</v>
      </c>
      <c r="BE107" s="814">
        <f t="shared" si="35"/>
        <v>43360.635425552478</v>
      </c>
      <c r="BF107" s="823">
        <f t="shared" si="39"/>
        <v>14291.320895619709</v>
      </c>
      <c r="BG107" s="814">
        <f t="shared" si="40"/>
        <v>43032.997509778652</v>
      </c>
      <c r="BH107" s="827">
        <f t="shared" si="41"/>
        <v>36778.800834537076</v>
      </c>
      <c r="BI107" s="823">
        <f t="shared" si="37"/>
        <v>26746.885565340715</v>
      </c>
      <c r="BJ107" s="814">
        <f t="shared" si="38"/>
        <v>48129.789650821331</v>
      </c>
      <c r="BK107" s="827">
        <f t="shared" si="32"/>
        <v>36302.392365935084</v>
      </c>
      <c r="BM107" s="1338"/>
      <c r="BN107" s="1338"/>
      <c r="BO107" s="803" t="s">
        <v>1053</v>
      </c>
      <c r="CA107" s="804">
        <v>105</v>
      </c>
      <c r="CB107" s="804">
        <v>110</v>
      </c>
      <c r="CC107" s="881">
        <v>250</v>
      </c>
      <c r="CD107" s="881">
        <v>300</v>
      </c>
      <c r="CE107" s="881">
        <v>550</v>
      </c>
      <c r="CF107" s="881">
        <v>550</v>
      </c>
      <c r="CG107" s="881">
        <v>550</v>
      </c>
      <c r="CH107" s="881">
        <v>550</v>
      </c>
      <c r="CI107" s="881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2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0" t="s">
        <v>303</v>
      </c>
      <c r="AC108" s="89">
        <f t="shared" si="25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6"/>
        <v>339</v>
      </c>
      <c r="AG108" s="672">
        <f t="shared" si="27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794" t="s">
        <v>1010</v>
      </c>
      <c r="AP108" s="794">
        <v>269</v>
      </c>
      <c r="AQ108" s="794">
        <v>306</v>
      </c>
      <c r="AR108" s="794">
        <v>312</v>
      </c>
      <c r="AS108" s="794">
        <v>332</v>
      </c>
      <c r="AT108" s="794">
        <v>302</v>
      </c>
      <c r="AU108" s="811">
        <f t="shared" si="28"/>
        <v>1.1015114098042482E-2</v>
      </c>
      <c r="AV108" s="794">
        <f t="shared" si="29"/>
        <v>328</v>
      </c>
      <c r="AW108" s="809">
        <f>AVERAGE(SUM(CA167:CI167)/SUM($CA$167:$CI$171),INDEX($BE$52:$BG$82,MATCH($AO$108,$AY$52:$AY$82,0),MATCH(AW88,$BE$51:$BG$51,0)))</f>
        <v>5.2426589421206891E-2</v>
      </c>
      <c r="AX108" s="809">
        <f>AVERAGE(SUM(CA169:CI169)/SUM($CA$167:$CI$171),INDEX($BE$52:$BG$82,MATCH($AO$108,$AY$52:$AY$82,0),MATCH(AX88,$BE$51:$BG$51,0)))</f>
        <v>0.37940668912811237</v>
      </c>
      <c r="AY108" s="809">
        <f>AVERAGE(SUM(CA171:CI171)/SUM($CA$167:$CI$171),INDEX($BE$52:$BG$82,MATCH($AO$108,$AY$52:$AY$82,0),MATCH(AY88,$BE$51:$BG$51,0)))</f>
        <v>0.5681667214506807</v>
      </c>
      <c r="AZ108" s="822" cm="1">
        <f t="array" ref="AZ108">INDEX($I$43:$CH$43,MATCH(AZ$88&amp;AO108,$I$33:$CH$33&amp;$I$32:$CH$32,0))</f>
        <v>691.43208570294928</v>
      </c>
      <c r="BA108" s="813" cm="1">
        <f t="array" ref="BA108">INDEX($I$43:$CH$43,MATCH(BA$88&amp;AO108,$I$33:$CH$33&amp;$I$32:$CH$32,0))</f>
        <v>4746.2770797513549</v>
      </c>
      <c r="BB108" s="813" cm="1">
        <f t="array" ref="BB108">INDEX($I$43:$CH$43,MATCH(BB$88&amp;AO108,$I$33:$CH$33&amp;$I$32:$CH$32,0))</f>
        <v>9718.9087422298653</v>
      </c>
      <c r="BC108" s="822">
        <f t="shared" si="33"/>
        <v>727.68151177274649</v>
      </c>
      <c r="BD108" s="813">
        <f t="shared" si="34"/>
        <v>6547.0463522644613</v>
      </c>
      <c r="BE108" s="813">
        <f t="shared" si="35"/>
        <v>15240.869258380966</v>
      </c>
      <c r="BF108" s="822">
        <f t="shared" si="39"/>
        <v>1208.2795748252174</v>
      </c>
      <c r="BG108" s="813">
        <f t="shared" si="40"/>
        <v>5838.3705989826285</v>
      </c>
      <c r="BH108" s="826">
        <f t="shared" si="41"/>
        <v>12927.414220246525</v>
      </c>
      <c r="BI108" s="822">
        <f t="shared" si="37"/>
        <v>2261.352589787135</v>
      </c>
      <c r="BJ108" s="813">
        <f t="shared" si="38"/>
        <v>6529.8623171374566</v>
      </c>
      <c r="BK108" s="826">
        <f t="shared" si="32"/>
        <v>12759.960973487379</v>
      </c>
      <c r="BM108" s="1338"/>
      <c r="BN108" s="1337" t="s">
        <v>1054</v>
      </c>
      <c r="BO108" s="803" t="s">
        <v>1052</v>
      </c>
      <c r="BP108" s="804">
        <v>133</v>
      </c>
      <c r="BQ108" s="804">
        <v>122</v>
      </c>
      <c r="BR108" s="804">
        <v>186</v>
      </c>
      <c r="BS108" s="804">
        <v>140</v>
      </c>
      <c r="BT108" s="804">
        <v>304</v>
      </c>
      <c r="BU108" s="804">
        <v>425</v>
      </c>
      <c r="BV108" s="804">
        <v>756</v>
      </c>
      <c r="BW108" s="804">
        <v>943</v>
      </c>
      <c r="BX108" s="804">
        <v>1391</v>
      </c>
      <c r="BY108" s="804">
        <v>1619</v>
      </c>
      <c r="BZ108" s="804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2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0" t="s">
        <v>329</v>
      </c>
      <c r="AC109" s="89">
        <f t="shared" si="25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6"/>
        <v>764</v>
      </c>
      <c r="AG109" s="671">
        <f t="shared" si="27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795" t="s">
        <v>1011</v>
      </c>
      <c r="AP109" s="795">
        <v>743</v>
      </c>
      <c r="AQ109" s="795">
        <v>841</v>
      </c>
      <c r="AR109" s="795">
        <v>812</v>
      </c>
      <c r="AS109" s="795">
        <v>853</v>
      </c>
      <c r="AT109" s="795">
        <v>744</v>
      </c>
      <c r="AU109" s="812">
        <f t="shared" si="28"/>
        <v>2.8917390265275233E-2</v>
      </c>
      <c r="AV109" s="795">
        <f t="shared" si="29"/>
        <v>844.8</v>
      </c>
      <c r="AW109" s="810">
        <f>AVERAGE(SUM(CA173:CI173)/SUM($CA$173:$CI$177),INDEX($BE$52:$BG$82,MATCH($AO$109,$AY$52:$AY$82,0),MATCH(AW88,$BE$51:$BG$51,0)))</f>
        <v>7.4507497591300889E-2</v>
      </c>
      <c r="AX109" s="810">
        <f>AVERAGE(SUM(CA175:CI175)/SUM($CA$173:$CI$177),INDEX($BE$52:$BG$82,MATCH($AO$109,$AY$52:$AY$82,0),MATCH(AX88,$BE$51:$BG$51,0)))</f>
        <v>0.70497250976435977</v>
      </c>
      <c r="AY109" s="810">
        <f>AVERAGE(SUM(CA177:CI177)/SUM($CA$173:$CI$177),INDEX($BE$52:$BG$82,MATCH($AO$109,$AY$52:$AY$82,0),MATCH(AY88,$BE$51:$BG$51,0)))</f>
        <v>0.22051999264433936</v>
      </c>
      <c r="AZ109" s="823" cm="1">
        <f t="array" ref="AZ109">INDEX($I$43:$CH$43,MATCH(AZ$88&amp;AO109,$I$33:$CH$33&amp;$I$32:$CH$32,0))</f>
        <v>3038.8153054039785</v>
      </c>
      <c r="BA109" s="814" cm="1">
        <f t="array" ref="BA109">INDEX($I$43:$CH$43,MATCH(BA$88&amp;AO109,$I$33:$CH$33&amp;$I$32:$CH$32,0))</f>
        <v>24289.540001760251</v>
      </c>
      <c r="BB109" s="814" cm="1">
        <f t="array" ref="BB109">INDEX($I$43:$CH$43,MATCH(BB$88&amp;AO109,$I$33:$CH$33&amp;$I$32:$CH$32,0))</f>
        <v>18866.743201020949</v>
      </c>
      <c r="BC109" s="823">
        <f t="shared" si="33"/>
        <v>3265.2298294517736</v>
      </c>
      <c r="BD109" s="814">
        <f t="shared" si="34"/>
        <v>41412.99797782299</v>
      </c>
      <c r="BE109" s="814">
        <f t="shared" si="35"/>
        <v>23027.237272932725</v>
      </c>
      <c r="BF109" s="823">
        <f t="shared" si="39"/>
        <v>5421.7544986476432</v>
      </c>
      <c r="BG109" s="814">
        <f t="shared" si="40"/>
        <v>36930.306706293828</v>
      </c>
      <c r="BH109" s="827">
        <f t="shared" si="41"/>
        <v>19531.867213637135</v>
      </c>
      <c r="BI109" s="823">
        <f t="shared" si="37"/>
        <v>10147.070952912887</v>
      </c>
      <c r="BJ109" s="814">
        <f t="shared" si="38"/>
        <v>41304.301265798131</v>
      </c>
      <c r="BK109" s="827">
        <f t="shared" si="32"/>
        <v>19278.864213619574</v>
      </c>
      <c r="BM109" s="1338"/>
      <c r="BN109" s="1338"/>
      <c r="BO109" s="803" t="s">
        <v>1053</v>
      </c>
      <c r="CA109" s="804">
        <v>1605</v>
      </c>
      <c r="CB109" s="804">
        <v>1592</v>
      </c>
      <c r="CC109" s="804">
        <v>1472</v>
      </c>
      <c r="CD109" s="804">
        <v>1351</v>
      </c>
      <c r="CE109" s="804">
        <v>1230</v>
      </c>
      <c r="CF109" s="804">
        <v>1109</v>
      </c>
      <c r="CG109" s="804">
        <v>988</v>
      </c>
      <c r="CH109" s="804">
        <v>867</v>
      </c>
      <c r="CI109" s="804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2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0" t="s">
        <v>344</v>
      </c>
      <c r="AC110" s="89">
        <f t="shared" si="25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6"/>
        <v>330</v>
      </c>
      <c r="AG110" s="672">
        <f t="shared" si="27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794" t="s">
        <v>1012</v>
      </c>
      <c r="AP110" s="794">
        <v>296</v>
      </c>
      <c r="AQ110" s="794">
        <v>429</v>
      </c>
      <c r="AR110" s="794">
        <v>412</v>
      </c>
      <c r="AS110" s="794">
        <v>449</v>
      </c>
      <c r="AT110" s="794">
        <v>325</v>
      </c>
      <c r="AU110" s="811">
        <f t="shared" si="28"/>
        <v>1.3839502328309784E-2</v>
      </c>
      <c r="AV110" s="794">
        <f t="shared" si="29"/>
        <v>441.6</v>
      </c>
      <c r="AW110" s="809">
        <f>AVERAGE(SUM(CA179:CI179)/SUM($CA$179:$CI$183),INDEX($BE$52:$BG$82,MATCH($AO$110,$AY$52:$AY$82,0),MATCH(AW88,$BE$51:$BG$51,0)))</f>
        <v>6.3483460005061859E-2</v>
      </c>
      <c r="AX110" s="809">
        <f>AVERAGE(SUM(CA181:CI181)/SUM($CA$179:$CI$183),INDEX($BE$52:$BG$82,MATCH($AO$110,$AY$52:$AY$82,0),MATCH(AX88,$BE$51:$BG$51,0)))</f>
        <v>0.30144839286027519</v>
      </c>
      <c r="AY110" s="809">
        <f>AVERAGE(SUM(CA183:CI183)/SUM($CA$179:$CI$183),INDEX($BE$52:$BG$82,MATCH($AO$110,$AY$52:$AY$82,0),MATCH(AY88,$BE$51:$BG$51,0)))</f>
        <v>0.63506814713466297</v>
      </c>
      <c r="AZ110" s="822" cm="1">
        <f t="array" ref="AZ110">INDEX($I$43:$CH$43,MATCH(AZ$88&amp;AO110,$I$33:$CH$33&amp;$I$32:$CH$32,0))</f>
        <v>2141.3166117916521</v>
      </c>
      <c r="BA110" s="813" cm="1">
        <f t="array" ref="BA110">INDEX($I$43:$CH$43,MATCH(BA$88&amp;AO110,$I$33:$CH$33&amp;$I$32:$CH$32,0))</f>
        <v>12519.701036831018</v>
      </c>
      <c r="BB110" s="813" cm="1">
        <f t="array" ref="BB110">INDEX($I$43:$CH$43,MATCH(BB$88&amp;AO110,$I$33:$CH$33&amp;$I$32:$CH$32,0))</f>
        <v>34699.30894292317</v>
      </c>
      <c r="BC110" s="822">
        <f t="shared" si="33"/>
        <v>2277.2547992745017</v>
      </c>
      <c r="BD110" s="813">
        <f t="shared" si="34"/>
        <v>16293.744793474849</v>
      </c>
      <c r="BE110" s="813">
        <f t="shared" si="35"/>
        <v>56735.734780158629</v>
      </c>
      <c r="BF110" s="822">
        <f t="shared" si="39"/>
        <v>3781.2702619485922</v>
      </c>
      <c r="BG110" s="813">
        <f t="shared" si="40"/>
        <v>14530.051481405368</v>
      </c>
      <c r="BH110" s="826">
        <f t="shared" si="41"/>
        <v>48123.655689115978</v>
      </c>
      <c r="BI110" s="822">
        <f t="shared" si="37"/>
        <v>7076.8268186437172</v>
      </c>
      <c r="BJ110" s="813">
        <f t="shared" si="38"/>
        <v>16250.97859512883</v>
      </c>
      <c r="BK110" s="826">
        <f t="shared" si="32"/>
        <v>47500.293410026876</v>
      </c>
      <c r="BM110" s="1338"/>
      <c r="BN110" s="1337" t="s">
        <v>1055</v>
      </c>
      <c r="BO110" s="803" t="s">
        <v>1052</v>
      </c>
      <c r="BP110" s="804">
        <v>666</v>
      </c>
      <c r="BQ110" s="804">
        <v>467</v>
      </c>
      <c r="BR110" s="804">
        <v>370</v>
      </c>
      <c r="BS110" s="804">
        <v>395</v>
      </c>
      <c r="BT110" s="804">
        <v>426</v>
      </c>
      <c r="BU110" s="804">
        <v>460</v>
      </c>
      <c r="BV110" s="804">
        <v>553</v>
      </c>
      <c r="BW110" s="804">
        <v>628</v>
      </c>
      <c r="BX110" s="804">
        <v>638</v>
      </c>
      <c r="BY110" s="804">
        <v>617</v>
      </c>
      <c r="BZ110" s="804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2"/>
        <v>8787.564173814988</v>
      </c>
      <c r="R111" s="158" t="s">
        <v>299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73">
        <f>SUM(AG85:AG110)</f>
        <v>1702289</v>
      </c>
      <c r="AH111" s="182">
        <v>2003645</v>
      </c>
      <c r="AO111" s="795" t="s">
        <v>1013</v>
      </c>
      <c r="AP111" s="797">
        <v>1090</v>
      </c>
      <c r="AQ111" s="797">
        <v>1207</v>
      </c>
      <c r="AR111" s="797">
        <v>1230</v>
      </c>
      <c r="AS111" s="797">
        <v>1371</v>
      </c>
      <c r="AT111" s="797">
        <v>1266</v>
      </c>
      <c r="AU111" s="812">
        <f t="shared" si="28"/>
        <v>4.463981808042989E-2</v>
      </c>
      <c r="AV111" s="797">
        <f t="shared" si="29"/>
        <v>1342.8</v>
      </c>
      <c r="AW111" s="810">
        <f>AVERAGE(SUM(CA185:CI185)/SUM($CA$185:$CI$189),INDEX($BE$52:$BG$82,MATCH($AO$111,$AY$52:$AY$82,0),MATCH(AW88,$BE$51:$BG$51,0)))</f>
        <v>7.9525794807391997E-2</v>
      </c>
      <c r="AX111" s="810">
        <f>AVERAGE(SUM(CA187:CI187)/SUM($CA$185:$CI$189),INDEX($BE$52:$BG$82,MATCH($AO$111,$AY$52:$AY$82,0),MATCH(AX88,$BE$51:$BG$51,0)))</f>
        <v>0.68457496483841218</v>
      </c>
      <c r="AY111" s="810">
        <f>AVERAGE(SUM(CA189:CI189)/SUM($CA$185:$CI$189),INDEX($BE$52:$BG$82,MATCH($AO$111,$AY$52:$AY$82,0),MATCH(AY88,$BE$51:$BG$51,0)))</f>
        <v>0.23589924035419579</v>
      </c>
      <c r="AZ111" s="823" cm="1">
        <f t="array" ref="AZ111">INDEX($I$43:$CH$43,MATCH(AZ$88&amp;AO111,$I$33:$CH$33&amp;$I$32:$CH$32,0))</f>
        <v>5411.4225176697691</v>
      </c>
      <c r="BA111" s="814" cm="1">
        <f t="array" ref="BA111">INDEX($I$43:$CH$43,MATCH(BA$88&amp;AO111,$I$33:$CH$33&amp;$I$32:$CH$32,0))</f>
        <v>27103.374443441171</v>
      </c>
      <c r="BB111" s="814" cm="1">
        <f t="array" ref="BB111">INDEX($I$43:$CH$43,MATCH(BB$88&amp;AO111,$I$33:$CH$33&amp;$I$32:$CH$32,0))</f>
        <v>34324.09820344366</v>
      </c>
      <c r="BC111" s="823">
        <f t="shared" si="33"/>
        <v>5841.7701944260752</v>
      </c>
      <c r="BD111" s="814">
        <f t="shared" si="34"/>
        <v>45657.666050062231</v>
      </c>
      <c r="BE111" s="814">
        <f t="shared" si="35"/>
        <v>42421.126895478832</v>
      </c>
      <c r="BF111" s="823">
        <f t="shared" si="39"/>
        <v>9699.9738107296016</v>
      </c>
      <c r="BG111" s="814">
        <f t="shared" si="40"/>
        <v>40715.516699015265</v>
      </c>
      <c r="BH111" s="827">
        <f t="shared" si="41"/>
        <v>35981.902985351851</v>
      </c>
      <c r="BI111" s="823">
        <f t="shared" si="37"/>
        <v>18153.961512536338</v>
      </c>
      <c r="BJ111" s="814">
        <f t="shared" si="38"/>
        <v>45537.828356084407</v>
      </c>
      <c r="BK111" s="827">
        <f t="shared" si="32"/>
        <v>35515.817008928731</v>
      </c>
      <c r="BM111" s="1338"/>
      <c r="BN111" s="1338"/>
      <c r="BO111" s="803" t="s">
        <v>1053</v>
      </c>
      <c r="CA111" s="804">
        <v>588</v>
      </c>
      <c r="CB111" s="804">
        <v>590</v>
      </c>
      <c r="CC111" s="804">
        <v>590</v>
      </c>
      <c r="CD111" s="804">
        <v>590</v>
      </c>
      <c r="CE111" s="804">
        <v>590</v>
      </c>
      <c r="CF111" s="804">
        <v>590</v>
      </c>
      <c r="CG111" s="804">
        <v>590</v>
      </c>
      <c r="CH111" s="804">
        <v>590</v>
      </c>
      <c r="CI111" s="804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2"/>
        <v>14278.215013491201</v>
      </c>
      <c r="Y112" t="s">
        <v>40</v>
      </c>
      <c r="Z112" t="s">
        <v>40</v>
      </c>
      <c r="AA112" t="s">
        <v>40</v>
      </c>
      <c r="AO112" s="794" t="s">
        <v>1014</v>
      </c>
      <c r="AP112" s="794">
        <v>264</v>
      </c>
      <c r="AQ112" s="794">
        <v>320</v>
      </c>
      <c r="AR112" s="794">
        <v>309</v>
      </c>
      <c r="AS112" s="794">
        <v>344</v>
      </c>
      <c r="AT112" s="794">
        <v>324</v>
      </c>
      <c r="AU112" s="811">
        <f t="shared" si="28"/>
        <v>1.1304794942172462E-2</v>
      </c>
      <c r="AV112" s="794">
        <f t="shared" si="29"/>
        <v>337</v>
      </c>
      <c r="AW112" s="809">
        <f>AVERAGE(SUM(CA191:CI191)/SUM($CA$191:$CI$195),INDEX($BE$52:$BG$82,MATCH($AO$112,$AY$52:$AY$82,0),MATCH(AW88,$BE$51:$BG$51,0)))</f>
        <v>5.7634573085673685E-2</v>
      </c>
      <c r="AX112" s="809">
        <f>AVERAGE(SUM(CA193:CI193)/SUM($CA$191:$CI$195),INDEX($BE$52:$BG$82,MATCH($AO$112,$AY$52:$AY$82,0),MATCH(AX88,$BE$51:$BG$51,0)))</f>
        <v>0.31731610921918574</v>
      </c>
      <c r="AY112" s="809">
        <f>AVERAGE(SUM(CA195:CI195)/SUM($CA$191:$CI$195),INDEX($BE$52:$BG$82,MATCH($AO$112,$AY$52:$AY$82,0),MATCH(AY88,$BE$51:$BG$51,0)))</f>
        <v>0.6250493176951406</v>
      </c>
      <c r="AZ112" s="822" cm="1">
        <f t="array" ref="AZ112">INDEX($I$43:$CH$43,MATCH(AZ$88&amp;AO112,$I$33:$CH$33&amp;$I$32:$CH$32,0))</f>
        <v>1027.5356632394301</v>
      </c>
      <c r="BA112" s="813" cm="1">
        <f t="array" ref="BA112">INDEX($I$43:$CH$43,MATCH(BA$88&amp;AO112,$I$33:$CH$33&amp;$I$32:$CH$32,0))</f>
        <v>6619.1242565355706</v>
      </c>
      <c r="BB112" s="813" cm="1">
        <f t="array" ref="BB112">INDEX($I$43:$CH$43,MATCH(BB$88&amp;AO112,$I$33:$CH$33&amp;$I$32:$CH$32,0))</f>
        <v>14155.109041449583</v>
      </c>
      <c r="BC112" s="822">
        <f t="shared" si="33"/>
        <v>1086.7572425205392</v>
      </c>
      <c r="BD112" s="813">
        <f t="shared" si="34"/>
        <v>8719.4790120577727</v>
      </c>
      <c r="BE112" s="813">
        <f t="shared" si="35"/>
        <v>23002.750289707961</v>
      </c>
      <c r="BF112" s="822">
        <f t="shared" si="39"/>
        <v>1804.5072709515578</v>
      </c>
      <c r="BG112" s="813">
        <f t="shared" si="40"/>
        <v>7775.6513645021832</v>
      </c>
      <c r="BH112" s="826">
        <f t="shared" si="41"/>
        <v>19511.097179475426</v>
      </c>
      <c r="BI112" s="822">
        <f t="shared" si="37"/>
        <v>3377.2210301960122</v>
      </c>
      <c r="BJ112" s="813">
        <f t="shared" si="38"/>
        <v>8696.5929920770905</v>
      </c>
      <c r="BK112" s="826">
        <f t="shared" si="32"/>
        <v>19258.363220860607</v>
      </c>
      <c r="BM112" s="1337" t="s">
        <v>889</v>
      </c>
      <c r="BN112" s="1337" t="s">
        <v>42</v>
      </c>
      <c r="BO112" s="803" t="s">
        <v>1052</v>
      </c>
      <c r="BP112" s="804">
        <v>20</v>
      </c>
      <c r="BQ112" s="804">
        <v>17</v>
      </c>
      <c r="BR112" s="804">
        <v>6</v>
      </c>
      <c r="BS112" s="804">
        <v>0</v>
      </c>
      <c r="BT112" s="804">
        <v>6</v>
      </c>
      <c r="BU112" s="804">
        <v>4</v>
      </c>
      <c r="BV112" s="804">
        <v>10</v>
      </c>
      <c r="BW112" s="804">
        <v>19</v>
      </c>
      <c r="BX112" s="804">
        <v>62</v>
      </c>
      <c r="BY112" s="804">
        <v>68</v>
      </c>
      <c r="BZ112" s="804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2"/>
        <v>2350.2341251096568</v>
      </c>
      <c r="AO113" s="795" t="s">
        <v>1015</v>
      </c>
      <c r="AP113" s="795">
        <v>462</v>
      </c>
      <c r="AQ113" s="795">
        <v>506</v>
      </c>
      <c r="AR113" s="795">
        <v>518</v>
      </c>
      <c r="AS113" s="795">
        <v>561</v>
      </c>
      <c r="AT113" s="795">
        <v>519</v>
      </c>
      <c r="AU113" s="812">
        <f t="shared" si="28"/>
        <v>1.8583026150938205E-2</v>
      </c>
      <c r="AV113" s="795">
        <f t="shared" si="29"/>
        <v>552.4</v>
      </c>
      <c r="AW113" s="810">
        <f>AVERAGE(SUM(CA197:CI197)/SUM($CA$197:$CI$201),INDEX($BE$52:$BG$82,MATCH($AO$113,$AY$52:$AY$82,0),MATCH(AW88,$BE$51:$BG$51,0)))</f>
        <v>3.7122039878926774E-2</v>
      </c>
      <c r="AX113" s="810">
        <f>AVERAGE(SUM(CA199:CI199)/SUM($CA$197:$CI$201),INDEX($BE$52:$BG$82,MATCH($AO$113,$AY$52:$AY$82,0),MATCH(AX88,$BE$51:$BG$51,0)))</f>
        <v>0.49435668868361032</v>
      </c>
      <c r="AY113" s="810">
        <f>AVERAGE(SUM(CA201:CI201)/SUM($CA$197:$CI$201),INDEX($BE$52:$BG$82,MATCH($AO$113,$AY$52:$AY$82,0),MATCH(AY88,$BE$51:$BG$51,0)))</f>
        <v>0.46852127143746292</v>
      </c>
      <c r="AZ113" s="823" cm="1">
        <f t="array" ref="AZ113">INDEX($I$43:$CH$43,MATCH(AZ$88&amp;AO113,$I$33:$CH$33&amp;$I$32:$CH$32,0))</f>
        <v>1175.2936766265591</v>
      </c>
      <c r="BA113" s="814" cm="1">
        <f t="array" ref="BA113">INDEX($I$43:$CH$43,MATCH(BA$88&amp;AO113,$I$33:$CH$33&amp;$I$32:$CH$32,0))</f>
        <v>10239.258420802398</v>
      </c>
      <c r="BB113" s="814" cm="1">
        <f t="array" ref="BB113">INDEX($I$43:$CH$43,MATCH(BB$88&amp;AO113,$I$33:$CH$33&amp;$I$32:$CH$32,0))</f>
        <v>15966.202026112715</v>
      </c>
      <c r="BC113" s="823">
        <f t="shared" si="33"/>
        <v>1218.9229753597406</v>
      </c>
      <c r="BD113" s="814">
        <f t="shared" si="34"/>
        <v>15301.104308286045</v>
      </c>
      <c r="BE113" s="814">
        <f t="shared" si="35"/>
        <v>23446.70729941444</v>
      </c>
      <c r="BF113" s="823">
        <f t="shared" si="39"/>
        <v>2023.9620089074197</v>
      </c>
      <c r="BG113" s="814">
        <f t="shared" si="40"/>
        <v>13644.857958667946</v>
      </c>
      <c r="BH113" s="827">
        <f t="shared" si="41"/>
        <v>19887.664687742821</v>
      </c>
      <c r="BI113" s="823">
        <f t="shared" si="37"/>
        <v>3787.9409913352479</v>
      </c>
      <c r="BJ113" s="814">
        <f t="shared" si="38"/>
        <v>15260.943493810582</v>
      </c>
      <c r="BK113" s="827">
        <f t="shared" si="32"/>
        <v>19630.052920557078</v>
      </c>
      <c r="BM113" s="1338"/>
      <c r="BN113" s="1338"/>
      <c r="BO113" s="803" t="s">
        <v>1053</v>
      </c>
      <c r="CA113" s="804">
        <v>31</v>
      </c>
      <c r="CB113" s="804">
        <v>39</v>
      </c>
      <c r="CC113" s="804">
        <v>39</v>
      </c>
      <c r="CD113" s="804">
        <v>39</v>
      </c>
      <c r="CE113" s="804">
        <v>39</v>
      </c>
      <c r="CF113" s="804">
        <v>39</v>
      </c>
      <c r="CG113" s="804">
        <v>39</v>
      </c>
      <c r="CH113" s="804">
        <v>39</v>
      </c>
      <c r="CI113" s="804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794" t="s">
        <v>1016</v>
      </c>
      <c r="AP114" s="794">
        <v>305</v>
      </c>
      <c r="AQ114" s="794">
        <v>372</v>
      </c>
      <c r="AR114" s="794">
        <v>404</v>
      </c>
      <c r="AS114" s="794">
        <v>457</v>
      </c>
      <c r="AT114" s="794">
        <v>410</v>
      </c>
      <c r="AU114" s="811">
        <f t="shared" si="28"/>
        <v>1.4107457109130016E-2</v>
      </c>
      <c r="AV114" s="794">
        <f t="shared" si="29"/>
        <v>446.4</v>
      </c>
      <c r="AW114" s="809">
        <f>AVERAGE(SUM(CA203:CI203)/SUM($CA$203:$CI$207),INDEX($BE$52:$BG$82,MATCH($AO$114,$AY$52:$AY$82,0),MATCH(AW88,$BE$51:$BG$51,0)))</f>
        <v>5.4921827458302173E-2</v>
      </c>
      <c r="AX114" s="809">
        <f>AVERAGE(SUM(CA205:CI205)/SUM($CA$203:$CI$207),INDEX($BE$52:$BG$82,MATCH($AO$114,$AY$52:$AY$82,0),MATCH(AX88,$BE$51:$BG$51,0)))</f>
        <v>0.3335979432554731</v>
      </c>
      <c r="AY114" s="809">
        <f>AVERAGE(SUM(CA207:CI207)/SUM($CA$203:$CI$207),INDEX($BE$52:$BG$82,MATCH($AO$114,$AY$52:$AY$82,0),MATCH(AY88,$BE$51:$BG$51,0)))</f>
        <v>0.6114802292862247</v>
      </c>
      <c r="AZ114" s="822" cm="1">
        <f t="array" ref="AZ114">INDEX($I$43:$CH$43,MATCH(AZ$88&amp;AO114,$I$33:$CH$33&amp;$I$32:$CH$32,0))</f>
        <v>676.45175529921289</v>
      </c>
      <c r="BA114" s="813" cm="1">
        <f t="array" ref="BA114">INDEX($I$43:$CH$43,MATCH(BA$88&amp;AO114,$I$33:$CH$33&amp;$I$32:$CH$32,0))</f>
        <v>5372.2948402948405</v>
      </c>
      <c r="BB114" s="813" cm="1">
        <f t="array" ref="BB114">INDEX($I$43:$CH$43,MATCH(BB$88&amp;AO114,$I$33:$CH$33&amp;$I$32:$CH$32,0))</f>
        <v>18080.993461874819</v>
      </c>
      <c r="BC114" s="822">
        <f t="shared" si="33"/>
        <v>713.60372188762187</v>
      </c>
      <c r="BD114" s="813">
        <f t="shared" si="34"/>
        <v>7164.4813495791886</v>
      </c>
      <c r="BE114" s="813">
        <f t="shared" si="35"/>
        <v>29137.163489664763</v>
      </c>
      <c r="BF114" s="822">
        <f t="shared" si="39"/>
        <v>1184.9040929671744</v>
      </c>
      <c r="BG114" s="813">
        <f t="shared" si="40"/>
        <v>6388.9722201027243</v>
      </c>
      <c r="BH114" s="826">
        <f t="shared" si="41"/>
        <v>24714.350293820018</v>
      </c>
      <c r="BI114" s="822">
        <f t="shared" si="37"/>
        <v>2217.6042656918157</v>
      </c>
      <c r="BJ114" s="813">
        <f t="shared" si="38"/>
        <v>7145.6767325727187</v>
      </c>
      <c r="BK114" s="826">
        <f t="shared" si="32"/>
        <v>24394.216806354176</v>
      </c>
      <c r="BM114" s="1338"/>
      <c r="BN114" s="1337" t="s">
        <v>1054</v>
      </c>
      <c r="BO114" s="803" t="s">
        <v>1052</v>
      </c>
      <c r="BP114" s="804">
        <v>75</v>
      </c>
      <c r="BQ114" s="804">
        <v>48</v>
      </c>
      <c r="BR114" s="804">
        <v>22</v>
      </c>
      <c r="BS114" s="804">
        <v>27</v>
      </c>
      <c r="BT114" s="804">
        <v>42</v>
      </c>
      <c r="BU114" s="804">
        <v>44</v>
      </c>
      <c r="BV114" s="804">
        <v>90</v>
      </c>
      <c r="BW114" s="804">
        <v>97</v>
      </c>
      <c r="BX114" s="804">
        <v>58</v>
      </c>
      <c r="BY114" s="804">
        <v>218</v>
      </c>
      <c r="BZ114" s="804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795" t="s">
        <v>1017</v>
      </c>
      <c r="AP115" s="795">
        <v>378</v>
      </c>
      <c r="AQ115" s="795">
        <v>463</v>
      </c>
      <c r="AR115" s="795">
        <v>441</v>
      </c>
      <c r="AS115" s="795">
        <v>461</v>
      </c>
      <c r="AT115" s="795">
        <v>402</v>
      </c>
      <c r="AU115" s="812">
        <f t="shared" si="28"/>
        <v>1.5534135266470166E-2</v>
      </c>
      <c r="AV115" s="795">
        <f t="shared" si="29"/>
        <v>457</v>
      </c>
      <c r="AW115" s="810">
        <f>AVERAGE(SUM(CA209:CI209)/SUM($CA$209:$CI$213),INDEX($BE$52:$BG$82,MATCH($AO$115,$AY$52:$AY$82,0),MATCH(AW88,$BE$51:$BG$51,0)))</f>
        <v>0.1721061898021887</v>
      </c>
      <c r="AX115" s="810">
        <f>AVERAGE(SUM(CA211:CI211)/SUM($CA$209:$CI$213),INDEX($BE$52:$BG$82,MATCH($AO$115,$AY$52:$AY$82,0),MATCH(AX88,$BE$51:$BG$51,0)))</f>
        <v>0.30595936755618464</v>
      </c>
      <c r="AY115" s="810">
        <f>AVERAGE(SUM(CA213:CI213)/SUM($CA$209:$CI$213),INDEX($BE$52:$BG$82,MATCH($AO$115,$AY$52:$AY$82,0),MATCH(AY88,$BE$51:$BG$51,0)))</f>
        <v>0.52193444264162669</v>
      </c>
      <c r="AZ115" s="823" cm="1">
        <f t="array" ref="AZ115">INDEX($I$43:$CH$43,MATCH(AZ$88&amp;AO115,$I$33:$CH$33&amp;$I$32:$CH$32,0))</f>
        <v>1676.0939551367242</v>
      </c>
      <c r="BA115" s="814" cm="1">
        <f t="array" ref="BA115">INDEX($I$43:$CH$43,MATCH(BA$88&amp;AO115,$I$33:$CH$33&amp;$I$32:$CH$32,0))</f>
        <v>8889.5641738149861</v>
      </c>
      <c r="BB115" s="814" cm="1">
        <f t="array" ref="BB115">INDEX($I$43:$CH$43,MATCH(BB$88&amp;AO115,$I$33:$CH$33&amp;$I$32:$CH$32,0))</f>
        <v>14494.215013491199</v>
      </c>
      <c r="BC115" s="823">
        <f t="shared" si="33"/>
        <v>1964.5600995057864</v>
      </c>
      <c r="BD115" s="814">
        <f t="shared" si="34"/>
        <v>11609.409606285537</v>
      </c>
      <c r="BE115" s="814">
        <f t="shared" si="35"/>
        <v>22059.245048085628</v>
      </c>
      <c r="BF115" s="823">
        <f t="shared" si="39"/>
        <v>3262.0560002502193</v>
      </c>
      <c r="BG115" s="814">
        <f t="shared" si="40"/>
        <v>10352.765517452086</v>
      </c>
      <c r="BH115" s="827">
        <f t="shared" si="41"/>
        <v>18710.809290993046</v>
      </c>
      <c r="BI115" s="823">
        <f t="shared" si="37"/>
        <v>6105.0926771343957</v>
      </c>
      <c r="BJ115" s="814">
        <f t="shared" si="38"/>
        <v>11578.938384341431</v>
      </c>
      <c r="BK115" s="827">
        <f t="shared" si="32"/>
        <v>18468.441736903158</v>
      </c>
      <c r="BM115" s="1338"/>
      <c r="BN115" s="1338"/>
      <c r="BO115" s="803" t="s">
        <v>1053</v>
      </c>
      <c r="CA115" s="804">
        <v>189</v>
      </c>
      <c r="CB115" s="804">
        <v>170</v>
      </c>
      <c r="CC115" s="804">
        <v>170</v>
      </c>
      <c r="CD115" s="804">
        <v>170</v>
      </c>
      <c r="CE115" s="804">
        <v>170</v>
      </c>
      <c r="CF115" s="804">
        <v>170</v>
      </c>
      <c r="CG115" s="804">
        <v>170</v>
      </c>
      <c r="CH115" s="804">
        <v>170</v>
      </c>
      <c r="CI115" s="804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794" t="s">
        <v>1018</v>
      </c>
      <c r="AP116" s="794">
        <v>667</v>
      </c>
      <c r="AQ116" s="794">
        <v>812</v>
      </c>
      <c r="AR116" s="794">
        <v>792</v>
      </c>
      <c r="AS116" s="794">
        <v>837</v>
      </c>
      <c r="AT116" s="794">
        <v>694</v>
      </c>
      <c r="AU116" s="811">
        <f t="shared" si="28"/>
        <v>2.753416423455458E-2</v>
      </c>
      <c r="AV116" s="794">
        <f t="shared" si="29"/>
        <v>828</v>
      </c>
      <c r="AW116" s="809">
        <f>AVERAGE(SUM(CA215:CI215)/SUM($CA$215:$CI$219),INDEX($BE$52:$BG$82,MATCH($AO$116,$AY$52:$AY$82,0),MATCH(AW88,$BE$51:$BG$51,0)))</f>
        <v>8.0456186627143988E-2</v>
      </c>
      <c r="AX116" s="809">
        <f>AVERAGE(SUM(CA217:CI217)/SUM($CA$215:$CI$219),INDEX($BE$52:$BG$82,MATCH($AO$116,$AY$52:$AY$82,0),MATCH(AX88,$BE$51:$BG$51,0)))</f>
        <v>0.28621053444849975</v>
      </c>
      <c r="AY116" s="809">
        <f>AVERAGE(SUM(CA219:CI219)/SUM($CA$215:$CI$219),INDEX($BE$52:$BG$82,MATCH($AO$116,$AY$52:$AY$82,0),MATCH(AY88,$BE$51:$BG$51,0)))</f>
        <v>0.6333332789243562</v>
      </c>
      <c r="AZ116" s="822" cm="1">
        <f t="array" ref="AZ116">INDEX($I$43:$CH$43,MATCH(AZ$88&amp;AO116,$I$33:$CH$33&amp;$I$32:$CH$32,0))</f>
        <v>2382.2341251096568</v>
      </c>
      <c r="BA116" s="813" cm="1">
        <f t="array" ref="BA116">INDEX($I$43:$CH$43,MATCH(BA$88&amp;AO116,$I$33:$CH$33&amp;$I$32:$CH$32,0))</f>
        <v>21954.232438086234</v>
      </c>
      <c r="BB116" s="813" cm="1">
        <f t="array" ref="BB116">INDEX($I$43:$CH$43,MATCH(BB$88&amp;AO116,$I$33:$CH$33&amp;$I$32:$CH$32,0))</f>
        <v>34965.040184897764</v>
      </c>
      <c r="BC116" s="822">
        <f t="shared" si="33"/>
        <v>2573.8995984690305</v>
      </c>
      <c r="BD116" s="813">
        <f t="shared" si="34"/>
        <v>28237.765037597484</v>
      </c>
      <c r="BE116" s="813">
        <f t="shared" si="35"/>
        <v>57109.563732920942</v>
      </c>
      <c r="BF116" s="822">
        <f t="shared" si="39"/>
        <v>4273.8344484038525</v>
      </c>
      <c r="BG116" s="813">
        <f t="shared" si="40"/>
        <v>25181.208182445032</v>
      </c>
      <c r="BH116" s="826">
        <f t="shared" si="41"/>
        <v>48440.740078329669</v>
      </c>
      <c r="BI116" s="822">
        <f t="shared" si="37"/>
        <v>7998.6840790696597</v>
      </c>
      <c r="BJ116" s="813">
        <f t="shared" si="38"/>
        <v>28163.649364635072</v>
      </c>
      <c r="BK116" s="826">
        <f t="shared" si="32"/>
        <v>47813.270495988276</v>
      </c>
      <c r="BM116" s="1338"/>
      <c r="BN116" s="1337" t="s">
        <v>1055</v>
      </c>
      <c r="BO116" s="803" t="s">
        <v>1052</v>
      </c>
      <c r="BP116" s="804">
        <v>365</v>
      </c>
      <c r="BQ116" s="804">
        <v>293</v>
      </c>
      <c r="BR116" s="804">
        <v>222</v>
      </c>
      <c r="BS116" s="804">
        <v>229</v>
      </c>
      <c r="BT116" s="804">
        <v>197</v>
      </c>
      <c r="BU116" s="804">
        <v>242</v>
      </c>
      <c r="BV116" s="804">
        <v>263</v>
      </c>
      <c r="BW116" s="804">
        <v>317</v>
      </c>
      <c r="BX116" s="804">
        <v>310</v>
      </c>
      <c r="BY116" s="804">
        <v>289</v>
      </c>
      <c r="BZ116" s="804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795" t="s">
        <v>1019</v>
      </c>
      <c r="AP117" s="795">
        <v>510</v>
      </c>
      <c r="AQ117" s="795">
        <v>573</v>
      </c>
      <c r="AR117" s="795">
        <v>571</v>
      </c>
      <c r="AS117" s="795">
        <v>615</v>
      </c>
      <c r="AT117" s="795">
        <v>500</v>
      </c>
      <c r="AU117" s="812">
        <f t="shared" si="28"/>
        <v>2.0053156434897853E-2</v>
      </c>
      <c r="AV117" s="795">
        <f t="shared" si="29"/>
        <v>606.20000000000005</v>
      </c>
      <c r="AW117" s="810">
        <f>AVERAGE(SUM(CA221:CI221)/SUM($CA$221:$CI$225),INDEX($BE$52:$BG$82,MATCH($AO$117,$AY$52:$AY$82,0),MATCH(AW88,$BE$51:$BG$51,0)))</f>
        <v>7.4483540410172216E-2</v>
      </c>
      <c r="AX117" s="810">
        <f>AVERAGE(SUM(CA223:CI223)/SUM($CA$221:$CI$225),INDEX($BE$52:$BG$82,MATCH($AO$117,$AY$52:$AY$82,0),MATCH(AX88,$BE$51:$BG$51,0)))</f>
        <v>0.63108761130399582</v>
      </c>
      <c r="AY117" s="810">
        <f>AVERAGE(SUM(CA225:CI225)/SUM($CA$221:$CI$225),INDEX($BE$52:$BG$82,MATCH($AO$117,$AY$52:$AY$82,0),MATCH(AY88,$BE$51:$BG$51,0)))</f>
        <v>0.29442884828583188</v>
      </c>
      <c r="AZ117" s="823" cm="1">
        <f t="array" ref="AZ117">INDEX($I$43:$CH$43,MATCH(AZ$88&amp;AO117,$I$33:$CH$33&amp;$I$32:$CH$32,0))</f>
        <v>3199.1719442467102</v>
      </c>
      <c r="BA117" s="814" cm="1">
        <f t="array" ref="BA117">INDEX($I$43:$CH$43,MATCH(BA$88&amp;AO117,$I$33:$CH$33&amp;$I$32:$CH$32,0))</f>
        <v>21769.226916806354</v>
      </c>
      <c r="BB117" s="814" cm="1">
        <f t="array" ref="BB117">INDEX($I$43:$CH$43,MATCH(BB$88&amp;AO117,$I$33:$CH$33&amp;$I$32:$CH$32,0))</f>
        <v>19142.703253806059</v>
      </c>
      <c r="BC117" s="823">
        <f t="shared" si="33"/>
        <v>3437.4575970350993</v>
      </c>
      <c r="BD117" s="814">
        <f t="shared" si="34"/>
        <v>35507.516331668325</v>
      </c>
      <c r="BE117" s="814">
        <f t="shared" si="35"/>
        <v>24778.867325901625</v>
      </c>
      <c r="BF117" s="823">
        <f t="shared" si="39"/>
        <v>5707.7302867114549</v>
      </c>
      <c r="BG117" s="814">
        <f t="shared" si="40"/>
        <v>31664.055551096844</v>
      </c>
      <c r="BH117" s="827">
        <f t="shared" si="41"/>
        <v>21017.612342177581</v>
      </c>
      <c r="BI117" s="823">
        <f t="shared" si="37"/>
        <v>10682.288217549727</v>
      </c>
      <c r="BJ117" s="814">
        <f t="shared" si="38"/>
        <v>35414.319739634877</v>
      </c>
      <c r="BK117" s="827">
        <f t="shared" si="32"/>
        <v>20745.363974030555</v>
      </c>
      <c r="BM117" s="1338"/>
      <c r="BN117" s="1338"/>
      <c r="BO117" s="803" t="s">
        <v>1053</v>
      </c>
      <c r="CA117" s="804">
        <v>313</v>
      </c>
      <c r="CB117" s="804">
        <v>324</v>
      </c>
      <c r="CC117" s="804">
        <v>324</v>
      </c>
      <c r="CD117" s="804">
        <v>324</v>
      </c>
      <c r="CE117" s="804">
        <v>324</v>
      </c>
      <c r="CF117" s="804">
        <v>324</v>
      </c>
      <c r="CG117" s="804">
        <v>324</v>
      </c>
      <c r="CH117" s="804">
        <v>324</v>
      </c>
      <c r="CI117" s="804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794" t="s">
        <v>1020</v>
      </c>
      <c r="AP118" s="794">
        <v>507</v>
      </c>
      <c r="AQ118" s="794">
        <v>574</v>
      </c>
      <c r="AR118" s="794">
        <v>530</v>
      </c>
      <c r="AS118" s="794">
        <v>535</v>
      </c>
      <c r="AT118" s="794">
        <v>426</v>
      </c>
      <c r="AU118" s="811">
        <f t="shared" si="28"/>
        <v>1.8626478277557701E-2</v>
      </c>
      <c r="AV118" s="794">
        <f t="shared" si="29"/>
        <v>534</v>
      </c>
      <c r="AW118" s="809">
        <f>AVERAGE(SUM(CA227:CI227)/SUM($CA$227:$CI$231),INDEX($BE$52:$BG$82,MATCH($AO$118,$AY$52:$AY$82,0),MATCH(AW88,$BE$51:$BG$51,0)))</f>
        <v>7.8167222122140154E-2</v>
      </c>
      <c r="AX118" s="809">
        <f>AVERAGE(SUM(CA229:CI229)/SUM($CA$227:$CI$231),INDEX($BE$52:$BG$82,MATCH($AO$118,$AY$52:$AY$82,0),MATCH(AX88,$BE$51:$BG$51,0)))</f>
        <v>0.33560507115834981</v>
      </c>
      <c r="AY118" s="809">
        <f>AVERAGE(SUM(CA231:CI231)/SUM($CA$227:$CI$231),INDEX($BE$52:$BG$82,MATCH($AO$118,$AY$52:$AY$82,0),MATCH(AY88,$BE$51:$BG$51,0)))</f>
        <v>0.58622770671951008</v>
      </c>
      <c r="AZ118" s="822" cm="1">
        <f t="array" ref="AZ118">INDEX($I$43:$CH$43,MATCH(AZ$88&amp;AO118,$I$33:$CH$33&amp;$I$32:$CH$32,0))</f>
        <v>2888.9605821519499</v>
      </c>
      <c r="BA118" s="813" cm="1">
        <f t="array" ref="BA118">INDEX($I$43:$CH$43,MATCH(BA$88&amp;AO118,$I$33:$CH$33&amp;$I$32:$CH$32,0))</f>
        <v>12264.197780781444</v>
      </c>
      <c r="BB118" s="813" cm="1">
        <f t="array" ref="BB118">INDEX($I$43:$CH$43,MATCH(BB$88&amp;AO118,$I$33:$CH$33&amp;$I$32:$CH$32,0))</f>
        <v>16822.932669034672</v>
      </c>
      <c r="BC118" s="822">
        <f t="shared" si="33"/>
        <v>3114.7826056791287</v>
      </c>
      <c r="BD118" s="813">
        <f t="shared" si="34"/>
        <v>16380.124749700675</v>
      </c>
      <c r="BE118" s="813">
        <f t="shared" si="35"/>
        <v>26685.001907899594</v>
      </c>
      <c r="BF118" s="822">
        <f t="shared" si="39"/>
        <v>5171.9442387568897</v>
      </c>
      <c r="BG118" s="813">
        <f t="shared" si="40"/>
        <v>14607.081361695711</v>
      </c>
      <c r="BH118" s="826">
        <f t="shared" si="41"/>
        <v>22634.409316370762</v>
      </c>
      <c r="BI118" s="822">
        <f t="shared" si="37"/>
        <v>9679.5391912830764</v>
      </c>
      <c r="BJ118" s="813">
        <f t="shared" si="38"/>
        <v>16337.131829849692</v>
      </c>
      <c r="BK118" s="826">
        <f t="shared" si="32"/>
        <v>22341.218020421904</v>
      </c>
      <c r="BM118" s="803" t="s">
        <v>333</v>
      </c>
      <c r="BN118" s="1337" t="s">
        <v>42</v>
      </c>
      <c r="BO118" s="803" t="s">
        <v>1052</v>
      </c>
      <c r="BP118" s="804">
        <v>447</v>
      </c>
      <c r="BQ118" s="804">
        <v>201</v>
      </c>
      <c r="BR118" s="804">
        <v>283</v>
      </c>
      <c r="BS118" s="804">
        <v>605</v>
      </c>
      <c r="BT118" s="804">
        <v>347</v>
      </c>
      <c r="BU118" s="804">
        <v>839</v>
      </c>
      <c r="BV118" s="804">
        <v>1775</v>
      </c>
      <c r="BW118" s="804">
        <v>1698</v>
      </c>
      <c r="BX118" s="804">
        <v>2572</v>
      </c>
      <c r="BY118" s="804">
        <v>2945</v>
      </c>
      <c r="BZ118" s="804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795" t="s">
        <v>1021</v>
      </c>
      <c r="AP119" s="795">
        <v>701</v>
      </c>
      <c r="AQ119" s="795">
        <v>805</v>
      </c>
      <c r="AR119" s="795">
        <v>844</v>
      </c>
      <c r="AS119" s="795">
        <v>911</v>
      </c>
      <c r="AT119" s="795">
        <v>814</v>
      </c>
      <c r="AU119" s="812">
        <f t="shared" si="28"/>
        <v>2.9511235995741691E-2</v>
      </c>
      <c r="AV119" s="795">
        <f t="shared" si="29"/>
        <v>897.6</v>
      </c>
      <c r="AW119" s="810">
        <f>AVERAGE(SUM(CA233:CI233)/SUM($CA$233:$CI$237),INDEX($BE$52:$BG$82,MATCH($AO$119,$AY$52:$AY$82,0),MATCH(AW88,$BE$51:$BG$51,0)))</f>
        <v>8.5960141998377856E-2</v>
      </c>
      <c r="AX119" s="810">
        <f>AVERAGE(SUM(CA235:CI235)/SUM($CA$233:$CI$237),INDEX($BE$52:$BG$82,MATCH($AO$119,$AY$52:$AY$82,0),MATCH(AX88,$BE$51:$BG$51,0)))</f>
        <v>0.48801011958034135</v>
      </c>
      <c r="AY119" s="810">
        <f>AVERAGE(SUM(CA237:CI237)/SUM($CA$233:$CI$237),INDEX($BE$52:$BG$82,MATCH($AO$119,$AY$52:$AY$82,0),MATCH(AY88,$BE$51:$BG$51,0)))</f>
        <v>0.42602973842128078</v>
      </c>
      <c r="AZ119" s="823" cm="1">
        <f t="array" ref="AZ119">INDEX($I$43:$CH$43,MATCH(AZ$88&amp;AO119,$I$33:$CH$33&amp;$I$32:$CH$32,0))</f>
        <v>2668.9797196485479</v>
      </c>
      <c r="BA119" s="814" cm="1">
        <f t="array" ref="BA119">INDEX($I$43:$CH$43,MATCH(BA$88&amp;AO119,$I$33:$CH$33&amp;$I$32:$CH$32,0))</f>
        <v>18385.501077566361</v>
      </c>
      <c r="BB119" s="814" cm="1">
        <f t="array" ref="BB119">INDEX($I$43:$CH$43,MATCH(BB$88&amp;AO119,$I$33:$CH$33&amp;$I$32:$CH$32,0))</f>
        <v>33878.287885206948</v>
      </c>
      <c r="BC119" s="823">
        <f t="shared" si="33"/>
        <v>2898.4055953403276</v>
      </c>
      <c r="BD119" s="814">
        <f t="shared" si="34"/>
        <v>27357.811656974012</v>
      </c>
      <c r="BE119" s="814">
        <f t="shared" si="35"/>
        <v>48311.446011102511</v>
      </c>
      <c r="BF119" s="823">
        <f t="shared" si="39"/>
        <v>4812.6607915009608</v>
      </c>
      <c r="BG119" s="814">
        <f t="shared" si="40"/>
        <v>24396.504108350535</v>
      </c>
      <c r="BH119" s="827">
        <f t="shared" si="41"/>
        <v>40978.113753004131</v>
      </c>
      <c r="BI119" s="823">
        <f t="shared" si="37"/>
        <v>9007.1231620397029</v>
      </c>
      <c r="BJ119" s="814">
        <f t="shared" si="38"/>
        <v>27286.005597994634</v>
      </c>
      <c r="BK119" s="827">
        <f t="shared" si="32"/>
        <v>40447.31013852264</v>
      </c>
      <c r="BN119" s="1338"/>
      <c r="BO119" s="803" t="s">
        <v>1053</v>
      </c>
      <c r="CA119" s="804">
        <v>6424</v>
      </c>
      <c r="CB119" s="804">
        <v>9014</v>
      </c>
      <c r="CC119" s="804">
        <v>12885</v>
      </c>
      <c r="CD119" s="804">
        <v>18419</v>
      </c>
      <c r="CE119" s="804">
        <v>26329</v>
      </c>
      <c r="CF119" s="804">
        <v>37636</v>
      </c>
      <c r="CG119" s="881">
        <v>3736</v>
      </c>
      <c r="CH119" s="881">
        <v>3736</v>
      </c>
      <c r="CI119" s="881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794" t="s">
        <v>1022</v>
      </c>
      <c r="AP120" s="794">
        <v>682</v>
      </c>
      <c r="AQ120" s="794">
        <v>839</v>
      </c>
      <c r="AR120" s="794">
        <v>827</v>
      </c>
      <c r="AS120" s="794">
        <v>881</v>
      </c>
      <c r="AT120" s="794">
        <v>773</v>
      </c>
      <c r="AU120" s="811">
        <f t="shared" si="28"/>
        <v>2.8982568455204478E-2</v>
      </c>
      <c r="AV120" s="794">
        <f t="shared" si="29"/>
        <v>870.2</v>
      </c>
      <c r="AW120" s="809">
        <f>AVERAGE(SUM(CA239:CI239)/SUM($CA$239:$CI$243),INDEX($BE$52:$BG$82,MATCH($AO$120,$AY$52:$AY$82,0),MATCH(AW88,$BE$51:$BG$51,0)))</f>
        <v>0.10275360570261555</v>
      </c>
      <c r="AX120" s="809">
        <f>AVERAGE(SUM(CA241:CI241)/SUM($CA$239:$CI$243),INDEX($BE$52:$BG$82,MATCH($AO$120,$AY$52:$AY$82,0),MATCH(AX88,$BE$51:$BG$51,0)))</f>
        <v>0.72065189270499874</v>
      </c>
      <c r="AY120" s="809">
        <f>AVERAGE(SUM(CA243:CI243)/SUM($CA$239:$CI$243),INDEX($BE$52:$BG$82,MATCH($AO$120,$AY$52:$AY$82,0),MATCH(AY88,$BE$51:$BG$51,0)))</f>
        <v>0.17659450159238568</v>
      </c>
      <c r="AZ120" s="824" cm="1">
        <f t="array" ref="AZ120">INDEX($I$43:$CH$43,MATCH(AZ$88&amp;AO120,$I$33:$CH$33&amp;$I$32:$CH$32,0))</f>
        <v>4513.1911767694201</v>
      </c>
      <c r="BA120" s="825" cm="1">
        <f t="array" ref="BA120">INDEX($I$43:$CH$43,MATCH(BA$88&amp;AO120,$I$33:$CH$33&amp;$I$32:$CH$32,0))</f>
        <v>23167.339151815657</v>
      </c>
      <c r="BB120" s="825" cm="1">
        <f t="array" ref="BB120">INDEX($I$43:$CH$43,MATCH(BB$88&amp;AO120,$I$33:$CH$33&amp;$I$32:$CH$32,0))</f>
        <v>22529.580764463226</v>
      </c>
      <c r="BC120" s="824">
        <f t="shared" si="33"/>
        <v>4976.937843407708</v>
      </c>
      <c r="BD120" s="825">
        <f t="shared" si="34"/>
        <v>39862.925960510227</v>
      </c>
      <c r="BE120" s="825">
        <f t="shared" si="35"/>
        <v>26508.180850649012</v>
      </c>
      <c r="BF120" s="824">
        <f t="shared" si="39"/>
        <v>8263.9619724765162</v>
      </c>
      <c r="BG120" s="825">
        <f t="shared" si="40"/>
        <v>35548.020037580325</v>
      </c>
      <c r="BH120" s="828">
        <f t="shared" si="41"/>
        <v>22484.428432000717</v>
      </c>
      <c r="BI120" s="824">
        <f t="shared" si="37"/>
        <v>15466.397179696949</v>
      </c>
      <c r="BJ120" s="825">
        <f t="shared" si="38"/>
        <v>39758.297723116782</v>
      </c>
      <c r="BK120" s="828">
        <f t="shared" si="32"/>
        <v>22193.179890079206</v>
      </c>
      <c r="BN120" s="1337" t="s">
        <v>1054</v>
      </c>
      <c r="BO120" s="803" t="s">
        <v>1052</v>
      </c>
      <c r="BP120" s="804">
        <v>318</v>
      </c>
      <c r="BQ120" s="804">
        <v>226</v>
      </c>
      <c r="BR120" s="804">
        <v>412</v>
      </c>
      <c r="BS120" s="804">
        <v>949</v>
      </c>
      <c r="BT120" s="804">
        <v>1577</v>
      </c>
      <c r="BU120" s="804">
        <v>2487</v>
      </c>
      <c r="BV120" s="804">
        <v>3492</v>
      </c>
      <c r="BW120" s="804">
        <v>4884</v>
      </c>
      <c r="BX120" s="804">
        <v>4036</v>
      </c>
      <c r="BY120" s="804">
        <v>2845</v>
      </c>
      <c r="BZ120" s="804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338"/>
      <c r="BO121" s="803" t="s">
        <v>1053</v>
      </c>
      <c r="CA121" s="804">
        <v>2301</v>
      </c>
      <c r="CB121" s="804">
        <v>2272</v>
      </c>
      <c r="CC121" s="804">
        <v>2272</v>
      </c>
      <c r="CD121" s="804">
        <v>2272</v>
      </c>
      <c r="CE121" s="804">
        <v>2272</v>
      </c>
      <c r="CF121" s="804">
        <v>2272</v>
      </c>
      <c r="CG121" s="804">
        <v>2272</v>
      </c>
      <c r="CH121" s="804">
        <v>2272</v>
      </c>
      <c r="CI121" s="804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29" t="s">
        <v>216</v>
      </c>
      <c r="BC122" s="830">
        <f>SUM(BC90:BC120)</f>
        <v>296803.67984025157</v>
      </c>
      <c r="BD122" s="830">
        <f>SUM(BD90:BD120)</f>
        <v>1125234.4031790772</v>
      </c>
      <c r="BE122" s="830">
        <f t="shared" ref="BE122:BK122" si="44">SUM(BE90:BE120)</f>
        <v>1034575.1080550611</v>
      </c>
      <c r="BF122" s="830">
        <f>SUM(BF90:BF120)</f>
        <v>492828.00000000006</v>
      </c>
      <c r="BG122" s="830">
        <f>SUM(BG90:BG120)</f>
        <v>1003434.9999999993</v>
      </c>
      <c r="BH122" s="830">
        <f t="shared" si="44"/>
        <v>877533.99999999988</v>
      </c>
      <c r="BI122" s="830">
        <f t="shared" si="44"/>
        <v>922351.00000000023</v>
      </c>
      <c r="BJ122" s="830">
        <f t="shared" si="44"/>
        <v>1122281</v>
      </c>
      <c r="BK122" s="830">
        <f t="shared" si="44"/>
        <v>866167.00000000023</v>
      </c>
      <c r="BN122" s="803" t="s">
        <v>1055</v>
      </c>
      <c r="BO122" s="803" t="s">
        <v>1052</v>
      </c>
      <c r="BP122" s="804">
        <v>199</v>
      </c>
      <c r="BQ122" s="804">
        <v>157</v>
      </c>
      <c r="BR122" s="804">
        <v>134</v>
      </c>
      <c r="BS122" s="804">
        <v>154</v>
      </c>
      <c r="BT122" s="804">
        <v>193</v>
      </c>
      <c r="BU122" s="804">
        <v>241</v>
      </c>
      <c r="BV122" s="804">
        <v>298</v>
      </c>
      <c r="BW122" s="804">
        <v>272</v>
      </c>
      <c r="BX122" s="804">
        <v>297</v>
      </c>
      <c r="BY122" s="804">
        <v>248</v>
      </c>
      <c r="BZ122" s="804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0" t="s">
        <v>1058</v>
      </c>
      <c r="BF123" s="734">
        <v>492828</v>
      </c>
      <c r="BG123" s="734">
        <v>1003435</v>
      </c>
      <c r="BH123" s="734">
        <v>877534</v>
      </c>
      <c r="BI123" s="734">
        <v>922351</v>
      </c>
      <c r="BJ123" s="734">
        <v>1122281</v>
      </c>
      <c r="BK123" s="734">
        <v>866167</v>
      </c>
      <c r="BO123" s="803" t="s">
        <v>1053</v>
      </c>
      <c r="CA123" s="804">
        <v>237</v>
      </c>
      <c r="CB123" s="804">
        <v>242</v>
      </c>
      <c r="CC123" s="804">
        <v>242</v>
      </c>
      <c r="CD123" s="804">
        <v>242</v>
      </c>
      <c r="CE123" s="804">
        <v>242</v>
      </c>
      <c r="CF123" s="804">
        <v>242</v>
      </c>
      <c r="CG123" s="804">
        <v>242</v>
      </c>
      <c r="CH123" s="804">
        <v>242</v>
      </c>
      <c r="CI123" s="804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337" t="s">
        <v>335</v>
      </c>
      <c r="BN124" s="1337" t="s">
        <v>42</v>
      </c>
      <c r="BO124" s="803" t="s">
        <v>1052</v>
      </c>
      <c r="BP124" s="804">
        <v>18</v>
      </c>
      <c r="BQ124" s="804">
        <v>24</v>
      </c>
      <c r="BR124" s="804">
        <v>30</v>
      </c>
      <c r="BS124" s="804">
        <v>34</v>
      </c>
      <c r="BT124" s="804">
        <v>33</v>
      </c>
      <c r="BU124" s="804">
        <v>48</v>
      </c>
      <c r="BV124" s="804">
        <v>65</v>
      </c>
      <c r="BW124" s="804">
        <v>31</v>
      </c>
      <c r="BX124" s="804">
        <v>103</v>
      </c>
      <c r="BY124" s="804">
        <v>63</v>
      </c>
      <c r="BZ124" s="804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338"/>
      <c r="BN125" s="1338"/>
      <c r="BO125" s="803" t="s">
        <v>1053</v>
      </c>
      <c r="CA125" s="804">
        <v>88</v>
      </c>
      <c r="CB125" s="804">
        <v>109</v>
      </c>
      <c r="CC125" s="804">
        <v>123</v>
      </c>
      <c r="CD125" s="804">
        <v>136</v>
      </c>
      <c r="CE125" s="804">
        <v>150</v>
      </c>
      <c r="CF125" s="804">
        <v>163</v>
      </c>
      <c r="CG125" s="804">
        <v>176</v>
      </c>
      <c r="CH125" s="804">
        <v>190</v>
      </c>
      <c r="CI125" s="804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338"/>
      <c r="BN126" s="1337" t="s">
        <v>1054</v>
      </c>
      <c r="BO126" s="803" t="s">
        <v>1052</v>
      </c>
      <c r="BP126" s="804">
        <v>35</v>
      </c>
      <c r="BQ126" s="804">
        <v>9</v>
      </c>
      <c r="BR126" s="804">
        <v>14</v>
      </c>
      <c r="BS126" s="804">
        <v>23</v>
      </c>
      <c r="BT126" s="804">
        <v>59</v>
      </c>
      <c r="BU126" s="804">
        <v>128</v>
      </c>
      <c r="BV126" s="804">
        <v>192</v>
      </c>
      <c r="BW126" s="804">
        <v>219</v>
      </c>
      <c r="BX126" s="804">
        <v>477</v>
      </c>
      <c r="BY126" s="804">
        <v>540</v>
      </c>
      <c r="BZ126" s="804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338"/>
      <c r="BN127" s="1338"/>
      <c r="BO127" s="803" t="s">
        <v>1053</v>
      </c>
      <c r="CA127" s="804">
        <v>321</v>
      </c>
      <c r="CB127" s="804">
        <v>346</v>
      </c>
      <c r="CC127" s="804">
        <v>346</v>
      </c>
      <c r="CD127" s="804">
        <v>346</v>
      </c>
      <c r="CE127" s="804">
        <v>346</v>
      </c>
      <c r="CF127" s="804">
        <v>346</v>
      </c>
      <c r="CG127" s="804">
        <v>346</v>
      </c>
      <c r="CH127" s="804">
        <v>346</v>
      </c>
      <c r="CI127" s="804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338"/>
      <c r="BN128" s="1337" t="s">
        <v>1055</v>
      </c>
      <c r="BO128" s="803" t="s">
        <v>1052</v>
      </c>
      <c r="BP128" s="804">
        <v>419</v>
      </c>
      <c r="BQ128" s="804">
        <v>300</v>
      </c>
      <c r="BR128" s="804">
        <v>267</v>
      </c>
      <c r="BS128" s="804">
        <v>253</v>
      </c>
      <c r="BT128" s="804">
        <v>297</v>
      </c>
      <c r="BU128" s="804">
        <v>333</v>
      </c>
      <c r="BV128" s="804">
        <v>383</v>
      </c>
      <c r="BW128" s="804">
        <v>424</v>
      </c>
      <c r="BX128" s="804">
        <v>463</v>
      </c>
      <c r="BY128" s="804">
        <v>449</v>
      </c>
      <c r="BZ128" s="804">
        <v>446</v>
      </c>
    </row>
    <row r="129" spans="65:87">
      <c r="BM129" s="1338"/>
      <c r="BN129" s="1338"/>
      <c r="BO129" s="803" t="s">
        <v>1053</v>
      </c>
      <c r="CA129" s="804">
        <v>454</v>
      </c>
      <c r="CB129" s="804">
        <v>454</v>
      </c>
      <c r="CC129" s="804">
        <v>454</v>
      </c>
      <c r="CD129" s="804">
        <v>454</v>
      </c>
      <c r="CE129" s="804">
        <v>454</v>
      </c>
      <c r="CF129" s="804">
        <v>454</v>
      </c>
      <c r="CG129" s="804">
        <v>454</v>
      </c>
      <c r="CH129" s="804">
        <v>454</v>
      </c>
      <c r="CI129" s="804">
        <v>454</v>
      </c>
    </row>
    <row r="130" spans="65:87">
      <c r="BM130" s="1337" t="s">
        <v>895</v>
      </c>
      <c r="BN130" s="1337" t="s">
        <v>42</v>
      </c>
      <c r="BO130" s="803" t="s">
        <v>1052</v>
      </c>
      <c r="BP130" s="804">
        <v>12</v>
      </c>
      <c r="BQ130" s="804">
        <v>26</v>
      </c>
      <c r="BR130" s="804">
        <v>6</v>
      </c>
      <c r="BS130" s="804">
        <v>2</v>
      </c>
      <c r="BT130" s="804">
        <v>0</v>
      </c>
      <c r="BU130" s="804">
        <v>11</v>
      </c>
      <c r="BV130" s="804">
        <v>27</v>
      </c>
      <c r="BW130" s="804">
        <v>26</v>
      </c>
      <c r="BX130" s="804">
        <v>17</v>
      </c>
      <c r="BY130" s="804">
        <v>55</v>
      </c>
      <c r="BZ130" s="804">
        <v>24</v>
      </c>
    </row>
    <row r="131" spans="65:87">
      <c r="BM131" s="1338"/>
      <c r="BN131" s="1338"/>
      <c r="BO131" s="803" t="s">
        <v>1053</v>
      </c>
      <c r="CA131" s="804">
        <v>40</v>
      </c>
      <c r="CB131" s="804">
        <v>34</v>
      </c>
      <c r="CC131" s="804">
        <v>34</v>
      </c>
      <c r="CD131" s="804">
        <v>34</v>
      </c>
      <c r="CE131" s="804">
        <v>34</v>
      </c>
      <c r="CF131" s="804">
        <v>34</v>
      </c>
      <c r="CG131" s="804">
        <v>34</v>
      </c>
      <c r="CH131" s="804">
        <v>34</v>
      </c>
      <c r="CI131" s="804">
        <v>34</v>
      </c>
    </row>
    <row r="132" spans="65:87">
      <c r="BM132" s="1338"/>
      <c r="BN132" s="1337" t="s">
        <v>1054</v>
      </c>
      <c r="BO132" s="803" t="s">
        <v>1052</v>
      </c>
      <c r="BP132" s="804">
        <v>33</v>
      </c>
      <c r="BQ132" s="804">
        <v>7</v>
      </c>
      <c r="BR132" s="804">
        <v>16</v>
      </c>
      <c r="BS132" s="804">
        <v>29</v>
      </c>
      <c r="BT132" s="804">
        <v>34</v>
      </c>
      <c r="BU132" s="804">
        <v>53</v>
      </c>
      <c r="BV132" s="804">
        <v>68</v>
      </c>
      <c r="BW132" s="804">
        <v>170</v>
      </c>
      <c r="BX132" s="804">
        <v>190</v>
      </c>
      <c r="BY132" s="804">
        <v>289</v>
      </c>
      <c r="BZ132" s="804">
        <v>196</v>
      </c>
    </row>
    <row r="133" spans="65:87">
      <c r="BM133" s="1338"/>
      <c r="BN133" s="1338"/>
      <c r="BO133" s="803" t="s">
        <v>1053</v>
      </c>
      <c r="CA133" s="804">
        <v>265</v>
      </c>
      <c r="CB133" s="804">
        <v>249</v>
      </c>
      <c r="CC133" s="804">
        <v>249</v>
      </c>
      <c r="CD133" s="804">
        <v>249</v>
      </c>
      <c r="CE133" s="804">
        <v>249</v>
      </c>
      <c r="CF133" s="804">
        <v>249</v>
      </c>
      <c r="CG133" s="804">
        <v>249</v>
      </c>
      <c r="CH133" s="804">
        <v>249</v>
      </c>
      <c r="CI133" s="804">
        <v>249</v>
      </c>
    </row>
    <row r="134" spans="65:87">
      <c r="BM134" s="1338"/>
      <c r="BN134" s="1337" t="s">
        <v>1055</v>
      </c>
      <c r="BO134" s="803" t="s">
        <v>1052</v>
      </c>
      <c r="BP134" s="804">
        <v>240</v>
      </c>
      <c r="BQ134" s="804">
        <v>185</v>
      </c>
      <c r="BR134" s="804">
        <v>172</v>
      </c>
      <c r="BS134" s="804">
        <v>147</v>
      </c>
      <c r="BT134" s="804">
        <v>158</v>
      </c>
      <c r="BU134" s="804">
        <v>188</v>
      </c>
      <c r="BV134" s="804">
        <v>211</v>
      </c>
      <c r="BW134" s="804">
        <v>200</v>
      </c>
      <c r="BX134" s="804">
        <v>230</v>
      </c>
      <c r="BY134" s="804">
        <v>229</v>
      </c>
      <c r="BZ134" s="804">
        <v>222</v>
      </c>
    </row>
    <row r="135" spans="65:87">
      <c r="BM135" s="1338"/>
      <c r="BN135" s="1338"/>
      <c r="BO135" s="803" t="s">
        <v>1053</v>
      </c>
      <c r="CA135" s="804">
        <v>197</v>
      </c>
      <c r="CB135" s="804">
        <v>209</v>
      </c>
      <c r="CC135" s="804">
        <v>209</v>
      </c>
      <c r="CD135" s="804">
        <v>209</v>
      </c>
      <c r="CE135" s="804">
        <v>209</v>
      </c>
      <c r="CF135" s="804">
        <v>209</v>
      </c>
      <c r="CG135" s="804">
        <v>209</v>
      </c>
      <c r="CH135" s="804">
        <v>209</v>
      </c>
      <c r="CI135" s="804">
        <v>209</v>
      </c>
    </row>
    <row r="136" spans="65:87">
      <c r="BM136" s="1337" t="s">
        <v>893</v>
      </c>
      <c r="BN136" s="1337" t="s">
        <v>42</v>
      </c>
      <c r="BO136" s="803" t="s">
        <v>1052</v>
      </c>
      <c r="BP136" s="804">
        <v>75</v>
      </c>
      <c r="BQ136" s="804">
        <v>12</v>
      </c>
      <c r="BR136" s="804">
        <v>1</v>
      </c>
      <c r="BS136" s="804">
        <v>0</v>
      </c>
      <c r="BT136" s="804">
        <v>17</v>
      </c>
      <c r="BU136" s="804">
        <v>8</v>
      </c>
      <c r="BV136" s="804">
        <v>25</v>
      </c>
      <c r="BW136" s="804">
        <v>30</v>
      </c>
      <c r="BX136" s="804">
        <v>62</v>
      </c>
      <c r="BY136" s="804">
        <v>16</v>
      </c>
      <c r="BZ136" s="804">
        <v>253</v>
      </c>
    </row>
    <row r="137" spans="65:87">
      <c r="BM137" s="1338"/>
      <c r="BN137" s="1338"/>
      <c r="BO137" s="803" t="s">
        <v>1053</v>
      </c>
      <c r="CA137" s="804">
        <v>137</v>
      </c>
      <c r="CB137" s="881">
        <v>300</v>
      </c>
      <c r="CC137" s="881">
        <v>300</v>
      </c>
      <c r="CD137" s="881">
        <v>500</v>
      </c>
      <c r="CE137" s="881">
        <v>500</v>
      </c>
      <c r="CF137" s="881">
        <v>500</v>
      </c>
      <c r="CG137" s="881">
        <v>500</v>
      </c>
      <c r="CH137" s="881">
        <v>500</v>
      </c>
      <c r="CI137" s="881">
        <v>500</v>
      </c>
    </row>
    <row r="138" spans="65:87">
      <c r="BM138" s="1338"/>
      <c r="BN138" s="1337" t="s">
        <v>1054</v>
      </c>
      <c r="BO138" s="803" t="s">
        <v>1052</v>
      </c>
      <c r="BP138" s="804">
        <v>52</v>
      </c>
      <c r="BQ138" s="804">
        <v>74</v>
      </c>
      <c r="BR138" s="804">
        <v>104</v>
      </c>
      <c r="BS138" s="804">
        <v>204</v>
      </c>
      <c r="BT138" s="804">
        <v>436</v>
      </c>
      <c r="BU138" s="804">
        <v>496</v>
      </c>
      <c r="BV138" s="804">
        <v>792</v>
      </c>
      <c r="BW138" s="804">
        <v>1032</v>
      </c>
      <c r="BX138" s="804">
        <v>1632</v>
      </c>
      <c r="BY138" s="804">
        <v>1477</v>
      </c>
      <c r="BZ138" s="804">
        <v>1607</v>
      </c>
    </row>
    <row r="139" spans="65:87">
      <c r="BM139" s="1338"/>
      <c r="BN139" s="1338"/>
      <c r="BO139" s="803" t="s">
        <v>1053</v>
      </c>
      <c r="CA139" s="804">
        <v>1533</v>
      </c>
      <c r="CB139" s="804">
        <v>1822</v>
      </c>
      <c r="CC139" s="804">
        <v>1957</v>
      </c>
      <c r="CD139" s="881">
        <v>2093</v>
      </c>
      <c r="CE139" s="881">
        <v>2093</v>
      </c>
      <c r="CF139" s="881">
        <v>2093</v>
      </c>
      <c r="CG139" s="881">
        <v>2093</v>
      </c>
      <c r="CH139" s="881">
        <v>2093</v>
      </c>
      <c r="CI139" s="881">
        <v>2093</v>
      </c>
    </row>
    <row r="140" spans="65:87">
      <c r="BM140" s="1338"/>
      <c r="BN140" s="1337" t="s">
        <v>1055</v>
      </c>
      <c r="BO140" s="803" t="s">
        <v>1052</v>
      </c>
      <c r="BP140" s="804">
        <v>159</v>
      </c>
      <c r="BQ140" s="804">
        <v>121</v>
      </c>
      <c r="BR140" s="804">
        <v>89</v>
      </c>
      <c r="BS140" s="804">
        <v>96</v>
      </c>
      <c r="BT140" s="804">
        <v>124</v>
      </c>
      <c r="BU140" s="804">
        <v>132</v>
      </c>
      <c r="BV140" s="804">
        <v>168</v>
      </c>
      <c r="BW140" s="804">
        <v>159</v>
      </c>
      <c r="BX140" s="804">
        <v>203</v>
      </c>
      <c r="BY140" s="804">
        <v>168</v>
      </c>
      <c r="BZ140" s="804">
        <v>172</v>
      </c>
    </row>
    <row r="141" spans="65:87">
      <c r="BM141" s="1338"/>
      <c r="BN141" s="1338"/>
      <c r="BO141" s="803" t="s">
        <v>1053</v>
      </c>
      <c r="CA141" s="804">
        <v>162</v>
      </c>
      <c r="CB141" s="804">
        <v>170</v>
      </c>
      <c r="CC141" s="804">
        <v>170</v>
      </c>
      <c r="CD141" s="804">
        <v>170</v>
      </c>
      <c r="CE141" s="804">
        <v>170</v>
      </c>
      <c r="CF141" s="804">
        <v>170</v>
      </c>
      <c r="CG141" s="804">
        <v>170</v>
      </c>
      <c r="CH141" s="804">
        <v>170</v>
      </c>
      <c r="CI141" s="804">
        <v>170</v>
      </c>
    </row>
    <row r="142" spans="65:87">
      <c r="BM142" s="1337" t="s">
        <v>894</v>
      </c>
      <c r="BN142" s="1337" t="s">
        <v>42</v>
      </c>
      <c r="BO142" s="803" t="s">
        <v>1052</v>
      </c>
      <c r="BP142" s="804">
        <v>11</v>
      </c>
      <c r="BQ142" s="804">
        <v>0</v>
      </c>
      <c r="BR142" s="804">
        <v>12</v>
      </c>
      <c r="BS142" s="804">
        <v>1</v>
      </c>
      <c r="BT142" s="804">
        <v>2</v>
      </c>
      <c r="BU142" s="804">
        <v>7</v>
      </c>
      <c r="BV142" s="804">
        <v>13</v>
      </c>
      <c r="BW142" s="804">
        <v>32</v>
      </c>
      <c r="BX142" s="804">
        <v>35</v>
      </c>
      <c r="BY142" s="804">
        <v>38</v>
      </c>
      <c r="BZ142" s="804">
        <v>39</v>
      </c>
    </row>
    <row r="143" spans="65:87">
      <c r="BM143" s="1338"/>
      <c r="BN143" s="1338"/>
      <c r="BO143" s="803" t="s">
        <v>1053</v>
      </c>
      <c r="CA143" s="804">
        <v>23</v>
      </c>
      <c r="CB143" s="804">
        <v>29</v>
      </c>
      <c r="CC143" s="804">
        <v>29</v>
      </c>
      <c r="CD143" s="804">
        <v>29</v>
      </c>
      <c r="CE143" s="804">
        <v>29</v>
      </c>
      <c r="CF143" s="804">
        <v>29</v>
      </c>
      <c r="CG143" s="804">
        <v>29</v>
      </c>
      <c r="CH143" s="804">
        <v>29</v>
      </c>
      <c r="CI143" s="804">
        <v>29</v>
      </c>
    </row>
    <row r="144" spans="65:87">
      <c r="BM144" s="1338"/>
      <c r="BN144" s="1337" t="s">
        <v>1054</v>
      </c>
      <c r="BO144" s="803" t="s">
        <v>1052</v>
      </c>
      <c r="BP144" s="804">
        <v>49</v>
      </c>
      <c r="BQ144" s="804">
        <v>22</v>
      </c>
      <c r="BR144" s="804">
        <v>6</v>
      </c>
      <c r="BS144" s="804">
        <v>8</v>
      </c>
      <c r="BT144" s="804">
        <v>14</v>
      </c>
      <c r="BU144" s="804">
        <v>36</v>
      </c>
      <c r="BV144" s="804">
        <v>24</v>
      </c>
      <c r="BW144" s="804">
        <v>39</v>
      </c>
      <c r="BX144" s="804">
        <v>99</v>
      </c>
      <c r="BY144" s="804">
        <v>197</v>
      </c>
      <c r="BZ144" s="804">
        <v>129</v>
      </c>
    </row>
    <row r="145" spans="65:87">
      <c r="BM145" s="1338"/>
      <c r="BN145" s="1338"/>
      <c r="BO145" s="803" t="s">
        <v>1053</v>
      </c>
      <c r="CA145" s="804">
        <v>110</v>
      </c>
      <c r="CB145" s="804">
        <v>123</v>
      </c>
      <c r="CC145" s="804">
        <v>123</v>
      </c>
      <c r="CD145" s="804">
        <v>123</v>
      </c>
      <c r="CE145" s="804">
        <v>123</v>
      </c>
      <c r="CF145" s="804">
        <v>123</v>
      </c>
      <c r="CG145" s="804">
        <v>123</v>
      </c>
      <c r="CH145" s="804">
        <v>123</v>
      </c>
      <c r="CI145" s="804">
        <v>123</v>
      </c>
    </row>
    <row r="146" spans="65:87">
      <c r="BM146" s="1338"/>
      <c r="BN146" s="1337" t="s">
        <v>1055</v>
      </c>
      <c r="BO146" s="803" t="s">
        <v>1052</v>
      </c>
      <c r="BP146" s="804">
        <v>168</v>
      </c>
      <c r="BQ146" s="804">
        <v>87</v>
      </c>
      <c r="BR146" s="804">
        <v>94</v>
      </c>
      <c r="BS146" s="804">
        <v>94</v>
      </c>
      <c r="BT146" s="804">
        <v>94</v>
      </c>
      <c r="BU146" s="804">
        <v>116</v>
      </c>
      <c r="BV146" s="804">
        <v>158</v>
      </c>
      <c r="BW146" s="804">
        <v>151</v>
      </c>
      <c r="BX146" s="804">
        <v>153</v>
      </c>
      <c r="BY146" s="804">
        <v>145</v>
      </c>
      <c r="BZ146" s="804">
        <v>155</v>
      </c>
    </row>
    <row r="147" spans="65:87">
      <c r="BM147" s="1338"/>
      <c r="BN147" s="1338"/>
      <c r="BO147" s="803" t="s">
        <v>1053</v>
      </c>
      <c r="CA147" s="804">
        <v>157</v>
      </c>
      <c r="CB147" s="804">
        <v>158</v>
      </c>
      <c r="CC147" s="804">
        <v>158</v>
      </c>
      <c r="CD147" s="804">
        <v>158</v>
      </c>
      <c r="CE147" s="804">
        <v>158</v>
      </c>
      <c r="CF147" s="804">
        <v>158</v>
      </c>
      <c r="CG147" s="804">
        <v>158</v>
      </c>
      <c r="CH147" s="804">
        <v>158</v>
      </c>
      <c r="CI147" s="804">
        <v>158</v>
      </c>
    </row>
    <row r="148" spans="65:87">
      <c r="BM148" s="1337" t="s">
        <v>900</v>
      </c>
      <c r="BN148" s="1337" t="s">
        <v>42</v>
      </c>
      <c r="BO148" s="803" t="s">
        <v>1052</v>
      </c>
      <c r="BP148" s="804">
        <v>5</v>
      </c>
      <c r="BQ148" s="804">
        <v>2</v>
      </c>
      <c r="BR148" s="804">
        <v>2</v>
      </c>
      <c r="BS148" s="804">
        <v>12</v>
      </c>
      <c r="BT148" s="804">
        <v>7</v>
      </c>
      <c r="BU148" s="804">
        <v>3</v>
      </c>
      <c r="BV148" s="804">
        <v>2</v>
      </c>
      <c r="BW148" s="804">
        <v>12</v>
      </c>
      <c r="BX148" s="804">
        <v>2</v>
      </c>
      <c r="BY148" s="804">
        <v>26</v>
      </c>
      <c r="BZ148" s="804">
        <v>18</v>
      </c>
    </row>
    <row r="149" spans="65:87">
      <c r="BM149" s="1338"/>
      <c r="BN149" s="1338"/>
      <c r="BO149" s="803" t="s">
        <v>1053</v>
      </c>
      <c r="CA149" s="804">
        <v>9</v>
      </c>
      <c r="CB149" s="804">
        <v>12</v>
      </c>
      <c r="CC149" s="804">
        <v>12</v>
      </c>
      <c r="CD149" s="804">
        <v>12</v>
      </c>
      <c r="CE149" s="804">
        <v>12</v>
      </c>
      <c r="CF149" s="804">
        <v>12</v>
      </c>
      <c r="CG149" s="804">
        <v>12</v>
      </c>
      <c r="CH149" s="804">
        <v>12</v>
      </c>
      <c r="CI149" s="804">
        <v>12</v>
      </c>
    </row>
    <row r="150" spans="65:87">
      <c r="BM150" s="1338"/>
      <c r="BN150" s="1337" t="s">
        <v>1054</v>
      </c>
      <c r="BO150" s="803" t="s">
        <v>1052</v>
      </c>
      <c r="BP150" s="804">
        <v>31</v>
      </c>
      <c r="BQ150" s="804">
        <v>32</v>
      </c>
      <c r="BR150" s="804">
        <v>20</v>
      </c>
      <c r="BS150" s="804">
        <v>11</v>
      </c>
      <c r="BT150" s="804">
        <v>21</v>
      </c>
      <c r="BU150" s="804">
        <v>33</v>
      </c>
      <c r="BV150" s="804">
        <v>18</v>
      </c>
      <c r="BW150" s="804">
        <v>105</v>
      </c>
      <c r="BX150" s="804">
        <v>97</v>
      </c>
      <c r="BY150" s="804">
        <v>189</v>
      </c>
      <c r="BZ150" s="804">
        <v>263</v>
      </c>
    </row>
    <row r="151" spans="65:87">
      <c r="BM151" s="1338"/>
      <c r="BN151" s="1338"/>
      <c r="BO151" s="803" t="s">
        <v>1053</v>
      </c>
      <c r="CA151" s="804">
        <v>182</v>
      </c>
      <c r="CB151" s="804">
        <v>189</v>
      </c>
      <c r="CC151" s="804">
        <v>189</v>
      </c>
      <c r="CD151" s="804">
        <v>189</v>
      </c>
      <c r="CE151" s="804">
        <v>189</v>
      </c>
      <c r="CF151" s="804">
        <v>189</v>
      </c>
      <c r="CG151" s="804">
        <v>189</v>
      </c>
      <c r="CH151" s="804">
        <v>189</v>
      </c>
      <c r="CI151" s="804">
        <v>189</v>
      </c>
    </row>
    <row r="152" spans="65:87">
      <c r="BM152" s="1338"/>
      <c r="BN152" s="1337" t="s">
        <v>1055</v>
      </c>
      <c r="BO152" s="803" t="s">
        <v>1052</v>
      </c>
      <c r="BP152" s="804">
        <v>89</v>
      </c>
      <c r="BQ152" s="804">
        <v>90</v>
      </c>
      <c r="BR152" s="804">
        <v>63</v>
      </c>
      <c r="BS152" s="804">
        <v>56</v>
      </c>
      <c r="BT152" s="804">
        <v>56</v>
      </c>
      <c r="BU152" s="804">
        <v>66</v>
      </c>
      <c r="BV152" s="804">
        <v>98</v>
      </c>
      <c r="BW152" s="804">
        <v>118</v>
      </c>
      <c r="BX152" s="804">
        <v>139</v>
      </c>
      <c r="BY152" s="804">
        <v>119</v>
      </c>
      <c r="BZ152" s="804">
        <v>112</v>
      </c>
    </row>
    <row r="153" spans="65:87">
      <c r="BM153" s="1338"/>
      <c r="BN153" s="1338"/>
      <c r="BO153" s="803" t="s">
        <v>1053</v>
      </c>
      <c r="CA153" s="804">
        <v>132</v>
      </c>
      <c r="CB153" s="804">
        <v>128</v>
      </c>
      <c r="CC153" s="804">
        <v>128</v>
      </c>
      <c r="CD153" s="804">
        <v>128</v>
      </c>
      <c r="CE153" s="804">
        <v>128</v>
      </c>
      <c r="CF153" s="804">
        <v>128</v>
      </c>
      <c r="CG153" s="804">
        <v>128</v>
      </c>
      <c r="CH153" s="804">
        <v>128</v>
      </c>
      <c r="CI153" s="804">
        <v>128</v>
      </c>
    </row>
    <row r="154" spans="65:87">
      <c r="BM154" s="1337" t="s">
        <v>899</v>
      </c>
      <c r="BN154" s="1337" t="s">
        <v>42</v>
      </c>
      <c r="BO154" s="803" t="s">
        <v>1052</v>
      </c>
      <c r="BP154" s="804">
        <v>22</v>
      </c>
      <c r="BQ154" s="804">
        <v>1</v>
      </c>
      <c r="BR154" s="804">
        <v>4</v>
      </c>
      <c r="BS154" s="804">
        <v>0</v>
      </c>
      <c r="BT154" s="804">
        <v>0</v>
      </c>
      <c r="BU154" s="804">
        <v>9</v>
      </c>
      <c r="BV154" s="804">
        <v>9</v>
      </c>
      <c r="BW154" s="804">
        <v>2</v>
      </c>
      <c r="BX154" s="804">
        <v>8</v>
      </c>
      <c r="BY154" s="804">
        <v>0</v>
      </c>
      <c r="BZ154" s="804">
        <v>6</v>
      </c>
    </row>
    <row r="155" spans="65:87">
      <c r="BM155" s="1338"/>
      <c r="BN155" s="1338"/>
      <c r="BO155" s="803" t="s">
        <v>1053</v>
      </c>
      <c r="CA155" s="804">
        <v>2</v>
      </c>
      <c r="CB155" s="804">
        <v>3</v>
      </c>
      <c r="CC155" s="804">
        <v>3</v>
      </c>
      <c r="CD155" s="804">
        <v>3</v>
      </c>
      <c r="CE155" s="804">
        <v>3</v>
      </c>
      <c r="CF155" s="804">
        <v>3</v>
      </c>
      <c r="CG155" s="804">
        <v>3</v>
      </c>
      <c r="CH155" s="804">
        <v>3</v>
      </c>
      <c r="CI155" s="804">
        <v>3</v>
      </c>
    </row>
    <row r="156" spans="65:87">
      <c r="BM156" s="1338"/>
      <c r="BN156" s="1337" t="s">
        <v>1054</v>
      </c>
      <c r="BO156" s="803" t="s">
        <v>1052</v>
      </c>
      <c r="BP156" s="804">
        <v>1</v>
      </c>
      <c r="BQ156" s="804">
        <v>3</v>
      </c>
      <c r="BR156" s="804">
        <v>0</v>
      </c>
      <c r="BS156" s="804">
        <v>1</v>
      </c>
      <c r="BT156" s="804">
        <v>8</v>
      </c>
      <c r="BU156" s="804">
        <v>8</v>
      </c>
      <c r="BV156" s="804">
        <v>26</v>
      </c>
      <c r="BW156" s="804">
        <v>22</v>
      </c>
      <c r="BX156" s="804">
        <v>1</v>
      </c>
      <c r="BY156" s="804">
        <v>1</v>
      </c>
      <c r="BZ156" s="804">
        <v>48</v>
      </c>
    </row>
    <row r="157" spans="65:87">
      <c r="BM157" s="1338"/>
      <c r="BN157" s="1338"/>
      <c r="BO157" s="803" t="s">
        <v>1053</v>
      </c>
      <c r="CA157" s="804">
        <v>22</v>
      </c>
      <c r="CB157" s="804">
        <v>27</v>
      </c>
      <c r="CC157" s="804">
        <v>27</v>
      </c>
      <c r="CD157" s="804">
        <v>27</v>
      </c>
      <c r="CE157" s="804">
        <v>27</v>
      </c>
      <c r="CF157" s="804">
        <v>27</v>
      </c>
      <c r="CG157" s="804">
        <v>27</v>
      </c>
      <c r="CH157" s="804">
        <v>27</v>
      </c>
      <c r="CI157" s="804">
        <v>27</v>
      </c>
    </row>
    <row r="158" spans="65:87">
      <c r="BM158" s="1338"/>
      <c r="BN158" s="1337" t="s">
        <v>1055</v>
      </c>
      <c r="BO158" s="803" t="s">
        <v>1052</v>
      </c>
      <c r="BP158" s="804">
        <v>62</v>
      </c>
      <c r="BQ158" s="804">
        <v>40</v>
      </c>
      <c r="BR158" s="804">
        <v>37</v>
      </c>
      <c r="BS158" s="804">
        <v>35</v>
      </c>
      <c r="BT158" s="804">
        <v>47</v>
      </c>
      <c r="BU158" s="804">
        <v>42</v>
      </c>
      <c r="BV158" s="804">
        <v>43</v>
      </c>
      <c r="BW158" s="804">
        <v>38</v>
      </c>
      <c r="BX158" s="804">
        <v>31</v>
      </c>
      <c r="BY158" s="804">
        <v>36</v>
      </c>
      <c r="BZ158" s="804">
        <v>35</v>
      </c>
    </row>
    <row r="159" spans="65:87">
      <c r="BM159" s="1338"/>
      <c r="BN159" s="1338"/>
      <c r="BO159" s="803" t="s">
        <v>1053</v>
      </c>
      <c r="CA159" s="804">
        <v>38</v>
      </c>
      <c r="CB159" s="804">
        <v>39</v>
      </c>
      <c r="CC159" s="804">
        <v>39</v>
      </c>
      <c r="CD159" s="804">
        <v>39</v>
      </c>
      <c r="CE159" s="804">
        <v>39</v>
      </c>
      <c r="CF159" s="804">
        <v>39</v>
      </c>
      <c r="CG159" s="804">
        <v>39</v>
      </c>
      <c r="CH159" s="804">
        <v>39</v>
      </c>
      <c r="CI159" s="804">
        <v>39</v>
      </c>
    </row>
    <row r="160" spans="65:87">
      <c r="BM160" s="1337" t="s">
        <v>898</v>
      </c>
      <c r="BN160" s="1337" t="s">
        <v>42</v>
      </c>
      <c r="BO160" s="803" t="s">
        <v>1052</v>
      </c>
      <c r="BP160" s="804">
        <v>12</v>
      </c>
      <c r="BQ160" s="804">
        <v>56</v>
      </c>
      <c r="BR160" s="804">
        <v>76</v>
      </c>
      <c r="BS160" s="804">
        <v>7</v>
      </c>
      <c r="BT160" s="804">
        <v>37</v>
      </c>
      <c r="BU160" s="804">
        <v>12</v>
      </c>
      <c r="BV160" s="804">
        <v>15</v>
      </c>
      <c r="BW160" s="804">
        <v>29</v>
      </c>
      <c r="BX160" s="804">
        <v>13</v>
      </c>
      <c r="BY160" s="804">
        <v>30</v>
      </c>
      <c r="BZ160" s="804">
        <v>61</v>
      </c>
    </row>
    <row r="161" spans="65:87">
      <c r="BM161" s="1338"/>
      <c r="BN161" s="1338"/>
      <c r="BO161" s="803" t="s">
        <v>1053</v>
      </c>
      <c r="CA161" s="804">
        <v>52</v>
      </c>
      <c r="CB161" s="804">
        <v>40</v>
      </c>
      <c r="CC161" s="881">
        <v>100</v>
      </c>
      <c r="CD161" s="881">
        <v>100</v>
      </c>
      <c r="CE161" s="881">
        <v>100</v>
      </c>
      <c r="CF161" s="881">
        <v>300</v>
      </c>
      <c r="CG161" s="881">
        <v>300</v>
      </c>
      <c r="CH161" s="881">
        <v>300</v>
      </c>
      <c r="CI161" s="881">
        <v>300</v>
      </c>
    </row>
    <row r="162" spans="65:87">
      <c r="BM162" s="1338"/>
      <c r="BN162" s="1337" t="s">
        <v>1054</v>
      </c>
      <c r="BO162" s="803" t="s">
        <v>1052</v>
      </c>
      <c r="BP162" s="804">
        <v>31</v>
      </c>
      <c r="BQ162" s="804">
        <v>49</v>
      </c>
      <c r="BR162" s="804">
        <v>18</v>
      </c>
      <c r="BS162" s="804">
        <v>22</v>
      </c>
      <c r="BT162" s="804">
        <v>54</v>
      </c>
      <c r="BU162" s="804">
        <v>140</v>
      </c>
      <c r="BV162" s="804">
        <v>294</v>
      </c>
      <c r="BW162" s="804">
        <v>307</v>
      </c>
      <c r="BX162" s="804">
        <v>375</v>
      </c>
      <c r="BY162" s="804">
        <v>278</v>
      </c>
      <c r="BZ162" s="804">
        <v>377</v>
      </c>
    </row>
    <row r="163" spans="65:87">
      <c r="BM163" s="1338"/>
      <c r="BN163" s="1338"/>
      <c r="BO163" s="803" t="s">
        <v>1053</v>
      </c>
      <c r="CA163" s="804">
        <v>384</v>
      </c>
      <c r="CB163" s="804">
        <v>385</v>
      </c>
      <c r="CC163" s="804">
        <v>385</v>
      </c>
      <c r="CD163" s="804">
        <v>385</v>
      </c>
      <c r="CE163" s="881">
        <v>500</v>
      </c>
      <c r="CF163" s="881">
        <v>500</v>
      </c>
      <c r="CG163" s="881">
        <v>500</v>
      </c>
      <c r="CH163" s="881">
        <v>500</v>
      </c>
      <c r="CI163" s="881">
        <v>500</v>
      </c>
    </row>
    <row r="164" spans="65:87">
      <c r="BM164" s="1338"/>
      <c r="BN164" s="1337" t="s">
        <v>1055</v>
      </c>
      <c r="BO164" s="803" t="s">
        <v>1052</v>
      </c>
      <c r="BP164" s="804">
        <v>210</v>
      </c>
      <c r="BQ164" s="804">
        <v>132</v>
      </c>
      <c r="BR164" s="804">
        <v>120</v>
      </c>
      <c r="BS164" s="804">
        <v>103</v>
      </c>
      <c r="BT164" s="804">
        <v>121</v>
      </c>
      <c r="BU164" s="804">
        <v>126</v>
      </c>
      <c r="BV164" s="804">
        <v>166</v>
      </c>
      <c r="BW164" s="804">
        <v>175</v>
      </c>
      <c r="BX164" s="804">
        <v>164</v>
      </c>
      <c r="BY164" s="804">
        <v>201</v>
      </c>
      <c r="BZ164" s="804">
        <v>167</v>
      </c>
    </row>
    <row r="165" spans="65:87">
      <c r="BM165" s="1338"/>
      <c r="BN165" s="1338"/>
      <c r="BO165" s="803" t="s">
        <v>1053</v>
      </c>
      <c r="CA165" s="804">
        <v>189</v>
      </c>
      <c r="CB165" s="804">
        <v>186</v>
      </c>
      <c r="CC165" s="804">
        <v>186</v>
      </c>
      <c r="CD165" s="804">
        <v>186</v>
      </c>
      <c r="CE165" s="804">
        <v>186</v>
      </c>
      <c r="CF165" s="804">
        <v>186</v>
      </c>
      <c r="CG165" s="804">
        <v>186</v>
      </c>
      <c r="CH165" s="804">
        <v>186</v>
      </c>
      <c r="CI165" s="804">
        <v>186</v>
      </c>
    </row>
    <row r="166" spans="65:87">
      <c r="BM166" s="1337" t="s">
        <v>896</v>
      </c>
      <c r="BN166" s="1337" t="s">
        <v>42</v>
      </c>
      <c r="BO166" s="803" t="s">
        <v>1052</v>
      </c>
      <c r="BP166" s="804">
        <v>2</v>
      </c>
      <c r="BQ166" s="804">
        <v>0</v>
      </c>
      <c r="BR166" s="804">
        <v>0</v>
      </c>
      <c r="BS166" s="804">
        <v>2</v>
      </c>
      <c r="BT166" s="804">
        <v>7</v>
      </c>
      <c r="BU166" s="804">
        <v>10</v>
      </c>
      <c r="BV166" s="804">
        <v>11</v>
      </c>
      <c r="BW166" s="804">
        <v>1</v>
      </c>
      <c r="BX166" s="804">
        <v>3</v>
      </c>
      <c r="BY166" s="804">
        <v>9</v>
      </c>
      <c r="BZ166" s="804">
        <v>6</v>
      </c>
    </row>
    <row r="167" spans="65:87">
      <c r="BM167" s="1338"/>
      <c r="BN167" s="1338"/>
      <c r="BO167" s="803" t="s">
        <v>1053</v>
      </c>
      <c r="CA167" s="804">
        <v>5</v>
      </c>
      <c r="CB167" s="804">
        <v>5</v>
      </c>
      <c r="CC167" s="804">
        <v>5</v>
      </c>
      <c r="CD167" s="804">
        <v>5</v>
      </c>
      <c r="CE167" s="804">
        <v>5</v>
      </c>
      <c r="CF167" s="804">
        <v>5</v>
      </c>
      <c r="CG167" s="804">
        <v>5</v>
      </c>
      <c r="CH167" s="804">
        <v>5</v>
      </c>
      <c r="CI167" s="804">
        <v>5</v>
      </c>
    </row>
    <row r="168" spans="65:87">
      <c r="BM168" s="1338"/>
      <c r="BN168" s="1337" t="s">
        <v>1054</v>
      </c>
      <c r="BO168" s="803" t="s">
        <v>1052</v>
      </c>
      <c r="BP168" s="804">
        <v>6</v>
      </c>
      <c r="BQ168" s="804">
        <v>36</v>
      </c>
      <c r="BR168" s="804">
        <v>4</v>
      </c>
      <c r="BS168" s="804">
        <v>16</v>
      </c>
      <c r="BT168" s="804">
        <v>17</v>
      </c>
      <c r="BU168" s="804">
        <v>8</v>
      </c>
      <c r="BV168" s="804">
        <v>21</v>
      </c>
      <c r="BW168" s="804">
        <v>15</v>
      </c>
      <c r="BX168" s="804">
        <v>82</v>
      </c>
      <c r="BY168" s="804">
        <v>33</v>
      </c>
      <c r="BZ168" s="804">
        <v>59</v>
      </c>
    </row>
    <row r="169" spans="65:87">
      <c r="BM169" s="1338"/>
      <c r="BN169" s="1338"/>
      <c r="BO169" s="803" t="s">
        <v>1053</v>
      </c>
      <c r="CA169" s="804">
        <v>40</v>
      </c>
      <c r="CB169" s="804">
        <v>47</v>
      </c>
      <c r="CC169" s="804">
        <v>47</v>
      </c>
      <c r="CD169" s="804">
        <v>47</v>
      </c>
      <c r="CE169" s="804">
        <v>47</v>
      </c>
      <c r="CF169" s="804">
        <v>47</v>
      </c>
      <c r="CG169" s="804">
        <v>47</v>
      </c>
      <c r="CH169" s="804">
        <v>47</v>
      </c>
      <c r="CI169" s="804">
        <v>47</v>
      </c>
    </row>
    <row r="170" spans="65:87">
      <c r="BM170" s="1338"/>
      <c r="BN170" s="1337" t="s">
        <v>1055</v>
      </c>
      <c r="BO170" s="803" t="s">
        <v>1052</v>
      </c>
      <c r="BP170" s="804">
        <v>42</v>
      </c>
      <c r="BQ170" s="804">
        <v>41</v>
      </c>
      <c r="BR170" s="804">
        <v>31</v>
      </c>
      <c r="BS170" s="804">
        <v>36</v>
      </c>
      <c r="BT170" s="804">
        <v>26</v>
      </c>
      <c r="BU170" s="804">
        <v>42</v>
      </c>
      <c r="BV170" s="804">
        <v>43</v>
      </c>
      <c r="BW170" s="804">
        <v>50</v>
      </c>
      <c r="BX170" s="804">
        <v>46</v>
      </c>
      <c r="BY170" s="804">
        <v>59</v>
      </c>
      <c r="BZ170" s="804">
        <v>59</v>
      </c>
    </row>
    <row r="171" spans="65:87">
      <c r="BM171" s="1338"/>
      <c r="BN171" s="1338"/>
      <c r="BO171" s="803" t="s">
        <v>1053</v>
      </c>
      <c r="CA171" s="804">
        <v>67</v>
      </c>
      <c r="CB171" s="804">
        <v>63</v>
      </c>
      <c r="CC171" s="804">
        <v>63</v>
      </c>
      <c r="CD171" s="804">
        <v>63</v>
      </c>
      <c r="CE171" s="804">
        <v>63</v>
      </c>
      <c r="CF171" s="804">
        <v>63</v>
      </c>
      <c r="CG171" s="804">
        <v>63</v>
      </c>
      <c r="CH171" s="804">
        <v>63</v>
      </c>
      <c r="CI171" s="804">
        <v>63</v>
      </c>
    </row>
    <row r="172" spans="65:87">
      <c r="BM172" s="1337" t="s">
        <v>897</v>
      </c>
      <c r="BN172" s="1337" t="s">
        <v>42</v>
      </c>
      <c r="BO172" s="803" t="s">
        <v>1052</v>
      </c>
      <c r="BP172" s="804">
        <v>9</v>
      </c>
      <c r="BQ172" s="804">
        <v>9</v>
      </c>
      <c r="BR172" s="804">
        <v>2</v>
      </c>
      <c r="BS172" s="804">
        <v>20</v>
      </c>
      <c r="BT172" s="804">
        <v>5</v>
      </c>
      <c r="BU172" s="804">
        <v>12</v>
      </c>
      <c r="BV172" s="804">
        <v>7</v>
      </c>
      <c r="BW172" s="804">
        <v>36</v>
      </c>
      <c r="BX172" s="804">
        <v>91</v>
      </c>
      <c r="BY172" s="804">
        <v>26</v>
      </c>
      <c r="BZ172" s="804">
        <v>61</v>
      </c>
    </row>
    <row r="173" spans="65:87">
      <c r="BM173" s="1338"/>
      <c r="BN173" s="1338"/>
      <c r="BO173" s="803" t="s">
        <v>1053</v>
      </c>
      <c r="CA173" s="804">
        <v>60</v>
      </c>
      <c r="CB173" s="804">
        <v>56</v>
      </c>
      <c r="CC173" s="804">
        <v>56</v>
      </c>
      <c r="CD173" s="804">
        <v>56</v>
      </c>
      <c r="CE173" s="804">
        <v>56</v>
      </c>
      <c r="CF173" s="804">
        <v>56</v>
      </c>
      <c r="CG173" s="804">
        <v>56</v>
      </c>
      <c r="CH173" s="804">
        <v>56</v>
      </c>
      <c r="CI173" s="804">
        <v>56</v>
      </c>
    </row>
    <row r="174" spans="65:87">
      <c r="BM174" s="1338"/>
      <c r="BN174" s="1337" t="s">
        <v>1054</v>
      </c>
      <c r="BO174" s="803" t="s">
        <v>1052</v>
      </c>
      <c r="BP174" s="804">
        <v>44</v>
      </c>
      <c r="BQ174" s="804">
        <v>93</v>
      </c>
      <c r="BR174" s="804">
        <v>127</v>
      </c>
      <c r="BS174" s="804">
        <v>49</v>
      </c>
      <c r="BT174" s="804">
        <v>91</v>
      </c>
      <c r="BU174" s="804">
        <v>119</v>
      </c>
      <c r="BV174" s="804">
        <v>265</v>
      </c>
      <c r="BW174" s="804">
        <v>424</v>
      </c>
      <c r="BX174" s="804">
        <v>450</v>
      </c>
      <c r="BY174" s="804">
        <v>479</v>
      </c>
      <c r="BZ174" s="804">
        <v>483</v>
      </c>
    </row>
    <row r="175" spans="65:87">
      <c r="BM175" s="1338"/>
      <c r="BN175" s="1338"/>
      <c r="BO175" s="803" t="s">
        <v>1053</v>
      </c>
      <c r="CA175" s="804">
        <v>555</v>
      </c>
      <c r="CB175" s="804">
        <v>536</v>
      </c>
      <c r="CC175" s="804">
        <v>536</v>
      </c>
      <c r="CD175" s="804">
        <v>536</v>
      </c>
      <c r="CE175" s="804">
        <v>536</v>
      </c>
      <c r="CF175" s="804">
        <v>536</v>
      </c>
      <c r="CG175" s="804">
        <v>536</v>
      </c>
      <c r="CH175" s="804">
        <v>536</v>
      </c>
      <c r="CI175" s="804">
        <v>536</v>
      </c>
    </row>
    <row r="176" spans="65:87">
      <c r="BM176" s="1338"/>
      <c r="BN176" s="1337" t="s">
        <v>1055</v>
      </c>
      <c r="BO176" s="803" t="s">
        <v>1052</v>
      </c>
      <c r="BP176" s="804">
        <v>116</v>
      </c>
      <c r="BQ176" s="804">
        <v>89</v>
      </c>
      <c r="BR176" s="804">
        <v>76</v>
      </c>
      <c r="BS176" s="804">
        <v>77</v>
      </c>
      <c r="BT176" s="804">
        <v>75</v>
      </c>
      <c r="BU176" s="804">
        <v>69</v>
      </c>
      <c r="BV176" s="804">
        <v>99</v>
      </c>
      <c r="BW176" s="804">
        <v>137</v>
      </c>
      <c r="BX176" s="804">
        <v>127</v>
      </c>
      <c r="BY176" s="804">
        <v>114</v>
      </c>
      <c r="BZ176" s="804">
        <v>123</v>
      </c>
    </row>
    <row r="177" spans="65:87">
      <c r="BM177" s="1338"/>
      <c r="BN177" s="1338"/>
      <c r="BO177" s="803" t="s">
        <v>1053</v>
      </c>
      <c r="CA177" s="804">
        <v>121</v>
      </c>
      <c r="CB177" s="804">
        <v>124</v>
      </c>
      <c r="CC177" s="804">
        <v>124</v>
      </c>
      <c r="CD177" s="804">
        <v>124</v>
      </c>
      <c r="CE177" s="804">
        <v>124</v>
      </c>
      <c r="CF177" s="804">
        <v>124</v>
      </c>
      <c r="CG177" s="804">
        <v>124</v>
      </c>
      <c r="CH177" s="804">
        <v>124</v>
      </c>
      <c r="CI177" s="804">
        <v>124</v>
      </c>
    </row>
    <row r="178" spans="65:87">
      <c r="BM178" s="1337" t="s">
        <v>903</v>
      </c>
      <c r="BN178" s="1337" t="s">
        <v>42</v>
      </c>
      <c r="BO178" s="803" t="s">
        <v>1052</v>
      </c>
      <c r="BP178" s="804">
        <v>14</v>
      </c>
      <c r="BQ178" s="804">
        <v>1</v>
      </c>
      <c r="BR178" s="804">
        <v>6</v>
      </c>
      <c r="BS178" s="804">
        <v>4</v>
      </c>
      <c r="BT178" s="804">
        <v>10</v>
      </c>
      <c r="BU178" s="804">
        <v>0</v>
      </c>
      <c r="BV178" s="804">
        <v>15</v>
      </c>
      <c r="BW178" s="804">
        <v>3</v>
      </c>
      <c r="BX178" s="804">
        <v>9</v>
      </c>
      <c r="BY178" s="804">
        <v>16</v>
      </c>
      <c r="BZ178" s="804">
        <v>32</v>
      </c>
    </row>
    <row r="179" spans="65:87">
      <c r="BM179" s="1338"/>
      <c r="BN179" s="1338"/>
      <c r="BO179" s="803" t="s">
        <v>1053</v>
      </c>
      <c r="CA179" s="804">
        <v>40</v>
      </c>
      <c r="CB179" s="804">
        <v>36</v>
      </c>
      <c r="CC179" s="804">
        <v>36</v>
      </c>
      <c r="CD179" s="804">
        <v>36</v>
      </c>
      <c r="CE179" s="804">
        <v>36</v>
      </c>
      <c r="CF179" s="804">
        <v>36</v>
      </c>
      <c r="CG179" s="804">
        <v>36</v>
      </c>
      <c r="CH179" s="804">
        <v>36</v>
      </c>
      <c r="CI179" s="804">
        <v>36</v>
      </c>
    </row>
    <row r="180" spans="65:87">
      <c r="BM180" s="1338"/>
      <c r="BN180" s="1337" t="s">
        <v>1054</v>
      </c>
      <c r="BO180" s="803" t="s">
        <v>1052</v>
      </c>
      <c r="BP180" s="804">
        <v>65</v>
      </c>
      <c r="BQ180" s="804">
        <v>12</v>
      </c>
      <c r="BR180" s="804">
        <v>43</v>
      </c>
      <c r="BS180" s="804">
        <v>5</v>
      </c>
      <c r="BT180" s="804">
        <v>18</v>
      </c>
      <c r="BU180" s="804">
        <v>36</v>
      </c>
      <c r="BV180" s="804">
        <v>34</v>
      </c>
      <c r="BW180" s="804">
        <v>75</v>
      </c>
      <c r="BX180" s="804">
        <v>174</v>
      </c>
      <c r="BY180" s="804">
        <v>158</v>
      </c>
      <c r="BZ180" s="804">
        <v>104</v>
      </c>
    </row>
    <row r="181" spans="65:87">
      <c r="BM181" s="1338"/>
      <c r="BN181" s="1338"/>
      <c r="BO181" s="803" t="s">
        <v>1053</v>
      </c>
      <c r="CA181" s="804">
        <v>160</v>
      </c>
      <c r="CB181" s="804">
        <v>148</v>
      </c>
      <c r="CC181" s="804">
        <v>148</v>
      </c>
      <c r="CD181" s="804">
        <v>148</v>
      </c>
      <c r="CE181" s="804">
        <v>148</v>
      </c>
      <c r="CF181" s="804">
        <v>148</v>
      </c>
      <c r="CG181" s="804">
        <v>148</v>
      </c>
      <c r="CH181" s="804">
        <v>148</v>
      </c>
      <c r="CI181" s="804">
        <v>148</v>
      </c>
    </row>
    <row r="182" spans="65:87">
      <c r="BM182" s="1338"/>
      <c r="BN182" s="1337" t="s">
        <v>1055</v>
      </c>
      <c r="BO182" s="803" t="s">
        <v>1052</v>
      </c>
      <c r="BP182" s="804">
        <v>259</v>
      </c>
      <c r="BQ182" s="804">
        <v>183</v>
      </c>
      <c r="BR182" s="804">
        <v>165</v>
      </c>
      <c r="BS182" s="804">
        <v>172</v>
      </c>
      <c r="BT182" s="804">
        <v>168</v>
      </c>
      <c r="BU182" s="804">
        <v>213</v>
      </c>
      <c r="BV182" s="804">
        <v>191</v>
      </c>
      <c r="BW182" s="804">
        <v>237</v>
      </c>
      <c r="BX182" s="804">
        <v>256</v>
      </c>
      <c r="BY182" s="804">
        <v>243</v>
      </c>
      <c r="BZ182" s="804">
        <v>235</v>
      </c>
    </row>
    <row r="183" spans="65:87">
      <c r="BM183" s="1338"/>
      <c r="BN183" s="1338"/>
      <c r="BO183" s="803" t="s">
        <v>1053</v>
      </c>
      <c r="CA183" s="804">
        <v>206</v>
      </c>
      <c r="CB183" s="804">
        <v>225</v>
      </c>
      <c r="CC183" s="804">
        <v>225</v>
      </c>
      <c r="CD183" s="804">
        <v>225</v>
      </c>
      <c r="CE183" s="804">
        <v>225</v>
      </c>
      <c r="CF183" s="804">
        <v>225</v>
      </c>
      <c r="CG183" s="804">
        <v>225</v>
      </c>
      <c r="CH183" s="804">
        <v>225</v>
      </c>
      <c r="CI183" s="804">
        <v>225</v>
      </c>
    </row>
    <row r="184" spans="65:87">
      <c r="BM184" s="1337" t="s">
        <v>901</v>
      </c>
      <c r="BN184" s="1337" t="s">
        <v>42</v>
      </c>
      <c r="BO184" s="803" t="s">
        <v>1052</v>
      </c>
      <c r="BP184" s="804">
        <v>8</v>
      </c>
      <c r="BQ184" s="804">
        <v>4</v>
      </c>
      <c r="BR184" s="804">
        <v>5</v>
      </c>
      <c r="BS184" s="804">
        <v>4</v>
      </c>
      <c r="BT184" s="804">
        <v>9</v>
      </c>
      <c r="BU184" s="804">
        <v>33</v>
      </c>
      <c r="BV184" s="804">
        <v>17</v>
      </c>
      <c r="BW184" s="804">
        <v>23</v>
      </c>
      <c r="BX184" s="804">
        <v>44</v>
      </c>
      <c r="BY184" s="804">
        <v>51</v>
      </c>
      <c r="BZ184" s="804">
        <v>54</v>
      </c>
    </row>
    <row r="185" spans="65:87">
      <c r="BM185" s="1338"/>
      <c r="BN185" s="1338"/>
      <c r="BO185" s="803" t="s">
        <v>1053</v>
      </c>
      <c r="CA185" s="804">
        <v>50</v>
      </c>
      <c r="CB185" s="804">
        <v>51</v>
      </c>
      <c r="CC185" s="881">
        <v>100</v>
      </c>
      <c r="CD185" s="881">
        <v>150</v>
      </c>
      <c r="CE185" s="881">
        <v>200</v>
      </c>
      <c r="CF185" s="881">
        <v>300</v>
      </c>
      <c r="CG185" s="881">
        <v>300</v>
      </c>
      <c r="CH185" s="881">
        <v>300</v>
      </c>
      <c r="CI185" s="881">
        <v>300</v>
      </c>
    </row>
    <row r="186" spans="65:87">
      <c r="BM186" s="1338"/>
      <c r="BN186" s="1337" t="s">
        <v>1054</v>
      </c>
      <c r="BO186" s="803" t="s">
        <v>1052</v>
      </c>
      <c r="BP186" s="804">
        <v>51</v>
      </c>
      <c r="BQ186" s="804">
        <v>33</v>
      </c>
      <c r="BR186" s="804">
        <v>40</v>
      </c>
      <c r="BS186" s="804">
        <v>76</v>
      </c>
      <c r="BT186" s="804">
        <v>146</v>
      </c>
      <c r="BU186" s="804">
        <v>372</v>
      </c>
      <c r="BV186" s="804">
        <v>823</v>
      </c>
      <c r="BW186" s="804">
        <v>1221</v>
      </c>
      <c r="BX186" s="804">
        <v>1316</v>
      </c>
      <c r="BY186" s="804">
        <v>1134</v>
      </c>
      <c r="BZ186" s="804">
        <v>938</v>
      </c>
    </row>
    <row r="187" spans="65:87">
      <c r="BM187" s="1338"/>
      <c r="BN187" s="1338"/>
      <c r="BO187" s="803" t="s">
        <v>1053</v>
      </c>
      <c r="CA187" s="804">
        <v>961</v>
      </c>
      <c r="CB187" s="804">
        <v>1008</v>
      </c>
      <c r="CC187" s="804">
        <v>1008</v>
      </c>
      <c r="CD187" s="804">
        <v>1008</v>
      </c>
      <c r="CE187" s="804">
        <v>1008</v>
      </c>
      <c r="CF187" s="804">
        <v>1008</v>
      </c>
      <c r="CG187" s="804">
        <v>1008</v>
      </c>
      <c r="CH187" s="804">
        <v>1008</v>
      </c>
      <c r="CI187" s="804">
        <v>1008</v>
      </c>
    </row>
    <row r="188" spans="65:87">
      <c r="BM188" s="1338"/>
      <c r="BN188" s="1337" t="s">
        <v>1055</v>
      </c>
      <c r="BO188" s="803" t="s">
        <v>1052</v>
      </c>
      <c r="BP188" s="804">
        <v>219</v>
      </c>
      <c r="BQ188" s="804">
        <v>156</v>
      </c>
      <c r="BR188" s="804">
        <v>115</v>
      </c>
      <c r="BS188" s="804">
        <v>144</v>
      </c>
      <c r="BT188" s="804">
        <v>170</v>
      </c>
      <c r="BU188" s="804">
        <v>210</v>
      </c>
      <c r="BV188" s="804">
        <v>250</v>
      </c>
      <c r="BW188" s="804">
        <v>268</v>
      </c>
      <c r="BX188" s="804">
        <v>273</v>
      </c>
      <c r="BY188" s="804">
        <v>325</v>
      </c>
      <c r="BZ188" s="804">
        <v>275</v>
      </c>
    </row>
    <row r="189" spans="65:87">
      <c r="BM189" s="1338"/>
      <c r="BN189" s="1338"/>
      <c r="BO189" s="803" t="s">
        <v>1053</v>
      </c>
      <c r="CA189" s="804">
        <v>292</v>
      </c>
      <c r="CB189" s="804">
        <v>300</v>
      </c>
      <c r="CC189" s="804">
        <v>300</v>
      </c>
      <c r="CD189" s="804">
        <v>300</v>
      </c>
      <c r="CE189" s="804">
        <v>300</v>
      </c>
      <c r="CF189" s="804">
        <v>300</v>
      </c>
      <c r="CG189" s="804">
        <v>300</v>
      </c>
      <c r="CH189" s="804">
        <v>300</v>
      </c>
      <c r="CI189" s="804">
        <v>300</v>
      </c>
    </row>
    <row r="190" spans="65:87">
      <c r="BM190" s="1337" t="s">
        <v>902</v>
      </c>
      <c r="BN190" s="1337" t="s">
        <v>42</v>
      </c>
      <c r="BO190" s="803" t="s">
        <v>1052</v>
      </c>
      <c r="BP190" s="804">
        <v>4</v>
      </c>
      <c r="BQ190" s="804">
        <v>1</v>
      </c>
      <c r="BR190" s="804">
        <v>0</v>
      </c>
      <c r="BS190" s="804">
        <v>2</v>
      </c>
      <c r="BT190" s="804">
        <v>0</v>
      </c>
      <c r="BU190" s="804">
        <v>8</v>
      </c>
      <c r="BV190" s="804">
        <v>8</v>
      </c>
      <c r="BW190" s="804">
        <v>4</v>
      </c>
      <c r="BX190" s="804">
        <v>12</v>
      </c>
      <c r="BY190" s="804">
        <v>16</v>
      </c>
      <c r="BZ190" s="804">
        <v>19</v>
      </c>
    </row>
    <row r="191" spans="65:87">
      <c r="BM191" s="1338"/>
      <c r="BN191" s="1338"/>
      <c r="BO191" s="803" t="s">
        <v>1053</v>
      </c>
      <c r="CA191" s="804">
        <v>12</v>
      </c>
      <c r="CB191" s="804">
        <v>15</v>
      </c>
      <c r="CC191" s="804">
        <v>15</v>
      </c>
      <c r="CD191" s="804">
        <v>15</v>
      </c>
      <c r="CE191" s="804">
        <v>15</v>
      </c>
      <c r="CF191" s="804">
        <v>15</v>
      </c>
      <c r="CG191" s="804">
        <v>15</v>
      </c>
      <c r="CH191" s="804">
        <v>15</v>
      </c>
      <c r="CI191" s="804">
        <v>15</v>
      </c>
    </row>
    <row r="192" spans="65:87">
      <c r="BM192" s="1338"/>
      <c r="BN192" s="1337" t="s">
        <v>1054</v>
      </c>
      <c r="BO192" s="803" t="s">
        <v>1052</v>
      </c>
      <c r="BP192" s="804">
        <v>9</v>
      </c>
      <c r="BQ192" s="804">
        <v>22</v>
      </c>
      <c r="BR192" s="804">
        <v>12</v>
      </c>
      <c r="BS192" s="804">
        <v>7</v>
      </c>
      <c r="BT192" s="804">
        <v>30</v>
      </c>
      <c r="BU192" s="804">
        <v>9</v>
      </c>
      <c r="BV192" s="804">
        <v>46</v>
      </c>
      <c r="BW192" s="804">
        <v>14</v>
      </c>
      <c r="BX192" s="804">
        <v>129</v>
      </c>
      <c r="BY192" s="804">
        <v>69</v>
      </c>
      <c r="BZ192" s="804">
        <v>46</v>
      </c>
    </row>
    <row r="193" spans="65:87">
      <c r="BM193" s="1338"/>
      <c r="BN193" s="1338"/>
      <c r="BO193" s="803" t="s">
        <v>1053</v>
      </c>
      <c r="CA193" s="804">
        <v>96</v>
      </c>
      <c r="CB193" s="804">
        <v>76</v>
      </c>
      <c r="CC193" s="804">
        <v>76</v>
      </c>
      <c r="CD193" s="804">
        <v>76</v>
      </c>
      <c r="CE193" s="804">
        <v>76</v>
      </c>
      <c r="CF193" s="804">
        <v>76</v>
      </c>
      <c r="CG193" s="804">
        <v>76</v>
      </c>
      <c r="CH193" s="804">
        <v>76</v>
      </c>
      <c r="CI193" s="804">
        <v>76</v>
      </c>
    </row>
    <row r="194" spans="65:87">
      <c r="BM194" s="1338"/>
      <c r="BN194" s="1337" t="s">
        <v>1055</v>
      </c>
      <c r="BO194" s="803" t="s">
        <v>1052</v>
      </c>
      <c r="BP194" s="804">
        <v>99</v>
      </c>
      <c r="BQ194" s="804">
        <v>79</v>
      </c>
      <c r="BR194" s="804">
        <v>73</v>
      </c>
      <c r="BS194" s="804">
        <v>63</v>
      </c>
      <c r="BT194" s="804">
        <v>89</v>
      </c>
      <c r="BU194" s="804">
        <v>70</v>
      </c>
      <c r="BV194" s="804">
        <v>94</v>
      </c>
      <c r="BW194" s="804">
        <v>111</v>
      </c>
      <c r="BX194" s="804">
        <v>140</v>
      </c>
      <c r="BY194" s="804">
        <v>127</v>
      </c>
      <c r="BZ194" s="804">
        <v>141</v>
      </c>
    </row>
    <row r="195" spans="65:87">
      <c r="BM195" s="1338"/>
      <c r="BN195" s="1338"/>
      <c r="BO195" s="803" t="s">
        <v>1053</v>
      </c>
      <c r="CA195" s="804">
        <v>109</v>
      </c>
      <c r="CB195" s="804">
        <v>122</v>
      </c>
      <c r="CC195" s="804">
        <v>122</v>
      </c>
      <c r="CD195" s="804">
        <v>122</v>
      </c>
      <c r="CE195" s="804">
        <v>122</v>
      </c>
      <c r="CF195" s="804">
        <v>122</v>
      </c>
      <c r="CG195" s="804">
        <v>122</v>
      </c>
      <c r="CH195" s="804">
        <v>122</v>
      </c>
      <c r="CI195" s="804">
        <v>122</v>
      </c>
    </row>
    <row r="196" spans="65:87">
      <c r="BM196" s="1337" t="s">
        <v>904</v>
      </c>
      <c r="BN196" s="1337" t="s">
        <v>42</v>
      </c>
      <c r="BO196" s="803" t="s">
        <v>1052</v>
      </c>
      <c r="BP196" s="804">
        <v>4</v>
      </c>
      <c r="BQ196" s="804">
        <v>3</v>
      </c>
      <c r="BR196" s="804">
        <v>1</v>
      </c>
      <c r="BS196" s="804">
        <v>1</v>
      </c>
      <c r="BT196" s="804">
        <v>6</v>
      </c>
      <c r="BU196" s="804">
        <v>5</v>
      </c>
      <c r="BV196" s="804">
        <v>1</v>
      </c>
      <c r="BW196" s="804">
        <v>11</v>
      </c>
      <c r="BX196" s="804">
        <v>11</v>
      </c>
      <c r="BY196" s="804">
        <v>2</v>
      </c>
      <c r="BZ196" s="804">
        <v>4</v>
      </c>
    </row>
    <row r="197" spans="65:87">
      <c r="BM197" s="1338"/>
      <c r="BN197" s="1338"/>
      <c r="BO197" s="803" t="s">
        <v>1053</v>
      </c>
      <c r="CA197" s="804">
        <v>25</v>
      </c>
      <c r="CB197" s="804">
        <v>8</v>
      </c>
      <c r="CC197" s="804">
        <v>8</v>
      </c>
      <c r="CD197" s="804">
        <v>8</v>
      </c>
      <c r="CE197" s="804">
        <v>8</v>
      </c>
      <c r="CF197" s="804">
        <v>8</v>
      </c>
      <c r="CG197" s="804">
        <v>8</v>
      </c>
      <c r="CH197" s="804">
        <v>8</v>
      </c>
      <c r="CI197" s="804">
        <v>8</v>
      </c>
    </row>
    <row r="198" spans="65:87">
      <c r="BM198" s="1338"/>
      <c r="BN198" s="1337" t="s">
        <v>1054</v>
      </c>
      <c r="BO198" s="803" t="s">
        <v>1052</v>
      </c>
      <c r="BP198" s="804">
        <v>15</v>
      </c>
      <c r="BQ198" s="804">
        <v>4</v>
      </c>
      <c r="BR198" s="804">
        <v>3</v>
      </c>
      <c r="BS198" s="804">
        <v>11</v>
      </c>
      <c r="BT198" s="804">
        <v>27</v>
      </c>
      <c r="BU198" s="804">
        <v>13</v>
      </c>
      <c r="BV198" s="804">
        <v>54</v>
      </c>
      <c r="BW198" s="804">
        <v>19</v>
      </c>
      <c r="BX198" s="804">
        <v>108</v>
      </c>
      <c r="BY198" s="804">
        <v>72</v>
      </c>
      <c r="BZ198" s="804">
        <v>136</v>
      </c>
    </row>
    <row r="199" spans="65:87">
      <c r="BM199" s="1338"/>
      <c r="BN199" s="1338"/>
      <c r="BO199" s="803" t="s">
        <v>1053</v>
      </c>
      <c r="CA199" s="881">
        <v>200</v>
      </c>
      <c r="CB199" s="881">
        <v>200</v>
      </c>
      <c r="CC199" s="881">
        <v>200</v>
      </c>
      <c r="CD199" s="881">
        <v>200</v>
      </c>
      <c r="CE199" s="881">
        <v>200</v>
      </c>
      <c r="CF199" s="881">
        <v>200</v>
      </c>
      <c r="CG199" s="881">
        <v>200</v>
      </c>
      <c r="CH199" s="881">
        <v>200</v>
      </c>
      <c r="CI199" s="881">
        <v>200</v>
      </c>
    </row>
    <row r="200" spans="65:87">
      <c r="BM200" s="1338"/>
      <c r="BN200" s="1337" t="s">
        <v>1055</v>
      </c>
      <c r="BO200" s="803" t="s">
        <v>1052</v>
      </c>
      <c r="BP200" s="804">
        <v>98</v>
      </c>
      <c r="BQ200" s="804">
        <v>75</v>
      </c>
      <c r="BR200" s="804">
        <v>51</v>
      </c>
      <c r="BS200" s="804">
        <v>55</v>
      </c>
      <c r="BT200" s="804">
        <v>79</v>
      </c>
      <c r="BU200" s="804">
        <v>67</v>
      </c>
      <c r="BV200" s="804">
        <v>79</v>
      </c>
      <c r="BW200" s="804">
        <v>77</v>
      </c>
      <c r="BX200" s="804">
        <v>111</v>
      </c>
      <c r="BY200" s="804">
        <v>123</v>
      </c>
      <c r="BZ200" s="804">
        <v>106</v>
      </c>
    </row>
    <row r="201" spans="65:87">
      <c r="BM201" s="1338"/>
      <c r="BN201" s="1338"/>
      <c r="BO201" s="803" t="s">
        <v>1053</v>
      </c>
      <c r="CA201" s="804">
        <v>104</v>
      </c>
      <c r="CB201" s="804">
        <v>108</v>
      </c>
      <c r="CC201" s="804">
        <v>108</v>
      </c>
      <c r="CD201" s="804">
        <v>108</v>
      </c>
      <c r="CE201" s="804">
        <v>108</v>
      </c>
      <c r="CF201" s="804">
        <v>108</v>
      </c>
      <c r="CG201" s="804">
        <v>108</v>
      </c>
      <c r="CH201" s="804">
        <v>108</v>
      </c>
      <c r="CI201" s="804">
        <v>108</v>
      </c>
    </row>
    <row r="202" spans="65:87">
      <c r="BM202" s="1337" t="s">
        <v>905</v>
      </c>
      <c r="BN202" s="1337" t="s">
        <v>42</v>
      </c>
      <c r="BO202" s="803" t="s">
        <v>1052</v>
      </c>
      <c r="BP202" s="804">
        <v>2</v>
      </c>
      <c r="BQ202" s="804">
        <v>1</v>
      </c>
      <c r="BR202" s="804">
        <v>1</v>
      </c>
      <c r="BS202" s="804">
        <v>0</v>
      </c>
      <c r="BT202" s="804">
        <v>10</v>
      </c>
      <c r="BU202" s="804">
        <v>4</v>
      </c>
      <c r="BV202" s="804">
        <v>4</v>
      </c>
      <c r="BW202" s="804">
        <v>13</v>
      </c>
      <c r="BX202" s="804">
        <v>9</v>
      </c>
      <c r="BY202" s="804">
        <v>5</v>
      </c>
      <c r="BZ202" s="804">
        <v>7</v>
      </c>
    </row>
    <row r="203" spans="65:87">
      <c r="BM203" s="1338"/>
      <c r="BN203" s="1338"/>
      <c r="BO203" s="803" t="s">
        <v>1053</v>
      </c>
      <c r="CA203" s="804">
        <v>10</v>
      </c>
      <c r="CB203" s="804">
        <v>11</v>
      </c>
      <c r="CC203" s="804">
        <v>12</v>
      </c>
      <c r="CD203" s="804">
        <v>13</v>
      </c>
      <c r="CE203" s="804">
        <v>13</v>
      </c>
      <c r="CF203" s="804">
        <v>14</v>
      </c>
      <c r="CG203" s="804">
        <v>15</v>
      </c>
      <c r="CH203" s="804">
        <v>15</v>
      </c>
      <c r="CI203" s="804">
        <v>16</v>
      </c>
    </row>
    <row r="204" spans="65:87">
      <c r="BM204" s="1338"/>
      <c r="BN204" s="1337" t="s">
        <v>1054</v>
      </c>
      <c r="BO204" s="803" t="s">
        <v>1052</v>
      </c>
      <c r="BP204" s="804">
        <v>31</v>
      </c>
      <c r="BQ204" s="804">
        <v>4</v>
      </c>
      <c r="BR204" s="804">
        <v>8</v>
      </c>
      <c r="BS204" s="804">
        <v>4</v>
      </c>
      <c r="BT204" s="804">
        <v>1</v>
      </c>
      <c r="BU204" s="804">
        <v>19</v>
      </c>
      <c r="BV204" s="804">
        <v>26</v>
      </c>
      <c r="BW204" s="804">
        <v>44</v>
      </c>
      <c r="BX204" s="804">
        <v>26</v>
      </c>
      <c r="BY204" s="804">
        <v>47</v>
      </c>
      <c r="BZ204" s="804">
        <v>107</v>
      </c>
    </row>
    <row r="205" spans="65:87">
      <c r="BM205" s="1338"/>
      <c r="BN205" s="1338"/>
      <c r="BO205" s="803" t="s">
        <v>1053</v>
      </c>
      <c r="CA205" s="804">
        <v>84</v>
      </c>
      <c r="CB205" s="804">
        <v>82</v>
      </c>
      <c r="CC205" s="804">
        <v>82</v>
      </c>
      <c r="CD205" s="804">
        <v>82</v>
      </c>
      <c r="CE205" s="804">
        <v>82</v>
      </c>
      <c r="CF205" s="804">
        <v>82</v>
      </c>
      <c r="CG205" s="804">
        <v>82</v>
      </c>
      <c r="CH205" s="804">
        <v>82</v>
      </c>
      <c r="CI205" s="804">
        <v>82</v>
      </c>
    </row>
    <row r="206" spans="65:87">
      <c r="BM206" s="1338"/>
      <c r="BN206" s="1337" t="s">
        <v>1055</v>
      </c>
      <c r="BO206" s="803" t="s">
        <v>1052</v>
      </c>
      <c r="BP206" s="804">
        <v>116</v>
      </c>
      <c r="BQ206" s="804">
        <v>71</v>
      </c>
      <c r="BR206" s="804">
        <v>71</v>
      </c>
      <c r="BS206" s="804">
        <v>63</v>
      </c>
      <c r="BT206" s="804">
        <v>59</v>
      </c>
      <c r="BU206" s="804">
        <v>62</v>
      </c>
      <c r="BV206" s="804">
        <v>74</v>
      </c>
      <c r="BW206" s="804">
        <v>90</v>
      </c>
      <c r="BX206" s="804">
        <v>126</v>
      </c>
      <c r="BY206" s="804">
        <v>118</v>
      </c>
      <c r="BZ206" s="804">
        <v>96</v>
      </c>
    </row>
    <row r="207" spans="65:87">
      <c r="BM207" s="1338"/>
      <c r="BN207" s="1338"/>
      <c r="BO207" s="803" t="s">
        <v>1053</v>
      </c>
      <c r="CA207" s="804">
        <v>99</v>
      </c>
      <c r="CB207" s="804">
        <v>101</v>
      </c>
      <c r="CC207" s="804">
        <v>101</v>
      </c>
      <c r="CD207" s="804">
        <v>101</v>
      </c>
      <c r="CE207" s="804">
        <v>101</v>
      </c>
      <c r="CF207" s="804">
        <v>101</v>
      </c>
      <c r="CG207" s="804">
        <v>101</v>
      </c>
      <c r="CH207" s="804">
        <v>101</v>
      </c>
      <c r="CI207" s="804">
        <v>101</v>
      </c>
    </row>
    <row r="208" spans="65:87">
      <c r="BM208" s="1337" t="s">
        <v>907</v>
      </c>
      <c r="BN208" s="1337" t="s">
        <v>42</v>
      </c>
      <c r="BO208" s="803" t="s">
        <v>1052</v>
      </c>
      <c r="BP208" s="804">
        <v>10</v>
      </c>
      <c r="BQ208" s="804">
        <v>32</v>
      </c>
      <c r="BR208" s="804">
        <v>6</v>
      </c>
      <c r="BS208" s="804">
        <v>1</v>
      </c>
      <c r="BT208" s="804">
        <v>5</v>
      </c>
      <c r="BU208" s="804">
        <v>12</v>
      </c>
      <c r="BV208" s="804">
        <v>3</v>
      </c>
      <c r="BW208" s="804">
        <v>16</v>
      </c>
      <c r="BX208" s="804">
        <v>21</v>
      </c>
      <c r="BY208" s="804">
        <v>56</v>
      </c>
      <c r="BZ208" s="804">
        <v>3</v>
      </c>
    </row>
    <row r="209" spans="65:87">
      <c r="BM209" s="1338"/>
      <c r="BN209" s="1338"/>
      <c r="BO209" s="803" t="s">
        <v>1053</v>
      </c>
      <c r="CA209" s="804">
        <v>11</v>
      </c>
      <c r="CB209" s="804">
        <v>13</v>
      </c>
      <c r="CC209" s="881">
        <v>50</v>
      </c>
      <c r="CD209" s="881">
        <v>50</v>
      </c>
      <c r="CE209" s="881">
        <v>50</v>
      </c>
      <c r="CF209" s="881">
        <v>50</v>
      </c>
      <c r="CG209" s="881">
        <v>50</v>
      </c>
      <c r="CH209" s="881">
        <v>50</v>
      </c>
      <c r="CI209" s="881">
        <v>50</v>
      </c>
    </row>
    <row r="210" spans="65:87">
      <c r="BM210" s="1338"/>
      <c r="BN210" s="1337" t="s">
        <v>1054</v>
      </c>
      <c r="BO210" s="803" t="s">
        <v>1052</v>
      </c>
      <c r="BP210" s="804">
        <v>22</v>
      </c>
      <c r="BQ210" s="804">
        <v>52</v>
      </c>
      <c r="BR210" s="804">
        <v>2</v>
      </c>
      <c r="BS210" s="804">
        <v>0</v>
      </c>
      <c r="BT210" s="804">
        <v>11</v>
      </c>
      <c r="BU210" s="804">
        <v>6</v>
      </c>
      <c r="BV210" s="804">
        <v>36</v>
      </c>
      <c r="BW210" s="804">
        <v>60</v>
      </c>
      <c r="BX210" s="804">
        <v>13</v>
      </c>
      <c r="BY210" s="804">
        <v>42</v>
      </c>
      <c r="BZ210" s="804">
        <v>71</v>
      </c>
    </row>
    <row r="211" spans="65:87">
      <c r="BM211" s="1338"/>
      <c r="BN211" s="1338"/>
      <c r="BO211" s="803" t="s">
        <v>1053</v>
      </c>
      <c r="CA211" s="804">
        <v>69</v>
      </c>
      <c r="CB211" s="804">
        <v>69</v>
      </c>
      <c r="CC211" s="804">
        <v>69</v>
      </c>
      <c r="CD211" s="804">
        <v>69</v>
      </c>
      <c r="CE211" s="804">
        <v>69</v>
      </c>
      <c r="CF211" s="804">
        <v>69</v>
      </c>
      <c r="CG211" s="804">
        <v>69</v>
      </c>
      <c r="CH211" s="804">
        <v>69</v>
      </c>
      <c r="CI211" s="804">
        <v>69</v>
      </c>
    </row>
    <row r="212" spans="65:87">
      <c r="BM212" s="1338"/>
      <c r="BN212" s="1337" t="s">
        <v>1055</v>
      </c>
      <c r="BO212" s="803" t="s">
        <v>1052</v>
      </c>
      <c r="BP212" s="804">
        <v>113</v>
      </c>
      <c r="BQ212" s="804">
        <v>85</v>
      </c>
      <c r="BR212" s="804">
        <v>82</v>
      </c>
      <c r="BS212" s="804">
        <v>59</v>
      </c>
      <c r="BT212" s="804">
        <v>58</v>
      </c>
      <c r="BU212" s="804">
        <v>67</v>
      </c>
      <c r="BV212" s="804">
        <v>87</v>
      </c>
      <c r="BW212" s="804">
        <v>96</v>
      </c>
      <c r="BX212" s="804">
        <v>84</v>
      </c>
      <c r="BY212" s="804">
        <v>80</v>
      </c>
      <c r="BZ212" s="804">
        <v>70</v>
      </c>
    </row>
    <row r="213" spans="65:87">
      <c r="BM213" s="1338"/>
      <c r="BN213" s="1338"/>
      <c r="BO213" s="803" t="s">
        <v>1053</v>
      </c>
      <c r="CA213" s="804">
        <v>73</v>
      </c>
      <c r="CB213" s="804">
        <v>74</v>
      </c>
      <c r="CC213" s="804">
        <v>74</v>
      </c>
      <c r="CD213" s="804">
        <v>74</v>
      </c>
      <c r="CE213" s="804">
        <v>74</v>
      </c>
      <c r="CF213" s="804">
        <v>74</v>
      </c>
      <c r="CG213" s="804">
        <v>74</v>
      </c>
      <c r="CH213" s="804">
        <v>74</v>
      </c>
      <c r="CI213" s="804">
        <v>74</v>
      </c>
    </row>
    <row r="214" spans="65:87">
      <c r="BM214" s="1337" t="s">
        <v>908</v>
      </c>
      <c r="BN214" s="1337" t="s">
        <v>42</v>
      </c>
      <c r="BO214" s="803" t="s">
        <v>1052</v>
      </c>
      <c r="BP214" s="804">
        <v>12</v>
      </c>
      <c r="BQ214" s="804">
        <v>0</v>
      </c>
      <c r="BR214" s="804">
        <v>4</v>
      </c>
      <c r="BS214" s="804">
        <v>6</v>
      </c>
      <c r="BT214" s="804">
        <v>12</v>
      </c>
      <c r="BU214" s="804">
        <v>14</v>
      </c>
      <c r="BV214" s="804">
        <v>13</v>
      </c>
      <c r="BW214" s="804">
        <v>11</v>
      </c>
      <c r="BX214" s="804">
        <v>44</v>
      </c>
      <c r="BY214" s="804">
        <v>21</v>
      </c>
      <c r="BZ214" s="804">
        <v>26</v>
      </c>
    </row>
    <row r="215" spans="65:87">
      <c r="BM215" s="1338"/>
      <c r="BN215" s="1338"/>
      <c r="BO215" s="803" t="s">
        <v>1053</v>
      </c>
      <c r="CA215" s="804">
        <v>38</v>
      </c>
      <c r="CB215" s="804">
        <v>28</v>
      </c>
      <c r="CC215" s="804">
        <v>28</v>
      </c>
      <c r="CD215" s="804">
        <v>28</v>
      </c>
      <c r="CE215" s="804">
        <v>28</v>
      </c>
      <c r="CF215" s="804">
        <v>28</v>
      </c>
      <c r="CG215" s="804">
        <v>28</v>
      </c>
      <c r="CH215" s="804">
        <v>28</v>
      </c>
      <c r="CI215" s="804">
        <v>28</v>
      </c>
    </row>
    <row r="216" spans="65:87">
      <c r="BM216" s="1338"/>
      <c r="BN216" s="1337" t="s">
        <v>1054</v>
      </c>
      <c r="BO216" s="803" t="s">
        <v>1052</v>
      </c>
      <c r="BP216" s="804">
        <v>82</v>
      </c>
      <c r="BQ216" s="804">
        <v>22</v>
      </c>
      <c r="BR216" s="804">
        <v>12</v>
      </c>
      <c r="BS216" s="804">
        <v>6</v>
      </c>
      <c r="BT216" s="804">
        <v>20</v>
      </c>
      <c r="BU216" s="804">
        <v>17</v>
      </c>
      <c r="BV216" s="804">
        <v>23</v>
      </c>
      <c r="BW216" s="804">
        <v>21</v>
      </c>
      <c r="BX216" s="804">
        <v>73</v>
      </c>
      <c r="BY216" s="804">
        <v>94</v>
      </c>
      <c r="BZ216" s="804">
        <v>119</v>
      </c>
    </row>
    <row r="217" spans="65:87">
      <c r="BM217" s="1338"/>
      <c r="BN217" s="1338"/>
      <c r="BO217" s="803" t="s">
        <v>1053</v>
      </c>
      <c r="CA217" s="804">
        <v>116</v>
      </c>
      <c r="CB217" s="804">
        <v>121</v>
      </c>
      <c r="CC217" s="804">
        <v>121</v>
      </c>
      <c r="CD217" s="804">
        <v>121</v>
      </c>
      <c r="CE217" s="804">
        <v>121</v>
      </c>
      <c r="CF217" s="804">
        <v>121</v>
      </c>
      <c r="CG217" s="804">
        <v>121</v>
      </c>
      <c r="CH217" s="804">
        <v>121</v>
      </c>
      <c r="CI217" s="804">
        <v>121</v>
      </c>
    </row>
    <row r="218" spans="65:87">
      <c r="BM218" s="1338"/>
      <c r="BN218" s="1337" t="s">
        <v>1055</v>
      </c>
      <c r="BO218" s="803" t="s">
        <v>1052</v>
      </c>
      <c r="BP218" s="804">
        <v>204</v>
      </c>
      <c r="BQ218" s="804">
        <v>146</v>
      </c>
      <c r="BR218" s="804">
        <v>118</v>
      </c>
      <c r="BS218" s="804">
        <v>121</v>
      </c>
      <c r="BT218" s="804">
        <v>139</v>
      </c>
      <c r="BU218" s="804">
        <v>131</v>
      </c>
      <c r="BV218" s="804">
        <v>146</v>
      </c>
      <c r="BW218" s="804">
        <v>169</v>
      </c>
      <c r="BX218" s="804">
        <v>206</v>
      </c>
      <c r="BY218" s="804">
        <v>185</v>
      </c>
      <c r="BZ218" s="804">
        <v>169</v>
      </c>
    </row>
    <row r="219" spans="65:87">
      <c r="BM219" s="1338"/>
      <c r="BN219" s="1338"/>
      <c r="BO219" s="803" t="s">
        <v>1053</v>
      </c>
      <c r="CA219" s="804">
        <v>180</v>
      </c>
      <c r="CB219" s="804">
        <v>181</v>
      </c>
      <c r="CC219" s="804">
        <v>181</v>
      </c>
      <c r="CD219" s="804">
        <v>181</v>
      </c>
      <c r="CE219" s="804">
        <v>181</v>
      </c>
      <c r="CF219" s="804">
        <v>181</v>
      </c>
      <c r="CG219" s="804">
        <v>181</v>
      </c>
      <c r="CH219" s="804">
        <v>181</v>
      </c>
      <c r="CI219" s="804">
        <v>181</v>
      </c>
    </row>
    <row r="220" spans="65:87">
      <c r="BM220" s="1337" t="s">
        <v>909</v>
      </c>
      <c r="BN220" s="1337" t="s">
        <v>42</v>
      </c>
      <c r="BO220" s="803" t="s">
        <v>1052</v>
      </c>
      <c r="BP220" s="804">
        <v>3</v>
      </c>
      <c r="BQ220" s="804">
        <v>7</v>
      </c>
      <c r="BR220" s="804">
        <v>1</v>
      </c>
      <c r="BS220" s="804">
        <v>3</v>
      </c>
      <c r="BT220" s="804">
        <v>70</v>
      </c>
      <c r="BU220" s="804">
        <v>8</v>
      </c>
      <c r="BV220" s="804">
        <v>25</v>
      </c>
      <c r="BW220" s="804">
        <v>39</v>
      </c>
      <c r="BX220" s="804">
        <v>19</v>
      </c>
      <c r="BY220" s="804">
        <v>43</v>
      </c>
      <c r="BZ220" s="804">
        <v>15</v>
      </c>
    </row>
    <row r="221" spans="65:87">
      <c r="BM221" s="1338"/>
      <c r="BN221" s="1338"/>
      <c r="BO221" s="803" t="s">
        <v>1053</v>
      </c>
      <c r="CA221" s="804">
        <v>58</v>
      </c>
      <c r="CB221" s="804">
        <v>34</v>
      </c>
      <c r="CC221" s="804">
        <v>34</v>
      </c>
      <c r="CD221" s="804">
        <v>34</v>
      </c>
      <c r="CE221" s="804">
        <v>34</v>
      </c>
      <c r="CF221" s="804">
        <v>34</v>
      </c>
      <c r="CG221" s="804">
        <v>34</v>
      </c>
      <c r="CH221" s="804">
        <v>34</v>
      </c>
      <c r="CI221" s="804">
        <v>34</v>
      </c>
    </row>
    <row r="222" spans="65:87">
      <c r="BM222" s="1338"/>
      <c r="BN222" s="1337" t="s">
        <v>1054</v>
      </c>
      <c r="BO222" s="803" t="s">
        <v>1052</v>
      </c>
      <c r="BP222" s="804">
        <v>71</v>
      </c>
      <c r="BQ222" s="804">
        <v>19</v>
      </c>
      <c r="BR222" s="804">
        <v>24</v>
      </c>
      <c r="BS222" s="804">
        <v>16</v>
      </c>
      <c r="BT222" s="804">
        <v>46</v>
      </c>
      <c r="BU222" s="804">
        <v>145</v>
      </c>
      <c r="BV222" s="804">
        <v>150</v>
      </c>
      <c r="BW222" s="804">
        <v>272</v>
      </c>
      <c r="BX222" s="804">
        <v>296</v>
      </c>
      <c r="BY222" s="804">
        <v>295</v>
      </c>
      <c r="BZ222" s="804">
        <v>357</v>
      </c>
    </row>
    <row r="223" spans="65:87">
      <c r="BM223" s="1338"/>
      <c r="BN223" s="1338"/>
      <c r="BO223" s="803" t="s">
        <v>1053</v>
      </c>
      <c r="CA223" s="804">
        <v>393</v>
      </c>
      <c r="CB223" s="804">
        <v>392</v>
      </c>
      <c r="CC223" s="804">
        <v>392</v>
      </c>
      <c r="CD223" s="804">
        <v>392</v>
      </c>
      <c r="CE223" s="804">
        <v>392</v>
      </c>
      <c r="CF223" s="804">
        <v>392</v>
      </c>
      <c r="CG223" s="804">
        <v>392</v>
      </c>
      <c r="CH223" s="804">
        <v>392</v>
      </c>
      <c r="CI223" s="804">
        <v>392</v>
      </c>
    </row>
    <row r="224" spans="65:87">
      <c r="BM224" s="1338"/>
      <c r="BN224" s="1337" t="s">
        <v>1055</v>
      </c>
      <c r="BO224" s="803" t="s">
        <v>1052</v>
      </c>
      <c r="BP224" s="804">
        <v>116</v>
      </c>
      <c r="BQ224" s="804">
        <v>72</v>
      </c>
      <c r="BR224" s="804">
        <v>66</v>
      </c>
      <c r="BS224" s="804">
        <v>62</v>
      </c>
      <c r="BT224" s="804">
        <v>81</v>
      </c>
      <c r="BU224" s="804">
        <v>70</v>
      </c>
      <c r="BV224" s="804">
        <v>105</v>
      </c>
      <c r="BW224" s="804">
        <v>115</v>
      </c>
      <c r="BX224" s="804">
        <v>123</v>
      </c>
      <c r="BY224" s="804">
        <v>126</v>
      </c>
      <c r="BZ224" s="804">
        <v>134</v>
      </c>
    </row>
    <row r="225" spans="65:87">
      <c r="BM225" s="1338"/>
      <c r="BN225" s="1338"/>
      <c r="BO225" s="803" t="s">
        <v>1053</v>
      </c>
      <c r="CA225" s="804">
        <v>132</v>
      </c>
      <c r="CB225" s="804">
        <v>136</v>
      </c>
      <c r="CC225" s="804">
        <v>136</v>
      </c>
      <c r="CD225" s="804">
        <v>136</v>
      </c>
      <c r="CE225" s="804">
        <v>136</v>
      </c>
      <c r="CF225" s="804">
        <v>136</v>
      </c>
      <c r="CG225" s="804">
        <v>136</v>
      </c>
      <c r="CH225" s="804">
        <v>136</v>
      </c>
      <c r="CI225" s="804">
        <v>136</v>
      </c>
    </row>
    <row r="226" spans="65:87">
      <c r="BM226" s="1337" t="s">
        <v>910</v>
      </c>
      <c r="BN226" s="1337" t="s">
        <v>42</v>
      </c>
      <c r="BO226" s="803" t="s">
        <v>1052</v>
      </c>
      <c r="BP226" s="804">
        <v>5</v>
      </c>
      <c r="BQ226" s="804">
        <v>1</v>
      </c>
      <c r="BR226" s="804">
        <v>3</v>
      </c>
      <c r="BS226" s="804">
        <v>10</v>
      </c>
      <c r="BT226" s="804">
        <v>9</v>
      </c>
      <c r="BU226" s="804">
        <v>5</v>
      </c>
      <c r="BV226" s="804">
        <v>4</v>
      </c>
      <c r="BW226" s="804">
        <v>10</v>
      </c>
      <c r="BX226" s="804">
        <v>13</v>
      </c>
      <c r="BY226" s="804">
        <v>15</v>
      </c>
      <c r="BZ226" s="804">
        <v>12</v>
      </c>
    </row>
    <row r="227" spans="65:87">
      <c r="BM227" s="1338"/>
      <c r="BN227" s="1338"/>
      <c r="BO227" s="803" t="s">
        <v>1053</v>
      </c>
      <c r="CA227" s="804">
        <v>38</v>
      </c>
      <c r="CB227" s="804">
        <v>19</v>
      </c>
      <c r="CC227" s="804">
        <v>19</v>
      </c>
      <c r="CD227" s="804">
        <v>19</v>
      </c>
      <c r="CE227" s="804">
        <v>19</v>
      </c>
      <c r="CF227" s="804">
        <v>19</v>
      </c>
      <c r="CG227" s="804">
        <v>19</v>
      </c>
      <c r="CH227" s="804">
        <v>19</v>
      </c>
      <c r="CI227" s="804">
        <v>19</v>
      </c>
    </row>
    <row r="228" spans="65:87">
      <c r="BM228" s="1338"/>
      <c r="BN228" s="1337" t="s">
        <v>1054</v>
      </c>
      <c r="BO228" s="803" t="s">
        <v>1052</v>
      </c>
      <c r="BP228" s="804">
        <v>22</v>
      </c>
      <c r="BQ228" s="804">
        <v>2</v>
      </c>
      <c r="BR228" s="804">
        <v>2</v>
      </c>
      <c r="BS228" s="804">
        <v>6</v>
      </c>
      <c r="BT228" s="804">
        <v>11</v>
      </c>
      <c r="BU228" s="804">
        <v>22</v>
      </c>
      <c r="BV228" s="804">
        <v>29</v>
      </c>
      <c r="BW228" s="804">
        <v>36</v>
      </c>
      <c r="BX228" s="804">
        <v>89</v>
      </c>
      <c r="BY228" s="804">
        <v>147</v>
      </c>
      <c r="BZ228" s="804">
        <v>110</v>
      </c>
    </row>
    <row r="229" spans="65:87">
      <c r="BM229" s="1338"/>
      <c r="BN229" s="1338"/>
      <c r="BO229" s="803" t="s">
        <v>1053</v>
      </c>
      <c r="CA229" s="804">
        <v>90</v>
      </c>
      <c r="CB229" s="804">
        <v>87</v>
      </c>
      <c r="CC229" s="804">
        <v>87</v>
      </c>
      <c r="CD229" s="804">
        <v>87</v>
      </c>
      <c r="CE229" s="804">
        <v>87</v>
      </c>
      <c r="CF229" s="804">
        <v>87</v>
      </c>
      <c r="CG229" s="804">
        <v>87</v>
      </c>
      <c r="CH229" s="804">
        <v>87</v>
      </c>
      <c r="CI229" s="804">
        <v>87</v>
      </c>
    </row>
    <row r="230" spans="65:87">
      <c r="BM230" s="1338"/>
      <c r="BN230" s="1337" t="s">
        <v>1055</v>
      </c>
      <c r="BO230" s="803" t="s">
        <v>1052</v>
      </c>
      <c r="BP230" s="804">
        <v>95</v>
      </c>
      <c r="BQ230" s="804">
        <v>80</v>
      </c>
      <c r="BR230" s="804">
        <v>61</v>
      </c>
      <c r="BS230" s="804">
        <v>68</v>
      </c>
      <c r="BT230" s="804">
        <v>65</v>
      </c>
      <c r="BU230" s="804">
        <v>79</v>
      </c>
      <c r="BV230" s="804">
        <v>99</v>
      </c>
      <c r="BW230" s="804">
        <v>126</v>
      </c>
      <c r="BX230" s="804">
        <v>144</v>
      </c>
      <c r="BY230" s="804">
        <v>126</v>
      </c>
      <c r="BZ230" s="804">
        <v>125</v>
      </c>
    </row>
    <row r="231" spans="65:87">
      <c r="BM231" s="1338"/>
      <c r="BN231" s="1338"/>
      <c r="BO231" s="803" t="s">
        <v>1053</v>
      </c>
      <c r="CA231" s="804">
        <v>120</v>
      </c>
      <c r="CB231" s="804">
        <v>123</v>
      </c>
      <c r="CC231" s="804">
        <v>123</v>
      </c>
      <c r="CD231" s="804">
        <v>123</v>
      </c>
      <c r="CE231" s="804">
        <v>123</v>
      </c>
      <c r="CF231" s="804">
        <v>123</v>
      </c>
      <c r="CG231" s="804">
        <v>123</v>
      </c>
      <c r="CH231" s="804">
        <v>123</v>
      </c>
      <c r="CI231" s="804">
        <v>123</v>
      </c>
    </row>
    <row r="232" spans="65:87">
      <c r="BM232" s="1337" t="s">
        <v>912</v>
      </c>
      <c r="BN232" s="1337" t="s">
        <v>42</v>
      </c>
      <c r="BO232" s="803" t="s">
        <v>1052</v>
      </c>
      <c r="BP232" s="804">
        <v>9</v>
      </c>
      <c r="BQ232" s="804">
        <v>3</v>
      </c>
      <c r="BR232" s="804">
        <v>1</v>
      </c>
      <c r="BS232" s="804">
        <v>0</v>
      </c>
      <c r="BT232" s="804">
        <v>3</v>
      </c>
      <c r="BU232" s="804">
        <v>1</v>
      </c>
      <c r="BV232" s="804">
        <v>6</v>
      </c>
      <c r="BW232" s="804">
        <v>11</v>
      </c>
      <c r="BX232" s="804">
        <v>37</v>
      </c>
      <c r="BY232" s="804">
        <v>32</v>
      </c>
      <c r="BZ232" s="804">
        <v>67</v>
      </c>
    </row>
    <row r="233" spans="65:87">
      <c r="BM233" s="1338"/>
      <c r="BN233" s="1338"/>
      <c r="BO233" s="803" t="s">
        <v>1053</v>
      </c>
      <c r="CA233" s="804">
        <v>58</v>
      </c>
      <c r="CB233" s="804">
        <v>84</v>
      </c>
      <c r="CC233" s="804">
        <v>98</v>
      </c>
      <c r="CD233" s="804">
        <v>111</v>
      </c>
      <c r="CE233" s="804">
        <v>125</v>
      </c>
      <c r="CF233" s="804">
        <v>138</v>
      </c>
      <c r="CG233" s="804">
        <v>152</v>
      </c>
      <c r="CH233" s="804">
        <v>165</v>
      </c>
      <c r="CI233" s="804">
        <v>179</v>
      </c>
    </row>
    <row r="234" spans="65:87">
      <c r="BM234" s="1338"/>
      <c r="BN234" s="1337" t="s">
        <v>1054</v>
      </c>
      <c r="BO234" s="803" t="s">
        <v>1052</v>
      </c>
      <c r="BP234" s="804">
        <v>43</v>
      </c>
      <c r="BQ234" s="804">
        <v>14</v>
      </c>
      <c r="BR234" s="804">
        <v>17</v>
      </c>
      <c r="BS234" s="804">
        <v>33</v>
      </c>
      <c r="BT234" s="804">
        <v>79</v>
      </c>
      <c r="BU234" s="804">
        <v>61</v>
      </c>
      <c r="BV234" s="804">
        <v>123</v>
      </c>
      <c r="BW234" s="804">
        <v>224</v>
      </c>
      <c r="BX234" s="804">
        <v>274</v>
      </c>
      <c r="BY234" s="804">
        <v>316</v>
      </c>
      <c r="BZ234" s="804">
        <v>380</v>
      </c>
    </row>
    <row r="235" spans="65:87">
      <c r="BM235" s="1338"/>
      <c r="BN235" s="1338"/>
      <c r="BO235" s="803" t="s">
        <v>1053</v>
      </c>
      <c r="CA235" s="804">
        <v>558</v>
      </c>
      <c r="CB235" s="804">
        <v>542</v>
      </c>
      <c r="CC235" s="804">
        <v>542</v>
      </c>
      <c r="CD235" s="804">
        <v>542</v>
      </c>
      <c r="CE235" s="804">
        <v>542</v>
      </c>
      <c r="CF235" s="804">
        <v>542</v>
      </c>
      <c r="CG235" s="804">
        <v>542</v>
      </c>
      <c r="CH235" s="804">
        <v>542</v>
      </c>
      <c r="CI235" s="804">
        <v>542</v>
      </c>
    </row>
    <row r="236" spans="65:87">
      <c r="BM236" s="1338"/>
      <c r="BN236" s="1337" t="s">
        <v>1055</v>
      </c>
      <c r="BO236" s="803" t="s">
        <v>1052</v>
      </c>
      <c r="BP236" s="804">
        <v>242</v>
      </c>
      <c r="BQ236" s="804">
        <v>173</v>
      </c>
      <c r="BR236" s="804">
        <v>171</v>
      </c>
      <c r="BS236" s="804">
        <v>162</v>
      </c>
      <c r="BT236" s="804">
        <v>179</v>
      </c>
      <c r="BU236" s="804">
        <v>198</v>
      </c>
      <c r="BV236" s="804">
        <v>216</v>
      </c>
      <c r="BW236" s="804">
        <v>255</v>
      </c>
      <c r="BX236" s="804">
        <v>273</v>
      </c>
      <c r="BY236" s="804">
        <v>275</v>
      </c>
      <c r="BZ236" s="804">
        <v>254</v>
      </c>
    </row>
    <row r="237" spans="65:87">
      <c r="BM237" s="1338"/>
      <c r="BN237" s="1338"/>
      <c r="BO237" s="803" t="s">
        <v>1053</v>
      </c>
      <c r="CA237" s="804">
        <v>265</v>
      </c>
      <c r="CB237" s="804">
        <v>268</v>
      </c>
      <c r="CC237" s="804">
        <v>268</v>
      </c>
      <c r="CD237" s="804">
        <v>268</v>
      </c>
      <c r="CE237" s="804">
        <v>268</v>
      </c>
      <c r="CF237" s="804">
        <v>268</v>
      </c>
      <c r="CG237" s="804">
        <v>268</v>
      </c>
      <c r="CH237" s="804">
        <v>268</v>
      </c>
      <c r="CI237" s="804">
        <v>268</v>
      </c>
    </row>
    <row r="238" spans="65:87">
      <c r="BM238" s="1337" t="s">
        <v>911</v>
      </c>
      <c r="BN238" s="1337" t="s">
        <v>42</v>
      </c>
      <c r="BO238" s="803" t="s">
        <v>1052</v>
      </c>
      <c r="BP238" s="804">
        <v>32</v>
      </c>
      <c r="BQ238" s="804">
        <v>21</v>
      </c>
      <c r="BR238" s="804">
        <v>7</v>
      </c>
      <c r="BS238" s="804">
        <v>3</v>
      </c>
      <c r="BT238" s="804">
        <v>17</v>
      </c>
      <c r="BU238" s="804">
        <v>9</v>
      </c>
      <c r="BV238" s="804">
        <v>22</v>
      </c>
      <c r="BW238" s="804">
        <v>19</v>
      </c>
      <c r="BX238" s="804">
        <v>146</v>
      </c>
      <c r="BY238" s="804">
        <v>134</v>
      </c>
      <c r="BZ238" s="804">
        <v>129</v>
      </c>
    </row>
    <row r="239" spans="65:87">
      <c r="BM239" s="1338"/>
      <c r="BN239" s="1338"/>
      <c r="BO239" s="803" t="s">
        <v>1053</v>
      </c>
      <c r="CA239" s="804">
        <v>88</v>
      </c>
      <c r="CB239" s="804">
        <v>110</v>
      </c>
      <c r="CC239" s="804">
        <v>110</v>
      </c>
      <c r="CD239" s="804">
        <v>110</v>
      </c>
      <c r="CE239" s="804">
        <v>110</v>
      </c>
      <c r="CF239" s="804">
        <v>110</v>
      </c>
      <c r="CG239" s="804">
        <v>110</v>
      </c>
      <c r="CH239" s="804">
        <v>110</v>
      </c>
      <c r="CI239" s="804">
        <v>110</v>
      </c>
    </row>
    <row r="240" spans="65:87">
      <c r="BM240" s="1338"/>
      <c r="BN240" s="1337" t="s">
        <v>1054</v>
      </c>
      <c r="BO240" s="803" t="s">
        <v>1052</v>
      </c>
      <c r="BP240" s="804">
        <v>53</v>
      </c>
      <c r="BQ240" s="804">
        <v>43</v>
      </c>
      <c r="BR240" s="804">
        <v>48</v>
      </c>
      <c r="BS240" s="804">
        <v>65</v>
      </c>
      <c r="BT240" s="804">
        <v>171</v>
      </c>
      <c r="BU240" s="804">
        <v>239</v>
      </c>
      <c r="BV240" s="804">
        <v>323</v>
      </c>
      <c r="BW240" s="804">
        <v>444</v>
      </c>
      <c r="BX240" s="804">
        <v>818</v>
      </c>
      <c r="BY240" s="804">
        <v>784</v>
      </c>
      <c r="BZ240" s="804">
        <v>498</v>
      </c>
    </row>
    <row r="241" spans="65:87">
      <c r="BM241" s="1338"/>
      <c r="BN241" s="1338"/>
      <c r="BO241" s="803" t="s">
        <v>1053</v>
      </c>
      <c r="CA241" s="804">
        <v>814</v>
      </c>
      <c r="CB241" s="804">
        <v>765</v>
      </c>
      <c r="CC241" s="804">
        <v>765</v>
      </c>
      <c r="CD241" s="804">
        <v>765</v>
      </c>
      <c r="CE241" s="804">
        <v>765</v>
      </c>
      <c r="CF241" s="804">
        <v>765</v>
      </c>
      <c r="CG241" s="804">
        <v>765</v>
      </c>
      <c r="CH241" s="804">
        <v>765</v>
      </c>
      <c r="CI241" s="804">
        <v>765</v>
      </c>
    </row>
    <row r="242" spans="65:87">
      <c r="BM242" s="1338"/>
      <c r="BN242" s="1337" t="s">
        <v>1055</v>
      </c>
      <c r="BO242" s="803" t="s">
        <v>1052</v>
      </c>
      <c r="BP242" s="804">
        <v>133</v>
      </c>
      <c r="BQ242" s="804">
        <v>85</v>
      </c>
      <c r="BR242" s="804">
        <v>83</v>
      </c>
      <c r="BS242" s="804">
        <v>87</v>
      </c>
      <c r="BT242" s="804">
        <v>105</v>
      </c>
      <c r="BU242" s="804">
        <v>107</v>
      </c>
      <c r="BV242" s="804">
        <v>133</v>
      </c>
      <c r="BW242" s="804">
        <v>124</v>
      </c>
      <c r="BX242" s="804">
        <v>151</v>
      </c>
      <c r="BY242" s="804">
        <v>125</v>
      </c>
      <c r="BZ242" s="804">
        <v>121</v>
      </c>
    </row>
    <row r="243" spans="65:87">
      <c r="BM243" s="1338"/>
      <c r="BN243" s="1338"/>
      <c r="BO243" s="803" t="s">
        <v>1053</v>
      </c>
      <c r="CA243" s="804">
        <v>116</v>
      </c>
      <c r="CB243" s="804">
        <v>124</v>
      </c>
      <c r="CC243" s="804">
        <v>124</v>
      </c>
      <c r="CD243" s="804">
        <v>124</v>
      </c>
      <c r="CE243" s="804">
        <v>124</v>
      </c>
      <c r="CF243" s="804">
        <v>124</v>
      </c>
      <c r="CG243" s="804">
        <v>124</v>
      </c>
      <c r="CH243" s="804">
        <v>124</v>
      </c>
      <c r="CI243" s="804">
        <v>124</v>
      </c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4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64"/>
  <sheetViews>
    <sheetView zoomScale="80" zoomScaleNormal="80" workbookViewId="0">
      <selection activeCell="AE10" sqref="AE10"/>
    </sheetView>
  </sheetViews>
  <sheetFormatPr defaultRowHeight="12.75"/>
  <cols>
    <col min="1" max="1" width="9.140625" style="1128"/>
    <col min="2" max="2" width="9.140625" style="1129"/>
    <col min="3" max="3" width="20.140625" style="1128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67"/>
    <col min="34" max="34" width="9.140625" style="1153"/>
    <col min="35" max="36" width="9.140625" style="1142"/>
    <col min="37" max="37" width="13.42578125" style="1142" customWidth="1"/>
    <col min="39" max="39" width="9.140625" style="1142"/>
    <col min="40" max="40" width="18.85546875" style="1129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29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29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29" customWidth="1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29"/>
      <c r="AP1" s="1129"/>
      <c r="BM1" s="1129"/>
    </row>
    <row r="2" spans="1:67" s="1129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67"/>
      <c r="AH2" s="1153"/>
      <c r="AI2" s="1142"/>
      <c r="AJ2" s="1142"/>
      <c r="AK2" s="1142"/>
      <c r="AM2" s="1142"/>
    </row>
    <row r="3" spans="1:67" s="1129" customFormat="1" ht="15.95" customHeight="1">
      <c r="AG3" s="1167"/>
      <c r="AH3" s="1153"/>
      <c r="AI3" s="1142"/>
      <c r="AJ3" s="1142"/>
      <c r="AK3" s="1142"/>
      <c r="AM3" s="1142"/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s="1129" customFormat="1" ht="15.95" customHeight="1" thickBot="1">
      <c r="D4" s="501" t="s">
        <v>1095</v>
      </c>
      <c r="AE4" s="1167"/>
      <c r="AF4" s="1153"/>
      <c r="AG4" s="1142"/>
      <c r="AH4" s="1142"/>
      <c r="AI4" s="1142"/>
      <c r="AK4" s="1142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s="1129" customFormat="1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F5" s="1153"/>
      <c r="AG5" s="1142"/>
      <c r="AK5" s="1142"/>
      <c r="AL5" s="1144" t="s">
        <v>401</v>
      </c>
      <c r="AM5" s="1144" t="s">
        <v>48</v>
      </c>
      <c r="AN5" s="1135">
        <f>SUMIFS(Table915[Count of EnergyRating],Table915[MainSpaceHeatingFuel],AL5,Table915[EnergyRating (group)],AM5,Table915[CountyName (group)],AN$4)</f>
        <v>0</v>
      </c>
      <c r="AO5" s="1129">
        <f>SUMIFS(Table915[Count of EnergyRating],Table915[MainSpaceHeatingFuel],AL5,Table915[EnergyRating (group)],AM5,Table915[CountyName (group)],AO$4)</f>
        <v>6</v>
      </c>
      <c r="AP5" s="1129">
        <f>SUMIFS(Table915[Count of EnergyRating],Table915[MainSpaceHeatingFuel],AL5,Table915[EnergyRating (group)],AM5,Table915[CountyName (group)],AP$4)</f>
        <v>31</v>
      </c>
      <c r="AQ5" s="1129">
        <f>SUMIFS(Table915[Count of EnergyRating],Table915[MainSpaceHeatingFuel],AL5,Table915[EnergyRating (group)],AM5,Table915[CountyName (group)],AQ$4)</f>
        <v>8</v>
      </c>
      <c r="AR5" s="1129">
        <f>SUMIFS(Table915[Count of EnergyRating],Table915[MainSpaceHeatingFuel],AL5,Table915[EnergyRating (group)],AM5,Table915[CountyName (group)],AR$4)</f>
        <v>4</v>
      </c>
      <c r="AS5" s="1129">
        <f>SUMIFS(Table915[Count of EnergyRating],Table915[MainSpaceHeatingFuel],AL5,Table915[EnergyRating (group)],AM5,Table915[CountyName (group)],AS$4)</f>
        <v>15</v>
      </c>
      <c r="AT5" s="1129">
        <f>SUMIFS(Table915[Count of EnergyRating],Table915[MainSpaceHeatingFuel],AL5,Table915[EnergyRating (group)],AM5,Table915[CountyName (group)],AT$4)</f>
        <v>20</v>
      </c>
      <c r="AU5" s="1129">
        <f>SUMIFS(Table915[Count of EnergyRating],Table915[MainSpaceHeatingFuel],AL5,Table915[EnergyRating (group)],AM5,Table915[CountyName (group)],AU$4)</f>
        <v>6</v>
      </c>
      <c r="AV5" s="1129">
        <f>SUMIFS(Table915[Count of EnergyRating],Table915[MainSpaceHeatingFuel],AL5,Table915[EnergyRating (group)],AM5,Table915[CountyName (group)],AV$4)</f>
        <v>36</v>
      </c>
      <c r="AW5" s="1129">
        <f>SUMIFS(Table915[Count of EnergyRating],Table915[MainSpaceHeatingFuel],AL5,Table915[EnergyRating (group)],AM5,Table915[CountyName (group)],AW$4)</f>
        <v>8</v>
      </c>
      <c r="AX5" s="1129">
        <f>SUMIFS(Table915[Count of EnergyRating],Table915[MainSpaceHeatingFuel],AL5,Table915[EnergyRating (group)],AM5,Table915[CountyName (group)],AX$4)</f>
        <v>262</v>
      </c>
      <c r="AY5" s="1129">
        <f>SUMIFS(Table915[Count of EnergyRating],Table915[MainSpaceHeatingFuel],AL5,Table915[EnergyRating (group)],AM5,Table915[CountyName (group)],AY$4)</f>
        <v>2</v>
      </c>
      <c r="AZ5" s="1129">
        <f>SUMIFS(Table915[Count of EnergyRating],Table915[MainSpaceHeatingFuel],AL5,Table915[EnergyRating (group)],AM5,Table915[CountyName (group)],AZ$4)</f>
        <v>0</v>
      </c>
      <c r="BA5" s="1129">
        <f>SUMIFS(Table915[Count of EnergyRating],Table915[MainSpaceHeatingFuel],AL5,Table915[EnergyRating (group)],AM5,Table915[CountyName (group)],BA$4)</f>
        <v>50</v>
      </c>
      <c r="BB5" s="1129">
        <f>SUMIFS(Table915[Count of EnergyRating],Table915[MainSpaceHeatingFuel],AL5,Table915[EnergyRating (group)],AM5,Table915[CountyName (group)],BB$4)</f>
        <v>42</v>
      </c>
      <c r="BC5" s="1129">
        <f>SUMIFS(Table915[Count of EnergyRating],Table915[MainSpaceHeatingFuel],AL5,Table915[EnergyRating (group)],AM5,Table915[CountyName (group)],BC$4)</f>
        <v>14</v>
      </c>
      <c r="BD5" s="1129">
        <f>SUMIFS(Table915[Count of EnergyRating],Table915[MainSpaceHeatingFuel],AL5,Table915[EnergyRating (group)],AM5,Table915[CountyName (group)],BD$4)</f>
        <v>4</v>
      </c>
      <c r="BE5" s="1129">
        <f>SUMIFS(Table915[Count of EnergyRating],Table915[MainSpaceHeatingFuel],AL5,Table915[EnergyRating (group)],AM5,Table915[CountyName (group)],BE$4)</f>
        <v>0</v>
      </c>
      <c r="BF5" s="1129">
        <f>SUMIFS(Table915[Count of EnergyRating],Table915[MainSpaceHeatingFuel],AL5,Table915[EnergyRating (group)],AM5,Table915[CountyName (group)],BF$4)</f>
        <v>49</v>
      </c>
      <c r="BG5" s="1129">
        <f>SUMIFS(Table915[Count of EnergyRating],Table915[MainSpaceHeatingFuel],AL5,Table915[EnergyRating (group)],AM5,Table915[CountyName (group)],BG$4)</f>
        <v>3</v>
      </c>
      <c r="BH5" s="1129">
        <f>SUMIFS(Table915[Count of EnergyRating],Table915[MainSpaceHeatingFuel],AL5,Table915[EnergyRating (group)],AM5,Table915[CountyName (group)],BH$4)</f>
        <v>25</v>
      </c>
      <c r="BI5" s="1129">
        <f>SUMIFS(Table915[Count of EnergyRating],Table915[MainSpaceHeatingFuel],AL5,Table915[EnergyRating (group)],AM5,Table915[CountyName (group)],BI$4)</f>
        <v>0</v>
      </c>
      <c r="BJ5" s="1129">
        <f>SUMIFS(Table915[Count of EnergyRating],Table915[MainSpaceHeatingFuel],AL5,Table915[EnergyRating (group)],AM5,Table915[CountyName (group)],BJ$4)</f>
        <v>7</v>
      </c>
      <c r="BK5" s="1135">
        <f>SUMIFS(Table915[Count of EnergyRating],Table915[MainSpaceHeatingFuel],AL5,Table915[EnergyRating (group)],AM5,Table915[CountyName (group)],BK$4)</f>
        <v>39</v>
      </c>
      <c r="BL5" s="1129">
        <f>SUMIFS(Table915[Count of EnergyRating],Table915[MainSpaceHeatingFuel],AL5,Table915[EnergyRating (group)],AM5,Table915[CountyName (group)],BL$4)</f>
        <v>103</v>
      </c>
      <c r="BM5" s="1129">
        <f>SUMIFS(Table915[Count of EnergyRating],Table915[MainSpaceHeatingFuel],AL5,Table915[EnergyRating (group)],AM5,Table915[CountyName (group)],BM$4)</f>
        <v>22</v>
      </c>
    </row>
    <row r="6" spans="1:67" s="1129" customFormat="1" ht="15.95" customHeight="1" thickBot="1">
      <c r="B6" s="1139" t="s">
        <v>1208</v>
      </c>
      <c r="C6" s="1139" t="s">
        <v>1106</v>
      </c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F6" s="1153"/>
      <c r="AG6" s="1142"/>
      <c r="AH6" s="1142"/>
      <c r="AI6" s="1142"/>
      <c r="AJ6" s="1142"/>
      <c r="AK6" s="1142"/>
      <c r="AL6" s="1144" t="s">
        <v>401</v>
      </c>
      <c r="AM6" s="1144" t="s">
        <v>50</v>
      </c>
      <c r="AN6" s="1135">
        <f>SUMIFS(Table915[Count of EnergyRating],Table915[MainSpaceHeatingFuel],AL6,Table915[EnergyRating (group)],AM6,Table915[CountyName (group)],AN$4)</f>
        <v>17</v>
      </c>
      <c r="AO6" s="1129">
        <f>SUMIFS(Table915[Count of EnergyRating],Table915[MainSpaceHeatingFuel],AL6,Table915[EnergyRating (group)],AM6,Table915[CountyName (group)],AO$4)</f>
        <v>7</v>
      </c>
      <c r="AP6" s="1129">
        <f>SUMIFS(Table915[Count of EnergyRating],Table915[MainSpaceHeatingFuel],AL6,Table915[EnergyRating (group)],AM6,Table915[CountyName (group)],AP$4)</f>
        <v>26</v>
      </c>
      <c r="AQ6" s="1129">
        <f>SUMIFS(Table915[Count of EnergyRating],Table915[MainSpaceHeatingFuel],AL6,Table915[EnergyRating (group)],AM6,Table915[CountyName (group)],AQ$4)</f>
        <v>7</v>
      </c>
      <c r="AR6" s="1129">
        <f>SUMIFS(Table915[Count of EnergyRating],Table915[MainSpaceHeatingFuel],AL6,Table915[EnergyRating (group)],AM6,Table915[CountyName (group)],AR$4)</f>
        <v>3</v>
      </c>
      <c r="AS6" s="1129">
        <f>SUMIFS(Table915[Count of EnergyRating],Table915[MainSpaceHeatingFuel],AL6,Table915[EnergyRating (group)],AM6,Table915[CountyName (group)],AS$4)</f>
        <v>14</v>
      </c>
      <c r="AT6" s="1129">
        <f>SUMIFS(Table915[Count of EnergyRating],Table915[MainSpaceHeatingFuel],AL6,Table915[EnergyRating (group)],AM6,Table915[CountyName (group)],AT$4)</f>
        <v>4</v>
      </c>
      <c r="AU6" s="1129">
        <f>SUMIFS(Table915[Count of EnergyRating],Table915[MainSpaceHeatingFuel],AL6,Table915[EnergyRating (group)],AM6,Table915[CountyName (group)],AU$4)</f>
        <v>1</v>
      </c>
      <c r="AV6" s="1129">
        <f>SUMIFS(Table915[Count of EnergyRating],Table915[MainSpaceHeatingFuel],AL6,Table915[EnergyRating (group)],AM6,Table915[CountyName (group)],AV$4)</f>
        <v>2</v>
      </c>
      <c r="AW6" s="1129">
        <f>SUMIFS(Table915[Count of EnergyRating],Table915[MainSpaceHeatingFuel],AL6,Table915[EnergyRating (group)],AM6,Table915[CountyName (group)],AW$4)</f>
        <v>7</v>
      </c>
      <c r="AX6" s="1129">
        <f>SUMIFS(Table915[Count of EnergyRating],Table915[MainSpaceHeatingFuel],AL6,Table915[EnergyRating (group)],AM6,Table915[CountyName (group)],AX$4)</f>
        <v>36</v>
      </c>
      <c r="AY6" s="1129">
        <f>SUMIFS(Table915[Count of EnergyRating],Table915[MainSpaceHeatingFuel],AL6,Table915[EnergyRating (group)],AM6,Table915[CountyName (group)],AY$4)</f>
        <v>17</v>
      </c>
      <c r="AZ6" s="1129">
        <f>SUMIFS(Table915[Count of EnergyRating],Table915[MainSpaceHeatingFuel],AL6,Table915[EnergyRating (group)],AM6,Table915[CountyName (group)],AZ$4)</f>
        <v>0</v>
      </c>
      <c r="BA6" s="1129">
        <f>SUMIFS(Table915[Count of EnergyRating],Table915[MainSpaceHeatingFuel],AL6,Table915[EnergyRating (group)],AM6,Table915[CountyName (group)],BA$4)</f>
        <v>35</v>
      </c>
      <c r="BB6" s="1129">
        <f>SUMIFS(Table915[Count of EnergyRating],Table915[MainSpaceHeatingFuel],AL6,Table915[EnergyRating (group)],AM6,Table915[CountyName (group)],BB$4)</f>
        <v>50</v>
      </c>
      <c r="BC6" s="1129">
        <f>SUMIFS(Table915[Count of EnergyRating],Table915[MainSpaceHeatingFuel],AL6,Table915[EnergyRating (group)],AM6,Table915[CountyName (group)],BC$4)</f>
        <v>5</v>
      </c>
      <c r="BD6" s="1129">
        <f>SUMIFS(Table915[Count of EnergyRating],Table915[MainSpaceHeatingFuel],AL6,Table915[EnergyRating (group)],AM6,Table915[CountyName (group)],BD$4)</f>
        <v>34</v>
      </c>
      <c r="BE6" s="1129">
        <f>SUMIFS(Table915[Count of EnergyRating],Table915[MainSpaceHeatingFuel],AL6,Table915[EnergyRating (group)],AM6,Table915[CountyName (group)],BE$4)</f>
        <v>34</v>
      </c>
      <c r="BF6" s="1129">
        <f>SUMIFS(Table915[Count of EnergyRating],Table915[MainSpaceHeatingFuel],AL6,Table915[EnergyRating (group)],AM6,Table915[CountyName (group)],BF$4)</f>
        <v>13</v>
      </c>
      <c r="BG6" s="1129">
        <f>SUMIFS(Table915[Count of EnergyRating],Table915[MainSpaceHeatingFuel],AL6,Table915[EnergyRating (group)],AM6,Table915[CountyName (group)],BG$4)</f>
        <v>0</v>
      </c>
      <c r="BH6" s="1129">
        <f>SUMIFS(Table915[Count of EnergyRating],Table915[MainSpaceHeatingFuel],AL6,Table915[EnergyRating (group)],AM6,Table915[CountyName (group)],BH$4)</f>
        <v>21</v>
      </c>
      <c r="BI6" s="1129">
        <f>SUMIFS(Table915[Count of EnergyRating],Table915[MainSpaceHeatingFuel],AL6,Table915[EnergyRating (group)],AM6,Table915[CountyName (group)],BI$4)</f>
        <v>0</v>
      </c>
      <c r="BJ6" s="1129">
        <f>SUMIFS(Table915[Count of EnergyRating],Table915[MainSpaceHeatingFuel],AL6,Table915[EnergyRating (group)],AM6,Table915[CountyName (group)],BJ$4)</f>
        <v>9</v>
      </c>
      <c r="BK6" s="1135">
        <f>SUMIFS(Table915[Count of EnergyRating],Table915[MainSpaceHeatingFuel],AL6,Table915[EnergyRating (group)],AM6,Table915[CountyName (group)],BK$4)</f>
        <v>18</v>
      </c>
      <c r="BL6" s="1129">
        <f>SUMIFS(Table915[Count of EnergyRating],Table915[MainSpaceHeatingFuel],AL6,Table915[EnergyRating (group)],AM6,Table915[CountyName (group)],BL$4)</f>
        <v>33</v>
      </c>
      <c r="BM6" s="1129">
        <f>SUMIFS(Table915[Count of EnergyRating],Table915[MainSpaceHeatingFuel],AL6,Table915[EnergyRating (group)],AM6,Table915[CountyName (group)],BM$4)</f>
        <v>11</v>
      </c>
    </row>
    <row r="7" spans="1:67" s="1129" customFormat="1" ht="15.95" customHeight="1">
      <c r="B7" s="1134" t="s">
        <v>1259</v>
      </c>
      <c r="C7" s="1134" t="s">
        <v>1102</v>
      </c>
      <c r="D7" s="1134" t="s">
        <v>1094</v>
      </c>
      <c r="E7" s="1145">
        <f t="shared" ref="E7:AD7" si="0">G168*((SUM(AN$5:AN$8)/SUM(AN$5:AN$13))/(SUM(G$168)/SUM(G$168:G$173)))</f>
        <v>0.25573624502201925</v>
      </c>
      <c r="F7" s="1145">
        <f t="shared" si="0"/>
        <v>2.1240466914343532</v>
      </c>
      <c r="G7" s="1145">
        <f t="shared" si="0"/>
        <v>0.68296073745318941</v>
      </c>
      <c r="H7" s="1145">
        <f t="shared" si="0"/>
        <v>0.30188013658100366</v>
      </c>
      <c r="I7" s="1145">
        <f t="shared" si="0"/>
        <v>0.26933452643019179</v>
      </c>
      <c r="J7" s="1145">
        <f t="shared" si="0"/>
        <v>0.15723831990112538</v>
      </c>
      <c r="K7" s="1145">
        <f t="shared" si="0"/>
        <v>0.44053678868511581</v>
      </c>
      <c r="L7" s="1145">
        <f t="shared" si="0"/>
        <v>0.55808620000650533</v>
      </c>
      <c r="M7" s="1145">
        <f t="shared" si="0"/>
        <v>0.21282033460999214</v>
      </c>
      <c r="N7" s="1145">
        <f t="shared" si="0"/>
        <v>0.3470626232334017</v>
      </c>
      <c r="O7" s="1145">
        <f t="shared" si="0"/>
        <v>0.50333671240828348</v>
      </c>
      <c r="P7" s="1145">
        <f t="shared" si="0"/>
        <v>0.30726720836461868</v>
      </c>
      <c r="Q7" s="1145">
        <f t="shared" si="0"/>
        <v>0.21026410433791307</v>
      </c>
      <c r="R7" s="1145">
        <f t="shared" si="0"/>
        <v>3.5798827236282422</v>
      </c>
      <c r="S7" s="1145">
        <f t="shared" si="0"/>
        <v>0.57333555721122642</v>
      </c>
      <c r="T7" s="1145">
        <f t="shared" si="0"/>
        <v>0.47479188183496546</v>
      </c>
      <c r="U7" s="1145">
        <f t="shared" si="0"/>
        <v>0.45417082653356311</v>
      </c>
      <c r="V7" s="1145">
        <f t="shared" si="0"/>
        <v>0.47806250755090018</v>
      </c>
      <c r="W7" s="1145">
        <f t="shared" si="0"/>
        <v>0.56572877335056693</v>
      </c>
      <c r="X7" s="1145">
        <f t="shared" si="0"/>
        <v>9.4615658393582047E-2</v>
      </c>
      <c r="Y7" s="1145">
        <f t="shared" si="0"/>
        <v>0.20232790013742574</v>
      </c>
      <c r="Z7" s="1145">
        <f t="shared" si="0"/>
        <v>4.5749829100161871E-2</v>
      </c>
      <c r="AA7" s="1145">
        <f t="shared" si="0"/>
        <v>0.21515814873031802</v>
      </c>
      <c r="AB7" s="1145">
        <f t="shared" si="0"/>
        <v>0.33732457850030501</v>
      </c>
      <c r="AC7" s="1145">
        <f t="shared" si="0"/>
        <v>0.40808544375498357</v>
      </c>
      <c r="AD7" s="1145">
        <f t="shared" si="0"/>
        <v>0.22838307279690834</v>
      </c>
      <c r="AE7" s="1172">
        <f>SUM(E7:AD7)</f>
        <v>14.028187529990863</v>
      </c>
      <c r="AF7" s="1153"/>
      <c r="AG7" s="1142"/>
      <c r="AH7" s="1142"/>
      <c r="AI7" s="1142"/>
      <c r="AK7" s="1142"/>
      <c r="AL7" s="1144" t="s">
        <v>401</v>
      </c>
      <c r="AM7" s="1144" t="s">
        <v>52</v>
      </c>
      <c r="AN7" s="1135">
        <f>SUMIFS(Table915[Count of EnergyRating],Table915[MainSpaceHeatingFuel],AL7,Table915[EnergyRating (group)],AM7,Table915[CountyName (group)],AN$4)</f>
        <v>26</v>
      </c>
      <c r="AO7" s="1129">
        <f>SUMIFS(Table915[Count of EnergyRating],Table915[MainSpaceHeatingFuel],AL7,Table915[EnergyRating (group)],AM7,Table915[CountyName (group)],AO$4)</f>
        <v>31</v>
      </c>
      <c r="AP7" s="1129">
        <f>SUMIFS(Table915[Count of EnergyRating],Table915[MainSpaceHeatingFuel],AL7,Table915[EnergyRating (group)],AM7,Table915[CountyName (group)],AP$4)</f>
        <v>44</v>
      </c>
      <c r="AQ7" s="1129">
        <f>SUMIFS(Table915[Count of EnergyRating],Table915[MainSpaceHeatingFuel],AL7,Table915[EnergyRating (group)],AM7,Table915[CountyName (group)],AQ$4)</f>
        <v>38</v>
      </c>
      <c r="AR7" s="1129">
        <f>SUMIFS(Table915[Count of EnergyRating],Table915[MainSpaceHeatingFuel],AL7,Table915[EnergyRating (group)],AM7,Table915[CountyName (group)],AR$4)</f>
        <v>22</v>
      </c>
      <c r="AS7" s="1129">
        <f>SUMIFS(Table915[Count of EnergyRating],Table915[MainSpaceHeatingFuel],AL7,Table915[EnergyRating (group)],AM7,Table915[CountyName (group)],AS$4)</f>
        <v>18</v>
      </c>
      <c r="AT7" s="1129">
        <f>SUMIFS(Table915[Count of EnergyRating],Table915[MainSpaceHeatingFuel],AL7,Table915[EnergyRating (group)],AM7,Table915[CountyName (group)],AT$4)</f>
        <v>22</v>
      </c>
      <c r="AU7" s="1129">
        <f>SUMIFS(Table915[Count of EnergyRating],Table915[MainSpaceHeatingFuel],AL7,Table915[EnergyRating (group)],AM7,Table915[CountyName (group)],AU$4)</f>
        <v>21</v>
      </c>
      <c r="AV7" s="1129">
        <f>SUMIFS(Table915[Count of EnergyRating],Table915[MainSpaceHeatingFuel],AL7,Table915[EnergyRating (group)],AM7,Table915[CountyName (group)],AV$4)</f>
        <v>28</v>
      </c>
      <c r="AW7" s="1129">
        <f>SUMIFS(Table915[Count of EnergyRating],Table915[MainSpaceHeatingFuel],AL7,Table915[EnergyRating (group)],AM7,Table915[CountyName (group)],AW$4)</f>
        <v>63</v>
      </c>
      <c r="AX7" s="1129">
        <f>SUMIFS(Table915[Count of EnergyRating],Table915[MainSpaceHeatingFuel],AL7,Table915[EnergyRating (group)],AM7,Table915[CountyName (group)],AX$4)</f>
        <v>76</v>
      </c>
      <c r="AY7" s="1129">
        <f>SUMIFS(Table915[Count of EnergyRating],Table915[MainSpaceHeatingFuel],AL7,Table915[EnergyRating (group)],AM7,Table915[CountyName (group)],AY$4)</f>
        <v>36</v>
      </c>
      <c r="AZ7" s="1129">
        <f>SUMIFS(Table915[Count of EnergyRating],Table915[MainSpaceHeatingFuel],AL7,Table915[EnergyRating (group)],AM7,Table915[CountyName (group)],AZ$4)</f>
        <v>22</v>
      </c>
      <c r="BA7" s="1129">
        <f>SUMIFS(Table915[Count of EnergyRating],Table915[MainSpaceHeatingFuel],AL7,Table915[EnergyRating (group)],AM7,Table915[CountyName (group)],BA$4)</f>
        <v>213</v>
      </c>
      <c r="BB7" s="1129">
        <f>SUMIFS(Table915[Count of EnergyRating],Table915[MainSpaceHeatingFuel],AL7,Table915[EnergyRating (group)],AM7,Table915[CountyName (group)],BB$4)</f>
        <v>116</v>
      </c>
      <c r="BC7" s="1129">
        <f>SUMIFS(Table915[Count of EnergyRating],Table915[MainSpaceHeatingFuel],AL7,Table915[EnergyRating (group)],AM7,Table915[CountyName (group)],BC$4)</f>
        <v>59</v>
      </c>
      <c r="BD7" s="1129">
        <f>SUMIFS(Table915[Count of EnergyRating],Table915[MainSpaceHeatingFuel],AL7,Table915[EnergyRating (group)],AM7,Table915[CountyName (group)],BD$4)</f>
        <v>90</v>
      </c>
      <c r="BE7" s="1129">
        <f>SUMIFS(Table915[Count of EnergyRating],Table915[MainSpaceHeatingFuel],AL7,Table915[EnergyRating (group)],AM7,Table915[CountyName (group)],BE$4)</f>
        <v>60</v>
      </c>
      <c r="BF7" s="1129">
        <f>SUMIFS(Table915[Count of EnergyRating],Table915[MainSpaceHeatingFuel],AL7,Table915[EnergyRating (group)],AM7,Table915[CountyName (group)],BF$4)</f>
        <v>148</v>
      </c>
      <c r="BG7" s="1129">
        <f>SUMIFS(Table915[Count of EnergyRating],Table915[MainSpaceHeatingFuel],AL7,Table915[EnergyRating (group)],AM7,Table915[CountyName (group)],BG$4)</f>
        <v>28</v>
      </c>
      <c r="BH7" s="1129">
        <f>SUMIFS(Table915[Count of EnergyRating],Table915[MainSpaceHeatingFuel],AL7,Table915[EnergyRating (group)],AM7,Table915[CountyName (group)],BH$4)</f>
        <v>47</v>
      </c>
      <c r="BI7" s="1129">
        <f>SUMIFS(Table915[Count of EnergyRating],Table915[MainSpaceHeatingFuel],AL7,Table915[EnergyRating (group)],AM7,Table915[CountyName (group)],BI$4)</f>
        <v>5</v>
      </c>
      <c r="BJ7" s="1129">
        <f>SUMIFS(Table915[Count of EnergyRating],Table915[MainSpaceHeatingFuel],AL7,Table915[EnergyRating (group)],AM7,Table915[CountyName (group)],BJ$4)</f>
        <v>36</v>
      </c>
      <c r="BK7" s="1135">
        <f>SUMIFS(Table915[Count of EnergyRating],Table915[MainSpaceHeatingFuel],AL7,Table915[EnergyRating (group)],AM7,Table915[CountyName (group)],BK$4)</f>
        <v>80</v>
      </c>
      <c r="BL7" s="1129">
        <f>SUMIFS(Table915[Count of EnergyRating],Table915[MainSpaceHeatingFuel],AL7,Table915[EnergyRating (group)],AM7,Table915[CountyName (group)],BL$4)</f>
        <v>82</v>
      </c>
      <c r="BM7" s="1129">
        <f>SUMIFS(Table915[Count of EnergyRating],Table915[MainSpaceHeatingFuel],AL7,Table915[EnergyRating (group)],AM7,Table915[CountyName (group)],BM$4)</f>
        <v>38</v>
      </c>
    </row>
    <row r="8" spans="1:67" s="1129" customFormat="1" ht="15.95" customHeight="1">
      <c r="B8" s="1136" t="s">
        <v>56</v>
      </c>
      <c r="C8" s="1136" t="s">
        <v>1102</v>
      </c>
      <c r="D8" s="1136" t="s">
        <v>1094</v>
      </c>
      <c r="E8" s="1146">
        <f t="shared" ref="E8:N12" si="1">G169*((SUM(AN9)/SUM(AN$5:AN$13))/(SUM(G169)/SUM(G$168:G$173)))</f>
        <v>1.1721244563509214</v>
      </c>
      <c r="F8" s="1146">
        <f t="shared" si="1"/>
        <v>20.384387259240714</v>
      </c>
      <c r="G8" s="1146">
        <f t="shared" si="1"/>
        <v>4.6079996268280601</v>
      </c>
      <c r="H8" s="1146">
        <f t="shared" si="1"/>
        <v>1.6800973046366849</v>
      </c>
      <c r="I8" s="1146">
        <f t="shared" si="1"/>
        <v>1.8308138361021633</v>
      </c>
      <c r="J8" s="1146">
        <f t="shared" si="1"/>
        <v>0.83463800077246031</v>
      </c>
      <c r="K8" s="1146">
        <f t="shared" si="1"/>
        <v>2.4613477459562896</v>
      </c>
      <c r="L8" s="1146">
        <f t="shared" si="1"/>
        <v>3.9534656000460844</v>
      </c>
      <c r="M8" s="1146">
        <f t="shared" si="1"/>
        <v>1.431453970370393</v>
      </c>
      <c r="N8" s="1146">
        <f t="shared" si="1"/>
        <v>1.6390182842872207</v>
      </c>
      <c r="O8" s="1146">
        <f t="shared" ref="O8:X12" si="2">Q169*((SUM(AX9)/SUM(AX$5:AX$13))/(SUM(Q169)/SUM(Q$168:Q$173)))</f>
        <v>3.0238802185632614</v>
      </c>
      <c r="P8" s="1146">
        <f t="shared" si="2"/>
        <v>2.5475952085927247</v>
      </c>
      <c r="Q8" s="1146">
        <f t="shared" si="2"/>
        <v>2.1006759582918599</v>
      </c>
      <c r="R8" s="1146">
        <f t="shared" si="2"/>
        <v>12.601959129537692</v>
      </c>
      <c r="S8" s="1146">
        <f t="shared" si="2"/>
        <v>2.5207679838551837</v>
      </c>
      <c r="T8" s="1146">
        <f t="shared" si="2"/>
        <v>4.1369858951283183</v>
      </c>
      <c r="U8" s="1146">
        <f t="shared" si="2"/>
        <v>3.1156118700202429</v>
      </c>
      <c r="V8" s="1146">
        <f t="shared" si="2"/>
        <v>2.7047305715668237</v>
      </c>
      <c r="W8" s="1146">
        <f t="shared" si="2"/>
        <v>4.2365552757853369</v>
      </c>
      <c r="X8" s="1146">
        <f t="shared" si="2"/>
        <v>0.49737150155545162</v>
      </c>
      <c r="Y8" s="1146">
        <f t="shared" ref="Y8:AD12" si="3">AA169*((SUM(BH9)/SUM(BH$5:BH$13))/(SUM(AA169)/SUM(AA$168:AA$173)))</f>
        <v>2.0246233728037422</v>
      </c>
      <c r="Z8" s="1146">
        <f t="shared" si="3"/>
        <v>1.0694960048660793</v>
      </c>
      <c r="AA8" s="1146">
        <f t="shared" si="3"/>
        <v>1.3545779790491057</v>
      </c>
      <c r="AB8" s="1146">
        <f t="shared" si="3"/>
        <v>1.2184074021662905</v>
      </c>
      <c r="AC8" s="1146">
        <f t="shared" si="3"/>
        <v>2.6964937876435497</v>
      </c>
      <c r="AD8" s="1146">
        <f t="shared" si="3"/>
        <v>0.8737442994111686</v>
      </c>
      <c r="AE8" s="1173">
        <f t="shared" ref="AE8:AE79" si="4">SUM(E8:AD8)</f>
        <v>86.718822543427834</v>
      </c>
      <c r="AF8" s="1153"/>
      <c r="AG8" s="1142"/>
      <c r="AH8" s="1142"/>
      <c r="AI8" s="1142"/>
      <c r="AK8" s="1142"/>
      <c r="AL8" s="1144" t="s">
        <v>401</v>
      </c>
      <c r="AM8" s="1144" t="s">
        <v>54</v>
      </c>
      <c r="AN8" s="1135">
        <f>SUMIFS(Table915[Count of EnergyRating],Table915[MainSpaceHeatingFuel],AL8,Table915[EnergyRating (group)],AM8,Table915[CountyName (group)],AN$4)</f>
        <v>161</v>
      </c>
      <c r="AO8" s="1129">
        <f>SUMIFS(Table915[Count of EnergyRating],Table915[MainSpaceHeatingFuel],AL8,Table915[EnergyRating (group)],AM8,Table915[CountyName (group)],AO$4)</f>
        <v>219</v>
      </c>
      <c r="AP8" s="1129">
        <f>SUMIFS(Table915[Count of EnergyRating],Table915[MainSpaceHeatingFuel],AL8,Table915[EnergyRating (group)],AM8,Table915[CountyName (group)],AP$4)</f>
        <v>243</v>
      </c>
      <c r="AQ8" s="1129">
        <f>SUMIFS(Table915[Count of EnergyRating],Table915[MainSpaceHeatingFuel],AL8,Table915[EnergyRating (group)],AM8,Table915[CountyName (group)],AQ$4)</f>
        <v>138</v>
      </c>
      <c r="AR8" s="1129">
        <f>SUMIFS(Table915[Count of EnergyRating],Table915[MainSpaceHeatingFuel],AL8,Table915[EnergyRating (group)],AM8,Table915[CountyName (group)],AR$4)</f>
        <v>134</v>
      </c>
      <c r="AS8" s="1129">
        <f>SUMIFS(Table915[Count of EnergyRating],Table915[MainSpaceHeatingFuel],AL8,Table915[EnergyRating (group)],AM8,Table915[CountyName (group)],AS$4)</f>
        <v>138</v>
      </c>
      <c r="AT8" s="1129">
        <f>SUMIFS(Table915[Count of EnergyRating],Table915[MainSpaceHeatingFuel],AL8,Table915[EnergyRating (group)],AM8,Table915[CountyName (group)],AT$4)</f>
        <v>172</v>
      </c>
      <c r="AU8" s="1129">
        <f>SUMIFS(Table915[Count of EnergyRating],Table915[MainSpaceHeatingFuel],AL8,Table915[EnergyRating (group)],AM8,Table915[CountyName (group)],AU$4)</f>
        <v>234</v>
      </c>
      <c r="AV8" s="1129">
        <f>SUMIFS(Table915[Count of EnergyRating],Table915[MainSpaceHeatingFuel],AL8,Table915[EnergyRating (group)],AM8,Table915[CountyName (group)],AV$4)</f>
        <v>91</v>
      </c>
      <c r="AW8" s="1129">
        <f>SUMIFS(Table915[Count of EnergyRating],Table915[MainSpaceHeatingFuel],AL8,Table915[EnergyRating (group)],AM8,Table915[CountyName (group)],AW$4)</f>
        <v>268</v>
      </c>
      <c r="AX8" s="1129">
        <f>SUMIFS(Table915[Count of EnergyRating],Table915[MainSpaceHeatingFuel],AL8,Table915[EnergyRating (group)],AM8,Table915[CountyName (group)],AX$4)</f>
        <v>278</v>
      </c>
      <c r="AY8" s="1129">
        <f>SUMIFS(Table915[Count of EnergyRating],Table915[MainSpaceHeatingFuel],AL8,Table915[EnergyRating (group)],AM8,Table915[CountyName (group)],AY$4)</f>
        <v>103</v>
      </c>
      <c r="AZ8" s="1129">
        <f>SUMIFS(Table915[Count of EnergyRating],Table915[MainSpaceHeatingFuel],AL8,Table915[EnergyRating (group)],AM8,Table915[CountyName (group)],AZ$4)</f>
        <v>192</v>
      </c>
      <c r="BA8" s="1129">
        <f>SUMIFS(Table915[Count of EnergyRating],Table915[MainSpaceHeatingFuel],AL8,Table915[EnergyRating (group)],AM8,Table915[CountyName (group)],BA$4)</f>
        <v>1186</v>
      </c>
      <c r="BB8" s="1129">
        <f>SUMIFS(Table915[Count of EnergyRating],Table915[MainSpaceHeatingFuel],AL8,Table915[EnergyRating (group)],AM8,Table915[CountyName (group)],BB$4)</f>
        <v>513</v>
      </c>
      <c r="BC8" s="1129">
        <f>SUMIFS(Table915[Count of EnergyRating],Table915[MainSpaceHeatingFuel],AL8,Table915[EnergyRating (group)],AM8,Table915[CountyName (group)],BC$4)</f>
        <v>201</v>
      </c>
      <c r="BD8" s="1129">
        <f>SUMIFS(Table915[Count of EnergyRating],Table915[MainSpaceHeatingFuel],AL8,Table915[EnergyRating (group)],AM8,Table915[CountyName (group)],BD$4)</f>
        <v>372</v>
      </c>
      <c r="BE8" s="1129">
        <f>SUMIFS(Table915[Count of EnergyRating],Table915[MainSpaceHeatingFuel],AL8,Table915[EnergyRating (group)],AM8,Table915[CountyName (group)],BE$4)</f>
        <v>166</v>
      </c>
      <c r="BF8" s="1129">
        <f>SUMIFS(Table915[Count of EnergyRating],Table915[MainSpaceHeatingFuel],AL8,Table915[EnergyRating (group)],AM8,Table915[CountyName (group)],BF$4)</f>
        <v>496</v>
      </c>
      <c r="BG8" s="1129">
        <f>SUMIFS(Table915[Count of EnergyRating],Table915[MainSpaceHeatingFuel],AL8,Table915[EnergyRating (group)],AM8,Table915[CountyName (group)],BG$4)</f>
        <v>117</v>
      </c>
      <c r="BH8" s="1129">
        <f>SUMIFS(Table915[Count of EnergyRating],Table915[MainSpaceHeatingFuel],AL8,Table915[EnergyRating (group)],AM8,Table915[CountyName (group)],BH$4)</f>
        <v>208</v>
      </c>
      <c r="BI8" s="1129">
        <f>SUMIFS(Table915[Count of EnergyRating],Table915[MainSpaceHeatingFuel],AL8,Table915[EnergyRating (group)],AM8,Table915[CountyName (group)],BI$4)</f>
        <v>56</v>
      </c>
      <c r="BJ8" s="1129">
        <f>SUMIFS(Table915[Count of EnergyRating],Table915[MainSpaceHeatingFuel],AL8,Table915[EnergyRating (group)],AM8,Table915[CountyName (group)],BJ$4)</f>
        <v>276</v>
      </c>
      <c r="BK8" s="1135">
        <f>SUMIFS(Table915[Count of EnergyRating],Table915[MainSpaceHeatingFuel],AL8,Table915[EnergyRating (group)],AM8,Table915[CountyName (group)],BK$4)</f>
        <v>314</v>
      </c>
      <c r="BL8" s="1129">
        <f>SUMIFS(Table915[Count of EnergyRating],Table915[MainSpaceHeatingFuel],AL8,Table915[EnergyRating (group)],AM8,Table915[CountyName (group)],BL$4)</f>
        <v>460</v>
      </c>
      <c r="BM8" s="1129">
        <f>SUMIFS(Table915[Count of EnergyRating],Table915[MainSpaceHeatingFuel],AL8,Table915[EnergyRating (group)],AM8,Table915[CountyName (group)],BM$4)</f>
        <v>216</v>
      </c>
    </row>
    <row r="9" spans="1:67" s="1129" customFormat="1" ht="15.95" customHeight="1">
      <c r="B9" s="1134" t="s">
        <v>58</v>
      </c>
      <c r="C9" s="1134" t="s">
        <v>1102</v>
      </c>
      <c r="D9" s="1134" t="s">
        <v>1094</v>
      </c>
      <c r="E9" s="1145">
        <f t="shared" si="1"/>
        <v>0.72960046373929022</v>
      </c>
      <c r="F9" s="1145">
        <f t="shared" si="1"/>
        <v>29.195546728270678</v>
      </c>
      <c r="G9" s="1145">
        <f t="shared" si="1"/>
        <v>3.9170974854509963</v>
      </c>
      <c r="H9" s="1145">
        <f t="shared" si="1"/>
        <v>0.95147561372651424</v>
      </c>
      <c r="I9" s="1145">
        <f t="shared" si="1"/>
        <v>0.71547147205075501</v>
      </c>
      <c r="J9" s="1145">
        <f t="shared" si="1"/>
        <v>0.30597727115894674</v>
      </c>
      <c r="K9" s="1145">
        <f t="shared" si="1"/>
        <v>2.1723717790665114</v>
      </c>
      <c r="L9" s="1145">
        <f t="shared" si="1"/>
        <v>2.1301000000248296</v>
      </c>
      <c r="M9" s="1145">
        <f t="shared" si="1"/>
        <v>0.799770684203155</v>
      </c>
      <c r="N9" s="1145">
        <f t="shared" si="1"/>
        <v>1.034166371542304</v>
      </c>
      <c r="O9" s="1145">
        <f t="shared" si="2"/>
        <v>1.3625602720868408</v>
      </c>
      <c r="P9" s="1145">
        <f t="shared" si="2"/>
        <v>2.0730812918777435</v>
      </c>
      <c r="Q9" s="1145">
        <f t="shared" si="2"/>
        <v>1.4934646663253639</v>
      </c>
      <c r="R9" s="1145">
        <f t="shared" si="2"/>
        <v>6.1369418119341281</v>
      </c>
      <c r="S9" s="1145">
        <f t="shared" si="2"/>
        <v>1.0751035691394981</v>
      </c>
      <c r="T9" s="1145">
        <f t="shared" si="2"/>
        <v>2.9695764652401953</v>
      </c>
      <c r="U9" s="1145">
        <f t="shared" si="2"/>
        <v>1.7140406993376676</v>
      </c>
      <c r="V9" s="1145">
        <f t="shared" si="2"/>
        <v>2.1843779191171904</v>
      </c>
      <c r="W9" s="1145">
        <f t="shared" si="2"/>
        <v>2.4656479257786046</v>
      </c>
      <c r="X9" s="1145">
        <f t="shared" si="2"/>
        <v>0.12338393290514416</v>
      </c>
      <c r="Y9" s="1145">
        <f t="shared" si="3"/>
        <v>1.0600368721485727</v>
      </c>
      <c r="Z9" s="1145">
        <f t="shared" si="3"/>
        <v>0.30224887094041364</v>
      </c>
      <c r="AA9" s="1145">
        <f t="shared" si="3"/>
        <v>0.70123189327045721</v>
      </c>
      <c r="AB9" s="1145">
        <f t="shared" si="3"/>
        <v>0.48167855555254208</v>
      </c>
      <c r="AC9" s="1145">
        <f t="shared" si="3"/>
        <v>1.0424837589729081</v>
      </c>
      <c r="AD9" s="1145">
        <f t="shared" si="3"/>
        <v>0.52758877095592416</v>
      </c>
      <c r="AE9" s="1172">
        <f t="shared" si="4"/>
        <v>67.665025144817193</v>
      </c>
      <c r="AF9" s="1153"/>
      <c r="AG9" s="1142"/>
      <c r="AH9" s="1142"/>
      <c r="AI9" s="1142"/>
      <c r="AK9" s="1142"/>
      <c r="AL9" s="1144" t="s">
        <v>401</v>
      </c>
      <c r="AM9" s="1144" t="s">
        <v>56</v>
      </c>
      <c r="AN9" s="1135">
        <f>SUMIFS(Table915[Count of EnergyRating],Table915[MainSpaceHeatingFuel],AL9,Table915[EnergyRating (group)],AM9,Table915[CountyName (group)],AN$4)</f>
        <v>935</v>
      </c>
      <c r="AO9" s="1129">
        <f>SUMIFS(Table915[Count of EnergyRating],Table915[MainSpaceHeatingFuel],AL9,Table915[EnergyRating (group)],AM9,Table915[CountyName (group)],AO$4)</f>
        <v>2524</v>
      </c>
      <c r="AP9" s="1129">
        <f>SUMIFS(Table915[Count of EnergyRating],Table915[MainSpaceHeatingFuel],AL9,Table915[EnergyRating (group)],AM9,Table915[CountyName (group)],AP$4)</f>
        <v>2321</v>
      </c>
      <c r="AQ9" s="1129">
        <f>SUMIFS(Table915[Count of EnergyRating],Table915[MainSpaceHeatingFuel],AL9,Table915[EnergyRating (group)],AM9,Table915[CountyName (group)],AQ$4)</f>
        <v>1063</v>
      </c>
      <c r="AR9" s="1129">
        <f>SUMIFS(Table915[Count of EnergyRating],Table915[MainSpaceHeatingFuel],AL9,Table915[EnergyRating (group)],AM9,Table915[CountyName (group)],AR$4)</f>
        <v>1108</v>
      </c>
      <c r="AS9" s="1129">
        <f>SUMIFS(Table915[Count of EnergyRating],Table915[MainSpaceHeatingFuel],AL9,Table915[EnergyRating (group)],AM9,Table915[CountyName (group)],AS$4)</f>
        <v>982</v>
      </c>
      <c r="AT9" s="1129">
        <f>SUMIFS(Table915[Count of EnergyRating],Table915[MainSpaceHeatingFuel],AL9,Table915[EnergyRating (group)],AM9,Table915[CountyName (group)],AT$4)</f>
        <v>1218</v>
      </c>
      <c r="AU9" s="1129">
        <f>SUMIFS(Table915[Count of EnergyRating],Table915[MainSpaceHeatingFuel],AL9,Table915[EnergyRating (group)],AM9,Table915[CountyName (group)],AU$4)</f>
        <v>1856</v>
      </c>
      <c r="AV9" s="1129">
        <f>SUMIFS(Table915[Count of EnergyRating],Table915[MainSpaceHeatingFuel],AL9,Table915[EnergyRating (group)],AM9,Table915[CountyName (group)],AV$4)</f>
        <v>1056</v>
      </c>
      <c r="AW9" s="1129">
        <f>SUMIFS(Table915[Count of EnergyRating],Table915[MainSpaceHeatingFuel],AL9,Table915[EnergyRating (group)],AM9,Table915[CountyName (group)],AW$4)</f>
        <v>1634</v>
      </c>
      <c r="AX9" s="1129">
        <f>SUMIFS(Table915[Count of EnergyRating],Table915[MainSpaceHeatingFuel],AL9,Table915[EnergyRating (group)],AM9,Table915[CountyName (group)],AX$4)</f>
        <v>3917</v>
      </c>
      <c r="AY9" s="1129">
        <f>SUMIFS(Table915[Count of EnergyRating],Table915[MainSpaceHeatingFuel],AL9,Table915[EnergyRating (group)],AM9,Table915[CountyName (group)],AY$4)</f>
        <v>1310</v>
      </c>
      <c r="AZ9" s="1129">
        <f>SUMIFS(Table915[Count of EnergyRating],Table915[MainSpaceHeatingFuel],AL9,Table915[EnergyRating (group)],AM9,Table915[CountyName (group)],AZ$4)</f>
        <v>2138</v>
      </c>
      <c r="BA9" s="1129">
        <f>SUMIFS(Table915[Count of EnergyRating],Table915[MainSpaceHeatingFuel],AL9,Table915[EnergyRating (group)],AM9,Table915[CountyName (group)],BA$4)</f>
        <v>5224</v>
      </c>
      <c r="BB9" s="1129">
        <f>SUMIFS(Table915[Count of EnergyRating],Table915[MainSpaceHeatingFuel],AL9,Table915[EnergyRating (group)],AM9,Table915[CountyName (group)],BB$4)</f>
        <v>3170</v>
      </c>
      <c r="BC9" s="1129">
        <f>SUMIFS(Table915[Count of EnergyRating],Table915[MainSpaceHeatingFuel],AL9,Table915[EnergyRating (group)],AM9,Table915[CountyName (group)],BC$4)</f>
        <v>2431</v>
      </c>
      <c r="BD9" s="1129">
        <f>SUMIFS(Table915[Count of EnergyRating],Table915[MainSpaceHeatingFuel],AL9,Table915[EnergyRating (group)],AM9,Table915[CountyName (group)],BD$4)</f>
        <v>3430</v>
      </c>
      <c r="BE9" s="1129">
        <f>SUMIFS(Table915[Count of EnergyRating],Table915[MainSpaceHeatingFuel],AL9,Table915[EnergyRating (group)],AM9,Table915[CountyName (group)],BE$4)</f>
        <v>1471</v>
      </c>
      <c r="BF9" s="1129">
        <f>SUMIFS(Table915[Count of EnergyRating],Table915[MainSpaceHeatingFuel],AL9,Table915[EnergyRating (group)],AM9,Table915[CountyName (group)],BF$4)</f>
        <v>5287</v>
      </c>
      <c r="BG9" s="1129">
        <f>SUMIFS(Table915[Count of EnergyRating],Table915[MainSpaceHeatingFuel],AL9,Table915[EnergyRating (group)],AM9,Table915[CountyName (group)],BG$4)</f>
        <v>778</v>
      </c>
      <c r="BH9" s="1129">
        <f>SUMIFS(Table915[Count of EnergyRating],Table915[MainSpaceHeatingFuel],AL9,Table915[EnergyRating (group)],AM9,Table915[CountyName (group)],BH$4)</f>
        <v>3012</v>
      </c>
      <c r="BI9" s="1129">
        <f>SUMIFS(Table915[Count of EnergyRating],Table915[MainSpaceHeatingFuel],AL9,Table915[EnergyRating (group)],AM9,Table915[CountyName (group)],BI$4)</f>
        <v>1426</v>
      </c>
      <c r="BJ9" s="1129">
        <f>SUMIFS(Table915[Count of EnergyRating],Table915[MainSpaceHeatingFuel],AL9,Table915[EnergyRating (group)],AM9,Table915[CountyName (group)],BJ$4)</f>
        <v>2065</v>
      </c>
      <c r="BK9" s="1135">
        <f>SUMIFS(Table915[Count of EnergyRating],Table915[MainSpaceHeatingFuel],AL9,Table915[EnergyRating (group)],AM9,Table915[CountyName (group)],BK$4)</f>
        <v>1629</v>
      </c>
      <c r="BL9" s="1129">
        <f>SUMIFS(Table915[Count of EnergyRating],Table915[MainSpaceHeatingFuel],AL9,Table915[EnergyRating (group)],AM9,Table915[CountyName (group)],BL$4)</f>
        <v>4480</v>
      </c>
      <c r="BM9" s="1129">
        <f>SUMIFS(Table915[Count of EnergyRating],Table915[MainSpaceHeatingFuel],AL9,Table915[EnergyRating (group)],AM9,Table915[CountyName (group)],BM$4)</f>
        <v>1098</v>
      </c>
    </row>
    <row r="10" spans="1:67" s="1129" customFormat="1" ht="15.95" customHeight="1">
      <c r="B10" s="1136" t="s">
        <v>60</v>
      </c>
      <c r="C10" s="1136" t="s">
        <v>1102</v>
      </c>
      <c r="D10" s="1136" t="s">
        <v>1094</v>
      </c>
      <c r="E10" s="1146">
        <f t="shared" si="1"/>
        <v>0.29209090730456116</v>
      </c>
      <c r="F10" s="1146">
        <f t="shared" si="1"/>
        <v>20.40861592872476</v>
      </c>
      <c r="G10" s="1146">
        <f t="shared" si="1"/>
        <v>1.3758482298112218</v>
      </c>
      <c r="H10" s="1146">
        <f t="shared" si="1"/>
        <v>0.45202994273385882</v>
      </c>
      <c r="I10" s="1146">
        <f t="shared" si="1"/>
        <v>0.32055765722366386</v>
      </c>
      <c r="J10" s="1146">
        <f t="shared" si="1"/>
        <v>6.1195454231789348E-2</v>
      </c>
      <c r="K10" s="1146">
        <f t="shared" si="1"/>
        <v>1.0750714292682642</v>
      </c>
      <c r="L10" s="1146">
        <f t="shared" si="1"/>
        <v>0.82647880000963392</v>
      </c>
      <c r="M10" s="1146">
        <f t="shared" si="1"/>
        <v>0.33075262194164384</v>
      </c>
      <c r="N10" s="1146">
        <f t="shared" si="1"/>
        <v>0.37013326003793418</v>
      </c>
      <c r="O10" s="1146">
        <f t="shared" si="2"/>
        <v>0.36283474667468285</v>
      </c>
      <c r="P10" s="1146">
        <f t="shared" si="2"/>
        <v>1.1979531667886401</v>
      </c>
      <c r="Q10" s="1146">
        <f t="shared" si="2"/>
        <v>0.4146329534140154</v>
      </c>
      <c r="R10" s="1146">
        <f t="shared" si="2"/>
        <v>2.7524569997707706</v>
      </c>
      <c r="S10" s="1146">
        <f t="shared" si="2"/>
        <v>0.31251161440223568</v>
      </c>
      <c r="T10" s="1146">
        <f t="shared" si="2"/>
        <v>1.1435847476455081</v>
      </c>
      <c r="U10" s="1146">
        <f t="shared" si="2"/>
        <v>0.70759814773929131</v>
      </c>
      <c r="V10" s="1146">
        <f t="shared" si="2"/>
        <v>0.68951323204456749</v>
      </c>
      <c r="W10" s="1146">
        <f t="shared" si="2"/>
        <v>0.62823138570374581</v>
      </c>
      <c r="X10" s="1146">
        <f t="shared" si="2"/>
        <v>5.0504304142520141E-2</v>
      </c>
      <c r="Y10" s="1146">
        <f t="shared" si="3"/>
        <v>0.2466921573104161</v>
      </c>
      <c r="Z10" s="1146">
        <f t="shared" si="3"/>
        <v>9.1499658200323755E-2</v>
      </c>
      <c r="AA10" s="1146">
        <f t="shared" si="3"/>
        <v>0.21122232893647078</v>
      </c>
      <c r="AB10" s="1146">
        <f t="shared" si="3"/>
        <v>0.13014296376730172</v>
      </c>
      <c r="AC10" s="1146">
        <f t="shared" si="3"/>
        <v>0.34789585028079723</v>
      </c>
      <c r="AD10" s="1146">
        <f t="shared" si="3"/>
        <v>0.20053147855338296</v>
      </c>
      <c r="AE10" s="1173">
        <f t="shared" si="4"/>
        <v>35.000579966662002</v>
      </c>
      <c r="AF10" s="1153"/>
      <c r="AG10" s="1142"/>
      <c r="AH10" s="1142"/>
      <c r="AI10" s="1142"/>
      <c r="AK10" s="1142"/>
      <c r="AL10" s="1144" t="s">
        <v>401</v>
      </c>
      <c r="AM10" s="1144" t="s">
        <v>58</v>
      </c>
      <c r="AN10" s="1135">
        <f>SUMIFS(Table915[Count of EnergyRating],Table915[MainSpaceHeatingFuel],AL10,Table915[EnergyRating (group)],AM10,Table915[CountyName (group)],AN$4)</f>
        <v>582</v>
      </c>
      <c r="AO10" s="1129">
        <f>SUMIFS(Table915[Count of EnergyRating],Table915[MainSpaceHeatingFuel],AL10,Table915[EnergyRating (group)],AM10,Table915[CountyName (group)],AO$4)</f>
        <v>3615</v>
      </c>
      <c r="AP10" s="1129">
        <f>SUMIFS(Table915[Count of EnergyRating],Table915[MainSpaceHeatingFuel],AL10,Table915[EnergyRating (group)],AM10,Table915[CountyName (group)],AP$4)</f>
        <v>1973</v>
      </c>
      <c r="AQ10" s="1129">
        <f>SUMIFS(Table915[Count of EnergyRating],Table915[MainSpaceHeatingFuel],AL10,Table915[EnergyRating (group)],AM10,Table915[CountyName (group)],AQ$4)</f>
        <v>602</v>
      </c>
      <c r="AR10" s="1129">
        <f>SUMIFS(Table915[Count of EnergyRating],Table915[MainSpaceHeatingFuel],AL10,Table915[EnergyRating (group)],AM10,Table915[CountyName (group)],AR$4)</f>
        <v>433</v>
      </c>
      <c r="AS10" s="1129">
        <f>SUMIFS(Table915[Count of EnergyRating],Table915[MainSpaceHeatingFuel],AL10,Table915[EnergyRating (group)],AM10,Table915[CountyName (group)],AS$4)</f>
        <v>360</v>
      </c>
      <c r="AT10" s="1129">
        <f>SUMIFS(Table915[Count of EnergyRating],Table915[MainSpaceHeatingFuel],AL10,Table915[EnergyRating (group)],AM10,Table915[CountyName (group)],AT$4)</f>
        <v>1075</v>
      </c>
      <c r="AU10" s="1129">
        <f>SUMIFS(Table915[Count of EnergyRating],Table915[MainSpaceHeatingFuel],AL10,Table915[EnergyRating (group)],AM10,Table915[CountyName (group)],AU$4)</f>
        <v>1000</v>
      </c>
      <c r="AV10" s="1129">
        <f>SUMIFS(Table915[Count of EnergyRating],Table915[MainSpaceHeatingFuel],AL10,Table915[EnergyRating (group)],AM10,Table915[CountyName (group)],AV$4)</f>
        <v>590</v>
      </c>
      <c r="AW10" s="1129">
        <f>SUMIFS(Table915[Count of EnergyRating],Table915[MainSpaceHeatingFuel],AL10,Table915[EnergyRating (group)],AM10,Table915[CountyName (group)],AW$4)</f>
        <v>1031</v>
      </c>
      <c r="AX10" s="1129">
        <f>SUMIFS(Table915[Count of EnergyRating],Table915[MainSpaceHeatingFuel],AL10,Table915[EnergyRating (group)],AM10,Table915[CountyName (group)],AX$4)</f>
        <v>1765</v>
      </c>
      <c r="AY10" s="1129">
        <f>SUMIFS(Table915[Count of EnergyRating],Table915[MainSpaceHeatingFuel],AL10,Table915[EnergyRating (group)],AM10,Table915[CountyName (group)],AY$4)</f>
        <v>1066</v>
      </c>
      <c r="AZ10" s="1129">
        <f>SUMIFS(Table915[Count of EnergyRating],Table915[MainSpaceHeatingFuel],AL10,Table915[EnergyRating (group)],AM10,Table915[CountyName (group)],AZ$4)</f>
        <v>1520</v>
      </c>
      <c r="BA10" s="1129">
        <f>SUMIFS(Table915[Count of EnergyRating],Table915[MainSpaceHeatingFuel],AL10,Table915[EnergyRating (group)],AM10,Table915[CountyName (group)],BA$4)</f>
        <v>2544</v>
      </c>
      <c r="BB10" s="1129">
        <f>SUMIFS(Table915[Count of EnergyRating],Table915[MainSpaceHeatingFuel],AL10,Table915[EnergyRating (group)],AM10,Table915[CountyName (group)],BB$4)</f>
        <v>1352</v>
      </c>
      <c r="BC10" s="1129">
        <f>SUMIFS(Table915[Count of EnergyRating],Table915[MainSpaceHeatingFuel],AL10,Table915[EnergyRating (group)],AM10,Table915[CountyName (group)],BC$4)</f>
        <v>1745</v>
      </c>
      <c r="BD10" s="1129">
        <f>SUMIFS(Table915[Count of EnergyRating],Table915[MainSpaceHeatingFuel],AL10,Table915[EnergyRating (group)],AM10,Table915[CountyName (group)],BD$4)</f>
        <v>1887</v>
      </c>
      <c r="BE10" s="1129">
        <f>SUMIFS(Table915[Count of EnergyRating],Table915[MainSpaceHeatingFuel],AL10,Table915[EnergyRating (group)],AM10,Table915[CountyName (group)],BE$4)</f>
        <v>1188</v>
      </c>
      <c r="BF10" s="1129">
        <f>SUMIFS(Table915[Count of EnergyRating],Table915[MainSpaceHeatingFuel],AL10,Table915[EnergyRating (group)],AM10,Table915[CountyName (group)],BF$4)</f>
        <v>3077</v>
      </c>
      <c r="BG10" s="1129">
        <f>SUMIFS(Table915[Count of EnergyRating],Table915[MainSpaceHeatingFuel],AL10,Table915[EnergyRating (group)],AM10,Table915[CountyName (group)],BG$4)</f>
        <v>193</v>
      </c>
      <c r="BH10" s="1129">
        <f>SUMIFS(Table915[Count of EnergyRating],Table915[MainSpaceHeatingFuel],AL10,Table915[EnergyRating (group)],AM10,Table915[CountyName (group)],BH$4)</f>
        <v>1577</v>
      </c>
      <c r="BI10" s="1129">
        <f>SUMIFS(Table915[Count of EnergyRating],Table915[MainSpaceHeatingFuel],AL10,Table915[EnergyRating (group)],AM10,Table915[CountyName (group)],BI$4)</f>
        <v>403</v>
      </c>
      <c r="BJ10" s="1129">
        <f>SUMIFS(Table915[Count of EnergyRating],Table915[MainSpaceHeatingFuel],AL10,Table915[EnergyRating (group)],AM10,Table915[CountyName (group)],BJ$4)</f>
        <v>1069</v>
      </c>
      <c r="BK10" s="1135">
        <f>SUMIFS(Table915[Count of EnergyRating],Table915[MainSpaceHeatingFuel],AL10,Table915[EnergyRating (group)],AM10,Table915[CountyName (group)],BK$4)</f>
        <v>644</v>
      </c>
      <c r="BL10" s="1129">
        <f>SUMIFS(Table915[Count of EnergyRating],Table915[MainSpaceHeatingFuel],AL10,Table915[EnergyRating (group)],AM10,Table915[CountyName (group)],BL$4)</f>
        <v>1732</v>
      </c>
      <c r="BM10" s="1129">
        <f>SUMIFS(Table915[Count of EnergyRating],Table915[MainSpaceHeatingFuel],AL10,Table915[EnergyRating (group)],AM10,Table915[CountyName (group)],BM$4)</f>
        <v>663</v>
      </c>
    </row>
    <row r="11" spans="1:67" s="1129" customFormat="1" ht="15.95" customHeight="1">
      <c r="B11" s="1134" t="s">
        <v>62</v>
      </c>
      <c r="C11" s="1134" t="s">
        <v>1102</v>
      </c>
      <c r="D11" s="1134" t="s">
        <v>1094</v>
      </c>
      <c r="E11" s="1145">
        <f t="shared" si="1"/>
        <v>0.14416504008594219</v>
      </c>
      <c r="F11" s="1145">
        <f t="shared" si="1"/>
        <v>11.104806846852608</v>
      </c>
      <c r="G11" s="1145">
        <f t="shared" si="1"/>
        <v>0.49236704328020636</v>
      </c>
      <c r="H11" s="1145">
        <f t="shared" si="1"/>
        <v>0.21337077716458375</v>
      </c>
      <c r="I11" s="1145">
        <f t="shared" si="1"/>
        <v>0.16854062390110167</v>
      </c>
      <c r="J11" s="1145">
        <f t="shared" si="1"/>
        <v>3.6547285166207519E-2</v>
      </c>
      <c r="K11" s="1145">
        <f t="shared" si="1"/>
        <v>0.53349409271958981</v>
      </c>
      <c r="L11" s="1145">
        <f t="shared" si="1"/>
        <v>0.37915780000441968</v>
      </c>
      <c r="M11" s="1145">
        <f t="shared" si="1"/>
        <v>0.15182087564534472</v>
      </c>
      <c r="N11" s="1145">
        <f t="shared" si="1"/>
        <v>0.16851595578962855</v>
      </c>
      <c r="O11" s="1145">
        <f t="shared" si="2"/>
        <v>0.1567137310105545</v>
      </c>
      <c r="P11" s="1145">
        <f t="shared" si="2"/>
        <v>0.45701135421319866</v>
      </c>
      <c r="Q11" s="1145">
        <f t="shared" si="2"/>
        <v>0.16997986004887361</v>
      </c>
      <c r="R11" s="1145">
        <f t="shared" si="2"/>
        <v>1.3316005818347636</v>
      </c>
      <c r="S11" s="1145">
        <f t="shared" si="2"/>
        <v>0.12802638656173015</v>
      </c>
      <c r="T11" s="1145">
        <f t="shared" si="2"/>
        <v>0.46117777769632845</v>
      </c>
      <c r="U11" s="1145">
        <f t="shared" si="2"/>
        <v>0.32064460353269558</v>
      </c>
      <c r="V11" s="1145">
        <f t="shared" si="2"/>
        <v>0.25190216744028204</v>
      </c>
      <c r="W11" s="1145">
        <f t="shared" si="2"/>
        <v>0.22116308986509417</v>
      </c>
      <c r="X11" s="1145">
        <f t="shared" si="2"/>
        <v>2.6211094554978807E-2</v>
      </c>
      <c r="Y11" s="1145">
        <f t="shared" si="3"/>
        <v>0.11561594293567186</v>
      </c>
      <c r="Z11" s="1145">
        <f t="shared" si="3"/>
        <v>4.3499837505071942E-2</v>
      </c>
      <c r="AA11" s="1145">
        <f t="shared" si="3"/>
        <v>0.10889101429644144</v>
      </c>
      <c r="AB11" s="1145">
        <f t="shared" si="3"/>
        <v>7.030711835704806E-2</v>
      </c>
      <c r="AC11" s="1145">
        <f t="shared" si="3"/>
        <v>0.1426493365338217</v>
      </c>
      <c r="AD11" s="1145">
        <f t="shared" si="3"/>
        <v>8.1963263059517621E-2</v>
      </c>
      <c r="AE11" s="1172">
        <f t="shared" si="4"/>
        <v>17.480143500055703</v>
      </c>
      <c r="AF11" s="1153"/>
      <c r="AG11" s="1142"/>
      <c r="AH11" s="1137" t="s">
        <v>1157</v>
      </c>
      <c r="AI11" s="1137" t="s">
        <v>1160</v>
      </c>
      <c r="AJ11" s="1159" t="s">
        <v>1159</v>
      </c>
      <c r="AK11" s="1142"/>
      <c r="AL11" s="1144" t="s">
        <v>401</v>
      </c>
      <c r="AM11" s="1144" t="s">
        <v>60</v>
      </c>
      <c r="AN11" s="1135">
        <f>SUMIFS(Table915[Count of EnergyRating],Table915[MainSpaceHeatingFuel],AL11,Table915[EnergyRating (group)],AM11,Table915[CountyName (group)],AN$4)</f>
        <v>233</v>
      </c>
      <c r="AO11" s="1129">
        <f>SUMIFS(Table915[Count of EnergyRating],Table915[MainSpaceHeatingFuel],AL11,Table915[EnergyRating (group)],AM11,Table915[CountyName (group)],AO$4)</f>
        <v>2527</v>
      </c>
      <c r="AP11" s="1129">
        <f>SUMIFS(Table915[Count of EnergyRating],Table915[MainSpaceHeatingFuel],AL11,Table915[EnergyRating (group)],AM11,Table915[CountyName (group)],AP$4)</f>
        <v>693</v>
      </c>
      <c r="AQ11" s="1129">
        <f>SUMIFS(Table915[Count of EnergyRating],Table915[MainSpaceHeatingFuel],AL11,Table915[EnergyRating (group)],AM11,Table915[CountyName (group)],AQ$4)</f>
        <v>286</v>
      </c>
      <c r="AR11" s="1129">
        <f>SUMIFS(Table915[Count of EnergyRating],Table915[MainSpaceHeatingFuel],AL11,Table915[EnergyRating (group)],AM11,Table915[CountyName (group)],AR$4)</f>
        <v>194</v>
      </c>
      <c r="AS11" s="1129">
        <f>SUMIFS(Table915[Count of EnergyRating],Table915[MainSpaceHeatingFuel],AL11,Table915[EnergyRating (group)],AM11,Table915[CountyName (group)],AS$4)</f>
        <v>72</v>
      </c>
      <c r="AT11" s="1129">
        <f>SUMIFS(Table915[Count of EnergyRating],Table915[MainSpaceHeatingFuel],AL11,Table915[EnergyRating (group)],AM11,Table915[CountyName (group)],AT$4)</f>
        <v>532</v>
      </c>
      <c r="AU11" s="1129">
        <f>SUMIFS(Table915[Count of EnergyRating],Table915[MainSpaceHeatingFuel],AL11,Table915[EnergyRating (group)],AM11,Table915[CountyName (group)],AU$4)</f>
        <v>388</v>
      </c>
      <c r="AV11" s="1129">
        <f>SUMIFS(Table915[Count of EnergyRating],Table915[MainSpaceHeatingFuel],AL11,Table915[EnergyRating (group)],AM11,Table915[CountyName (group)],AV$4)</f>
        <v>244</v>
      </c>
      <c r="AW11" s="1129">
        <f>SUMIFS(Table915[Count of EnergyRating],Table915[MainSpaceHeatingFuel],AL11,Table915[EnergyRating (group)],AM11,Table915[CountyName (group)],AW$4)</f>
        <v>369</v>
      </c>
      <c r="AX11" s="1129">
        <f>SUMIFS(Table915[Count of EnergyRating],Table915[MainSpaceHeatingFuel],AL11,Table915[EnergyRating (group)],AM11,Table915[CountyName (group)],AX$4)</f>
        <v>470</v>
      </c>
      <c r="AY11" s="1129">
        <f>SUMIFS(Table915[Count of EnergyRating],Table915[MainSpaceHeatingFuel],AL11,Table915[EnergyRating (group)],AM11,Table915[CountyName (group)],AY$4)</f>
        <v>616</v>
      </c>
      <c r="AZ11" s="1129">
        <f>SUMIFS(Table915[Count of EnergyRating],Table915[MainSpaceHeatingFuel],AL11,Table915[EnergyRating (group)],AM11,Table915[CountyName (group)],AZ$4)</f>
        <v>422</v>
      </c>
      <c r="BA11" s="1129">
        <f>SUMIFS(Table915[Count of EnergyRating],Table915[MainSpaceHeatingFuel],AL11,Table915[EnergyRating (group)],AM11,Table915[CountyName (group)],BA$4)</f>
        <v>1141</v>
      </c>
      <c r="BB11" s="1129">
        <f>SUMIFS(Table915[Count of EnergyRating],Table915[MainSpaceHeatingFuel],AL11,Table915[EnergyRating (group)],AM11,Table915[CountyName (group)],BB$4)</f>
        <v>393</v>
      </c>
      <c r="BC11" s="1129">
        <f>SUMIFS(Table915[Count of EnergyRating],Table915[MainSpaceHeatingFuel],AL11,Table915[EnergyRating (group)],AM11,Table915[CountyName (group)],BC$4)</f>
        <v>672</v>
      </c>
      <c r="BD11" s="1129">
        <f>SUMIFS(Table915[Count of EnergyRating],Table915[MainSpaceHeatingFuel],AL11,Table915[EnergyRating (group)],AM11,Table915[CountyName (group)],BD$4)</f>
        <v>779</v>
      </c>
      <c r="BE11" s="1129">
        <f>SUMIFS(Table915[Count of EnergyRating],Table915[MainSpaceHeatingFuel],AL11,Table915[EnergyRating (group)],AM11,Table915[CountyName (group)],BE$4)</f>
        <v>375</v>
      </c>
      <c r="BF11" s="1129">
        <f>SUMIFS(Table915[Count of EnergyRating],Table915[MainSpaceHeatingFuel],AL11,Table915[EnergyRating (group)],AM11,Table915[CountyName (group)],BF$4)</f>
        <v>784</v>
      </c>
      <c r="BG11" s="1129">
        <f>SUMIFS(Table915[Count of EnergyRating],Table915[MainSpaceHeatingFuel],AL11,Table915[EnergyRating (group)],AM11,Table915[CountyName (group)],BG$4)</f>
        <v>79</v>
      </c>
      <c r="BH11" s="1129">
        <f>SUMIFS(Table915[Count of EnergyRating],Table915[MainSpaceHeatingFuel],AL11,Table915[EnergyRating (group)],AM11,Table915[CountyName (group)],BH$4)</f>
        <v>367</v>
      </c>
      <c r="BI11" s="1129">
        <f>SUMIFS(Table915[Count of EnergyRating],Table915[MainSpaceHeatingFuel],AL11,Table915[EnergyRating (group)],AM11,Table915[CountyName (group)],BI$4)</f>
        <v>122</v>
      </c>
      <c r="BJ11" s="1129">
        <f>SUMIFS(Table915[Count of EnergyRating],Table915[MainSpaceHeatingFuel],AL11,Table915[EnergyRating (group)],AM11,Table915[CountyName (group)],BJ$4)</f>
        <v>322</v>
      </c>
      <c r="BK11" s="1135">
        <f>SUMIFS(Table915[Count of EnergyRating],Table915[MainSpaceHeatingFuel],AL11,Table915[EnergyRating (group)],AM11,Table915[CountyName (group)],BK$4)</f>
        <v>174</v>
      </c>
      <c r="BL11" s="1129">
        <f>SUMIFS(Table915[Count of EnergyRating],Table915[MainSpaceHeatingFuel],AL11,Table915[EnergyRating (group)],AM11,Table915[CountyName (group)],BL$4)</f>
        <v>578</v>
      </c>
      <c r="BM11" s="1129">
        <f>SUMIFS(Table915[Count of EnergyRating],Table915[MainSpaceHeatingFuel],AL11,Table915[EnergyRating (group)],AM11,Table915[CountyName (group)],BM$4)</f>
        <v>252</v>
      </c>
    </row>
    <row r="12" spans="1:67" s="1129" customFormat="1" ht="15.95" customHeight="1" thickBot="1">
      <c r="B12" s="1138" t="s">
        <v>64</v>
      </c>
      <c r="C12" s="1138" t="s">
        <v>1102</v>
      </c>
      <c r="D12" s="1138" t="s">
        <v>1094</v>
      </c>
      <c r="E12" s="1147">
        <f t="shared" si="1"/>
        <v>0.10781037780340026</v>
      </c>
      <c r="F12" s="1147">
        <f t="shared" si="1"/>
        <v>6.5821218764980909</v>
      </c>
      <c r="G12" s="1147">
        <f t="shared" si="1"/>
        <v>0.35140712363143761</v>
      </c>
      <c r="H12" s="1147">
        <f t="shared" si="1"/>
        <v>0.14856928187756199</v>
      </c>
      <c r="I12" s="1147">
        <f t="shared" si="1"/>
        <v>0.14375523803329257</v>
      </c>
      <c r="J12" s="1147">
        <f t="shared" si="1"/>
        <v>2.6348042794242639E-2</v>
      </c>
      <c r="K12" s="1147">
        <f t="shared" si="1"/>
        <v>0.59411842143772498</v>
      </c>
      <c r="L12" s="1147">
        <f t="shared" si="1"/>
        <v>0.27265280000317821</v>
      </c>
      <c r="M12" s="1147">
        <f t="shared" si="1"/>
        <v>0.14097652738496294</v>
      </c>
      <c r="N12" s="1147">
        <f t="shared" si="1"/>
        <v>0.11535318402266241</v>
      </c>
      <c r="O12" s="1147">
        <f t="shared" si="2"/>
        <v>9.8814569307147659E-2</v>
      </c>
      <c r="P12" s="1147">
        <f t="shared" si="2"/>
        <v>0.35783016670310031</v>
      </c>
      <c r="Q12" s="1147">
        <f t="shared" si="2"/>
        <v>0.14050358373982039</v>
      </c>
      <c r="R12" s="1147">
        <f t="shared" si="2"/>
        <v>0.99387579658681624</v>
      </c>
      <c r="S12" s="1147">
        <f t="shared" si="2"/>
        <v>8.9857029077487632E-2</v>
      </c>
      <c r="T12" s="1147">
        <f t="shared" si="2"/>
        <v>0.30972086915399172</v>
      </c>
      <c r="U12" s="1147">
        <f t="shared" si="2"/>
        <v>0.26523576269560084</v>
      </c>
      <c r="V12" s="1147">
        <f t="shared" si="2"/>
        <v>0.21328942644578627</v>
      </c>
      <c r="W12" s="1147">
        <f t="shared" si="2"/>
        <v>0.14824337545305225</v>
      </c>
      <c r="X12" s="1147">
        <f t="shared" si="2"/>
        <v>2.8128979522416282E-2</v>
      </c>
      <c r="Y12" s="1147">
        <f t="shared" si="3"/>
        <v>0.10150004292608401</v>
      </c>
      <c r="Z12" s="1147">
        <f t="shared" si="3"/>
        <v>5.699978707561152E-2</v>
      </c>
      <c r="AA12" s="1147">
        <f t="shared" si="3"/>
        <v>7.2156696220533487E-2</v>
      </c>
      <c r="AB12" s="1147">
        <f t="shared" si="3"/>
        <v>7.1055066424676225E-2</v>
      </c>
      <c r="AC12" s="1147">
        <f t="shared" si="3"/>
        <v>0.12037918694837274</v>
      </c>
      <c r="AD12" s="1147">
        <f t="shared" si="3"/>
        <v>7.0822625362107455E-2</v>
      </c>
      <c r="AE12" s="1174">
        <f t="shared" si="4"/>
        <v>11.621525837129159</v>
      </c>
      <c r="AF12" s="1153"/>
      <c r="AG12" s="58" t="s">
        <v>1163</v>
      </c>
      <c r="AH12" s="1158">
        <f>SUM(E7:AD12)</f>
        <v>232.51428452208268</v>
      </c>
      <c r="AI12" s="1140">
        <f>'SHWLP-Att'!S14</f>
        <v>232.51428452208268</v>
      </c>
      <c r="AJ12" s="1160">
        <f>(AI12-AH12)/AI12</f>
        <v>0</v>
      </c>
      <c r="AK12" s="1142"/>
      <c r="AL12" s="1144" t="s">
        <v>401</v>
      </c>
      <c r="AM12" s="1144" t="s">
        <v>62</v>
      </c>
      <c r="AN12" s="1135">
        <f>SUMIFS(Table915[Count of EnergyRating],Table915[MainSpaceHeatingFuel],AL12,Table915[EnergyRating (group)],AM12,Table915[CountyName (group)],AN$4)</f>
        <v>115</v>
      </c>
      <c r="AO12" s="1129">
        <f>SUMIFS(Table915[Count of EnergyRating],Table915[MainSpaceHeatingFuel],AL12,Table915[EnergyRating (group)],AM12,Table915[CountyName (group)],AO$4)</f>
        <v>1375</v>
      </c>
      <c r="AP12" s="1129">
        <f>SUMIFS(Table915[Count of EnergyRating],Table915[MainSpaceHeatingFuel],AL12,Table915[EnergyRating (group)],AM12,Table915[CountyName (group)],AP$4)</f>
        <v>248</v>
      </c>
      <c r="AQ12" s="1129">
        <f>SUMIFS(Table915[Count of EnergyRating],Table915[MainSpaceHeatingFuel],AL12,Table915[EnergyRating (group)],AM12,Table915[CountyName (group)],AQ$4)</f>
        <v>135</v>
      </c>
      <c r="AR12" s="1129">
        <f>SUMIFS(Table915[Count of EnergyRating],Table915[MainSpaceHeatingFuel],AL12,Table915[EnergyRating (group)],AM12,Table915[CountyName (group)],AR$4)</f>
        <v>102</v>
      </c>
      <c r="AS12" s="1129">
        <f>SUMIFS(Table915[Count of EnergyRating],Table915[MainSpaceHeatingFuel],AL12,Table915[EnergyRating (group)],AM12,Table915[CountyName (group)],AS$4)</f>
        <v>43</v>
      </c>
      <c r="AT12" s="1129">
        <f>SUMIFS(Table915[Count of EnergyRating],Table915[MainSpaceHeatingFuel],AL12,Table915[EnergyRating (group)],AM12,Table915[CountyName (group)],AT$4)</f>
        <v>264</v>
      </c>
      <c r="AU12" s="1129">
        <f>SUMIFS(Table915[Count of EnergyRating],Table915[MainSpaceHeatingFuel],AL12,Table915[EnergyRating (group)],AM12,Table915[CountyName (group)],AU$4)</f>
        <v>178</v>
      </c>
      <c r="AV12" s="1129">
        <f>SUMIFS(Table915[Count of EnergyRating],Table915[MainSpaceHeatingFuel],AL12,Table915[EnergyRating (group)],AM12,Table915[CountyName (group)],AV$4)</f>
        <v>112</v>
      </c>
      <c r="AW12" s="1129">
        <f>SUMIFS(Table915[Count of EnergyRating],Table915[MainSpaceHeatingFuel],AL12,Table915[EnergyRating (group)],AM12,Table915[CountyName (group)],AW$4)</f>
        <v>168</v>
      </c>
      <c r="AX12" s="1129">
        <f>SUMIFS(Table915[Count of EnergyRating],Table915[MainSpaceHeatingFuel],AL12,Table915[EnergyRating (group)],AM12,Table915[CountyName (group)],AX$4)</f>
        <v>203</v>
      </c>
      <c r="AY12" s="1129">
        <f>SUMIFS(Table915[Count of EnergyRating],Table915[MainSpaceHeatingFuel],AL12,Table915[EnergyRating (group)],AM12,Table915[CountyName (group)],AY$4)</f>
        <v>235</v>
      </c>
      <c r="AZ12" s="1129">
        <f>SUMIFS(Table915[Count of EnergyRating],Table915[MainSpaceHeatingFuel],AL12,Table915[EnergyRating (group)],AM12,Table915[CountyName (group)],AZ$4)</f>
        <v>173</v>
      </c>
      <c r="BA12" s="1129">
        <f>SUMIFS(Table915[Count of EnergyRating],Table915[MainSpaceHeatingFuel],AL12,Table915[EnergyRating (group)],AM12,Table915[CountyName (group)],BA$4)</f>
        <v>552</v>
      </c>
      <c r="BB12" s="1129">
        <f>SUMIFS(Table915[Count of EnergyRating],Table915[MainSpaceHeatingFuel],AL12,Table915[EnergyRating (group)],AM12,Table915[CountyName (group)],BB$4)</f>
        <v>161</v>
      </c>
      <c r="BC12" s="1129">
        <f>SUMIFS(Table915[Count of EnergyRating],Table915[MainSpaceHeatingFuel],AL12,Table915[EnergyRating (group)],AM12,Table915[CountyName (group)],BC$4)</f>
        <v>271</v>
      </c>
      <c r="BD12" s="1129">
        <f>SUMIFS(Table915[Count of EnergyRating],Table915[MainSpaceHeatingFuel],AL12,Table915[EnergyRating (group)],AM12,Table915[CountyName (group)],BD$4)</f>
        <v>353</v>
      </c>
      <c r="BE12" s="1129">
        <f>SUMIFS(Table915[Count of EnergyRating],Table915[MainSpaceHeatingFuel],AL12,Table915[EnergyRating (group)],AM12,Table915[CountyName (group)],BE$4)</f>
        <v>137</v>
      </c>
      <c r="BF12" s="1129">
        <f>SUMIFS(Table915[Count of EnergyRating],Table915[MainSpaceHeatingFuel],AL12,Table915[EnergyRating (group)],AM12,Table915[CountyName (group)],BF$4)</f>
        <v>276</v>
      </c>
      <c r="BG12" s="1129">
        <f>SUMIFS(Table915[Count of EnergyRating],Table915[MainSpaceHeatingFuel],AL12,Table915[EnergyRating (group)],AM12,Table915[CountyName (group)],BG$4)</f>
        <v>41</v>
      </c>
      <c r="BH12" s="1129">
        <f>SUMIFS(Table915[Count of EnergyRating],Table915[MainSpaceHeatingFuel],AL12,Table915[EnergyRating (group)],AM12,Table915[CountyName (group)],BH$4)</f>
        <v>172</v>
      </c>
      <c r="BI12" s="1129">
        <f>SUMIFS(Table915[Count of EnergyRating],Table915[MainSpaceHeatingFuel],AL12,Table915[EnergyRating (group)],AM12,Table915[CountyName (group)],BI$4)</f>
        <v>58</v>
      </c>
      <c r="BJ12" s="1129">
        <f>SUMIFS(Table915[Count of EnergyRating],Table915[MainSpaceHeatingFuel],AL12,Table915[EnergyRating (group)],AM12,Table915[CountyName (group)],BJ$4)</f>
        <v>166</v>
      </c>
      <c r="BK12" s="1135">
        <f>SUMIFS(Table915[Count of EnergyRating],Table915[MainSpaceHeatingFuel],AL12,Table915[EnergyRating (group)],AM12,Table915[CountyName (group)],BK$4)</f>
        <v>94</v>
      </c>
      <c r="BL12" s="1129">
        <f>SUMIFS(Table915[Count of EnergyRating],Table915[MainSpaceHeatingFuel],AL12,Table915[EnergyRating (group)],AM12,Table915[CountyName (group)],BL$4)</f>
        <v>237</v>
      </c>
      <c r="BM12" s="1129">
        <f>SUMIFS(Table915[Count of EnergyRating],Table915[MainSpaceHeatingFuel],AL12,Table915[EnergyRating (group)],AM12,Table915[CountyName (group)],BM$4)</f>
        <v>103</v>
      </c>
    </row>
    <row r="13" spans="1:67" s="1129" customFormat="1" ht="15.95" customHeight="1" thickBot="1">
      <c r="B13" s="1138" t="s">
        <v>1075</v>
      </c>
      <c r="C13" s="1147" t="s">
        <v>1102</v>
      </c>
      <c r="D13" s="1138" t="s">
        <v>1094</v>
      </c>
      <c r="E13" s="1147">
        <f>SUM(E7:E12)</f>
        <v>2.7015274903061348</v>
      </c>
      <c r="F13" s="1147">
        <f t="shared" ref="F13:AE13" si="5">SUM(F7:F12)</f>
        <v>89.799525331021215</v>
      </c>
      <c r="G13" s="1147">
        <f t="shared" si="5"/>
        <v>11.427680246455111</v>
      </c>
      <c r="H13" s="1147">
        <f t="shared" si="5"/>
        <v>3.7474230567202076</v>
      </c>
      <c r="I13" s="1147">
        <f t="shared" si="5"/>
        <v>3.4484733537411683</v>
      </c>
      <c r="J13" s="1147">
        <f t="shared" si="5"/>
        <v>1.4219443740247719</v>
      </c>
      <c r="K13" s="1147">
        <f t="shared" si="5"/>
        <v>7.2769402571334947</v>
      </c>
      <c r="L13" s="1147">
        <f t="shared" si="5"/>
        <v>8.1199412000946491</v>
      </c>
      <c r="M13" s="1147">
        <f t="shared" si="5"/>
        <v>3.0675950141554917</v>
      </c>
      <c r="N13" s="1147">
        <f t="shared" si="5"/>
        <v>3.6742496789131516</v>
      </c>
      <c r="O13" s="1147">
        <f t="shared" si="5"/>
        <v>5.5081402500507712</v>
      </c>
      <c r="P13" s="1147">
        <f t="shared" si="5"/>
        <v>6.9407383965400262</v>
      </c>
      <c r="Q13" s="1147">
        <f t="shared" si="5"/>
        <v>4.5295211261578467</v>
      </c>
      <c r="R13" s="1147">
        <f t="shared" si="5"/>
        <v>27.396717043292416</v>
      </c>
      <c r="S13" s="1147">
        <f t="shared" si="5"/>
        <v>4.6996021402473618</v>
      </c>
      <c r="T13" s="1147">
        <f t="shared" si="5"/>
        <v>9.4958376366993082</v>
      </c>
      <c r="U13" s="1147">
        <f t="shared" si="5"/>
        <v>6.5773019098590604</v>
      </c>
      <c r="V13" s="1147">
        <f t="shared" si="5"/>
        <v>6.5218758241655506</v>
      </c>
      <c r="W13" s="1147">
        <f t="shared" si="5"/>
        <v>8.2655698259364012</v>
      </c>
      <c r="X13" s="1147">
        <f t="shared" si="5"/>
        <v>0.82021547107409309</v>
      </c>
      <c r="Y13" s="1147">
        <f t="shared" si="5"/>
        <v>3.7507962882619128</v>
      </c>
      <c r="Z13" s="1147">
        <f t="shared" si="5"/>
        <v>1.6094939876876622</v>
      </c>
      <c r="AA13" s="1147">
        <f t="shared" si="5"/>
        <v>2.6632380605033266</v>
      </c>
      <c r="AB13" s="1147">
        <f t="shared" si="5"/>
        <v>2.3089156847681633</v>
      </c>
      <c r="AC13" s="1147">
        <f t="shared" si="5"/>
        <v>4.7579873641344337</v>
      </c>
      <c r="AD13" s="1147">
        <f t="shared" si="5"/>
        <v>1.9830335101390089</v>
      </c>
      <c r="AE13" s="1147">
        <f t="shared" si="5"/>
        <v>232.51428452208273</v>
      </c>
      <c r="AF13" s="1153"/>
      <c r="AG13" s="58" t="s">
        <v>1107</v>
      </c>
      <c r="AH13" s="1158">
        <f>SUM(E14:AD14)</f>
        <v>231.42114126796244</v>
      </c>
      <c r="AI13" s="1140">
        <f>'SHWLP-Att'!S40</f>
        <v>231.42114126796241</v>
      </c>
      <c r="AJ13" s="1160">
        <f>(AI13-AH13)/AI13</f>
        <v>-1.2281379857812787E-16</v>
      </c>
      <c r="AK13" s="1142"/>
      <c r="AL13" s="1144" t="s">
        <v>401</v>
      </c>
      <c r="AM13" s="1144" t="s">
        <v>64</v>
      </c>
      <c r="AN13" s="1135">
        <f>SUMIFS(Table915[Count of EnergyRating],Table915[MainSpaceHeatingFuel],AL13,Table915[EnergyRating (group)],AM13,Table915[CountyName (group)],AN$4)</f>
        <v>86</v>
      </c>
      <c r="AO13" s="1129">
        <f>SUMIFS(Table915[Count of EnergyRating],Table915[MainSpaceHeatingFuel],AL13,Table915[EnergyRating (group)],AM13,Table915[CountyName (group)],AO$4)</f>
        <v>815</v>
      </c>
      <c r="AP13" s="1129">
        <f>SUMIFS(Table915[Count of EnergyRating],Table915[MainSpaceHeatingFuel],AL13,Table915[EnergyRating (group)],AM13,Table915[CountyName (group)],AP$4)</f>
        <v>177</v>
      </c>
      <c r="AQ13" s="1129">
        <f>SUMIFS(Table915[Count of EnergyRating],Table915[MainSpaceHeatingFuel],AL13,Table915[EnergyRating (group)],AM13,Table915[CountyName (group)],AQ$4)</f>
        <v>94</v>
      </c>
      <c r="AR13" s="1129">
        <f>SUMIFS(Table915[Count of EnergyRating],Table915[MainSpaceHeatingFuel],AL13,Table915[EnergyRating (group)],AM13,Table915[CountyName (group)],AR$4)</f>
        <v>87</v>
      </c>
      <c r="AS13" s="1129">
        <f>SUMIFS(Table915[Count of EnergyRating],Table915[MainSpaceHeatingFuel],AL13,Table915[EnergyRating (group)],AM13,Table915[CountyName (group)],AS$4)</f>
        <v>31</v>
      </c>
      <c r="AT13" s="1129">
        <f>SUMIFS(Table915[Count of EnergyRating],Table915[MainSpaceHeatingFuel],AL13,Table915[EnergyRating (group)],AM13,Table915[CountyName (group)],AT$4)</f>
        <v>294</v>
      </c>
      <c r="AU13" s="1129">
        <f>SUMIFS(Table915[Count of EnergyRating],Table915[MainSpaceHeatingFuel],AL13,Table915[EnergyRating (group)],AM13,Table915[CountyName (group)],AU$4)</f>
        <v>128</v>
      </c>
      <c r="AV13" s="1129">
        <f>SUMIFS(Table915[Count of EnergyRating],Table915[MainSpaceHeatingFuel],AL13,Table915[EnergyRating (group)],AM13,Table915[CountyName (group)],AV$4)</f>
        <v>104</v>
      </c>
      <c r="AW13" s="1129">
        <f>SUMIFS(Table915[Count of EnergyRating],Table915[MainSpaceHeatingFuel],AL13,Table915[EnergyRating (group)],AM13,Table915[CountyName (group)],AW$4)</f>
        <v>115</v>
      </c>
      <c r="AX13" s="1129">
        <f>SUMIFS(Table915[Count of EnergyRating],Table915[MainSpaceHeatingFuel],AL13,Table915[EnergyRating (group)],AM13,Table915[CountyName (group)],AX$4)</f>
        <v>128</v>
      </c>
      <c r="AY13" s="1129">
        <f>SUMIFS(Table915[Count of EnergyRating],Table915[MainSpaceHeatingFuel],AL13,Table915[EnergyRating (group)],AM13,Table915[CountyName (group)],AY$4)</f>
        <v>184</v>
      </c>
      <c r="AZ13" s="1129">
        <f>SUMIFS(Table915[Count of EnergyRating],Table915[MainSpaceHeatingFuel],AL13,Table915[EnergyRating (group)],AM13,Table915[CountyName (group)],AZ$4)</f>
        <v>143</v>
      </c>
      <c r="BA13" s="1129">
        <f>SUMIFS(Table915[Count of EnergyRating],Table915[MainSpaceHeatingFuel],AL13,Table915[EnergyRating (group)],AM13,Table915[CountyName (group)],BA$4)</f>
        <v>412</v>
      </c>
      <c r="BB13" s="1129">
        <f>SUMIFS(Table915[Count of EnergyRating],Table915[MainSpaceHeatingFuel],AL13,Table915[EnergyRating (group)],AM13,Table915[CountyName (group)],BB$4)</f>
        <v>113</v>
      </c>
      <c r="BC13" s="1129">
        <f>SUMIFS(Table915[Count of EnergyRating],Table915[MainSpaceHeatingFuel],AL13,Table915[EnergyRating (group)],AM13,Table915[CountyName (group)],BC$4)</f>
        <v>182</v>
      </c>
      <c r="BD13" s="1129">
        <f>SUMIFS(Table915[Count of EnergyRating],Table915[MainSpaceHeatingFuel],AL13,Table915[EnergyRating (group)],AM13,Table915[CountyName (group)],BD$4)</f>
        <v>292</v>
      </c>
      <c r="BE13" s="1129">
        <f>SUMIFS(Table915[Count of EnergyRating],Table915[MainSpaceHeatingFuel],AL13,Table915[EnergyRating (group)],AM13,Table915[CountyName (group)],BE$4)</f>
        <v>116</v>
      </c>
      <c r="BF13" s="1129">
        <f>SUMIFS(Table915[Count of EnergyRating],Table915[MainSpaceHeatingFuel],AL13,Table915[EnergyRating (group)],AM13,Table915[CountyName (group)],BF$4)</f>
        <v>185</v>
      </c>
      <c r="BG13" s="1129">
        <f>SUMIFS(Table915[Count of EnergyRating],Table915[MainSpaceHeatingFuel],AL13,Table915[EnergyRating (group)],AM13,Table915[CountyName (group)],BG$4)</f>
        <v>44</v>
      </c>
      <c r="BH13" s="1129">
        <f>SUMIFS(Table915[Count of EnergyRating],Table915[MainSpaceHeatingFuel],AL13,Table915[EnergyRating (group)],AM13,Table915[CountyName (group)],BH$4)</f>
        <v>151</v>
      </c>
      <c r="BI13" s="1129">
        <f>SUMIFS(Table915[Count of EnergyRating],Table915[MainSpaceHeatingFuel],AL13,Table915[EnergyRating (group)],AM13,Table915[CountyName (group)],BI$4)</f>
        <v>76</v>
      </c>
      <c r="BJ13" s="1129">
        <f>SUMIFS(Table915[Count of EnergyRating],Table915[MainSpaceHeatingFuel],AL13,Table915[EnergyRating (group)],AM13,Table915[CountyName (group)],BJ$4)</f>
        <v>110</v>
      </c>
      <c r="BK13" s="1135">
        <f>SUMIFS(Table915[Count of EnergyRating],Table915[MainSpaceHeatingFuel],AL13,Table915[EnergyRating (group)],AM13,Table915[CountyName (group)],BK$4)</f>
        <v>95</v>
      </c>
      <c r="BL13" s="1129">
        <f>SUMIFS(Table915[Count of EnergyRating],Table915[MainSpaceHeatingFuel],AL13,Table915[EnergyRating (group)],AM13,Table915[CountyName (group)],BL$4)</f>
        <v>200</v>
      </c>
      <c r="BM13" s="1129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65"/>
      <c r="C14" s="1165" t="s">
        <v>1104</v>
      </c>
      <c r="D14" s="1165" t="s">
        <v>1094</v>
      </c>
      <c r="E14" s="1166">
        <f t="shared" ref="E14:AD14" si="6">G174</f>
        <v>2.6888265220283416</v>
      </c>
      <c r="F14" s="1166">
        <f t="shared" si="6"/>
        <v>89.377341612113028</v>
      </c>
      <c r="G14" s="1166">
        <f t="shared" si="6"/>
        <v>11.373954121209376</v>
      </c>
      <c r="H14" s="1166">
        <f t="shared" si="6"/>
        <v>3.7298049123416446</v>
      </c>
      <c r="I14" s="1166">
        <f t="shared" si="6"/>
        <v>3.4322606922635992</v>
      </c>
      <c r="J14" s="1166">
        <f t="shared" si="6"/>
        <v>1.4152592410945761</v>
      </c>
      <c r="K14" s="1166">
        <f t="shared" si="6"/>
        <v>7.2427284315285769</v>
      </c>
      <c r="L14" s="1166">
        <f t="shared" si="6"/>
        <v>8.0817660876924986</v>
      </c>
      <c r="M14" s="1166">
        <f t="shared" si="6"/>
        <v>3.0531730150813723</v>
      </c>
      <c r="N14" s="1166">
        <f t="shared" si="6"/>
        <v>3.6569755520408469</v>
      </c>
      <c r="O14" s="1166">
        <f t="shared" si="6"/>
        <v>5.4822442653396912</v>
      </c>
      <c r="P14" s="1166">
        <f t="shared" si="6"/>
        <v>6.9081071912255387</v>
      </c>
      <c r="Q14" s="1166">
        <f t="shared" si="6"/>
        <v>4.5082260239079694</v>
      </c>
      <c r="R14" s="1166">
        <f t="shared" si="6"/>
        <v>27.267914047457232</v>
      </c>
      <c r="S14" s="1166">
        <f t="shared" si="6"/>
        <v>4.6775074186812429</v>
      </c>
      <c r="T14" s="1166">
        <f t="shared" si="6"/>
        <v>9.4511938812581509</v>
      </c>
      <c r="U14" s="1166">
        <f t="shared" si="6"/>
        <v>6.5463793657760041</v>
      </c>
      <c r="V14" s="1166">
        <f t="shared" si="6"/>
        <v>6.4912138604240521</v>
      </c>
      <c r="W14" s="1166">
        <f t="shared" si="6"/>
        <v>8.2267100547388825</v>
      </c>
      <c r="X14" s="1166">
        <f t="shared" si="6"/>
        <v>0.81635930795287803</v>
      </c>
      <c r="Y14" s="1166">
        <f t="shared" si="6"/>
        <v>3.7331622849639201</v>
      </c>
      <c r="Z14" s="1166">
        <f t="shared" si="6"/>
        <v>1.6019271085223483</v>
      </c>
      <c r="AA14" s="1166">
        <f t="shared" si="6"/>
        <v>2.6507171062490991</v>
      </c>
      <c r="AB14" s="1166">
        <f t="shared" si="6"/>
        <v>2.2980605426407679</v>
      </c>
      <c r="AC14" s="1166">
        <f t="shared" si="6"/>
        <v>4.7356181501268555</v>
      </c>
      <c r="AD14" s="1166">
        <f t="shared" si="6"/>
        <v>1.9737104713039604</v>
      </c>
      <c r="AE14" s="1175">
        <f t="shared" si="4"/>
        <v>231.42114126796244</v>
      </c>
      <c r="AF14" s="1153"/>
      <c r="AG14" s="1142"/>
      <c r="AH14" s="1142"/>
      <c r="AL14" s="1148" t="s">
        <v>401</v>
      </c>
      <c r="AM14" s="1148" t="s">
        <v>1107</v>
      </c>
      <c r="AN14" s="1149">
        <f>SUMIFS(Table915[Count of EnergyRating],Table915[MainWaterHeatingFuel],AL14,Table915[CountyName (group)],AN$4)</f>
        <v>2157</v>
      </c>
      <c r="AO14" s="1150">
        <f>SUMIFS(Table915[Count of EnergyRating],Table915[MainWaterHeatingFuel],$AL$14,Table915[CountyName (group)],AO4)</f>
        <v>11039</v>
      </c>
      <c r="AP14" s="1150">
        <f>SUMIFS(Table915[Count of EnergyRating],Table915[MainWaterHeatingFuel],$AL$14,Table915[CountyName (group)],AP4)</f>
        <v>5730</v>
      </c>
      <c r="AQ14" s="1150">
        <f>SUMIFS(Table915[Count of EnergyRating],Table915[MainWaterHeatingFuel],$AL$14,Table915[CountyName (group)],AQ4)</f>
        <v>2366</v>
      </c>
      <c r="AR14" s="1150">
        <f>SUMIFS(Table915[Count of EnergyRating],Table915[MainWaterHeatingFuel],$AL$14,Table915[CountyName (group)],AR4)</f>
        <v>2071</v>
      </c>
      <c r="AS14" s="1150">
        <f>SUMIFS(Table915[Count of EnergyRating],Table915[MainWaterHeatingFuel],$AL$14,Table915[CountyName (group)],AS4)</f>
        <v>1659</v>
      </c>
      <c r="AT14" s="1150">
        <f>SUMIFS(Table915[Count of EnergyRating],Table915[MainWaterHeatingFuel],$AL$14,Table915[CountyName (group)],AT4)</f>
        <v>3576</v>
      </c>
      <c r="AU14" s="1150">
        <f>SUMIFS(Table915[Count of EnergyRating],Table915[MainWaterHeatingFuel],$AL$14,Table915[CountyName (group)],AU4)</f>
        <v>3809</v>
      </c>
      <c r="AV14" s="1150">
        <f>SUMIFS(Table915[Count of EnergyRating],Table915[MainWaterHeatingFuel],$AL$14,Table915[CountyName (group)],AV4)</f>
        <v>2248</v>
      </c>
      <c r="AW14" s="1150">
        <f>SUMIFS(Table915[Count of EnergyRating],Table915[MainWaterHeatingFuel],$AL$14,Table915[CountyName (group)],AW4)</f>
        <v>3645</v>
      </c>
      <c r="AX14" s="1150">
        <f>SUMIFS(Table915[Count of EnergyRating],Table915[MainWaterHeatingFuel],$AL$14,Table915[CountyName (group)],AX4)</f>
        <v>7088</v>
      </c>
      <c r="AY14" s="1150">
        <f>SUMIFS(Table915[Count of EnergyRating],Table915[MainWaterHeatingFuel],$AL$14,Table915[CountyName (group)],AY4)</f>
        <v>3533</v>
      </c>
      <c r="AZ14" s="1149">
        <f>SUMIFS(Table915[Count of EnergyRating],Table915[MainWaterHeatingFuel],$AL$14,Table915[CountyName (group)],AZ4)</f>
        <v>4587</v>
      </c>
      <c r="BA14" s="1150">
        <f>SUMIFS(Table915[Count of EnergyRating],Table915[MainWaterHeatingFuel],$AL$14,Table915[CountyName (group)],BA4)</f>
        <v>11256</v>
      </c>
      <c r="BB14" s="1150">
        <f>SUMIFS(Table915[Count of EnergyRating],Table915[MainWaterHeatingFuel],$AL$14,Table915[CountyName (group)],BB4)</f>
        <v>5884</v>
      </c>
      <c r="BC14" s="1150">
        <f>SUMIFS(Table915[Count of EnergyRating],Table915[MainWaterHeatingFuel],$AL$14,Table915[CountyName (group)],BC4)</f>
        <v>5565</v>
      </c>
      <c r="BD14" s="1150">
        <f>SUMIFS(Table915[Count of EnergyRating],Table915[MainWaterHeatingFuel],$AL$14,Table915[CountyName (group)],BD4)</f>
        <v>7187</v>
      </c>
      <c r="BE14" s="1150">
        <f>SUMIFS(Table915[Count of EnergyRating],Table915[MainWaterHeatingFuel],$AL$14,Table915[CountyName (group)],BE4)</f>
        <v>3529</v>
      </c>
      <c r="BF14" s="1150">
        <f>SUMIFS(Table915[Count of EnergyRating],Table915[MainWaterHeatingFuel],$AL$14,Table915[CountyName (group)],BF4)</f>
        <v>10274</v>
      </c>
      <c r="BG14" s="1150">
        <f>SUMIFS(Table915[Count of EnergyRating],Table915[MainWaterHeatingFuel],$AL$14,Table915[CountyName (group)],BG4)</f>
        <v>1269</v>
      </c>
      <c r="BH14" s="1150">
        <f>SUMIFS(Table915[Count of EnergyRating],Table915[MainWaterHeatingFuel],$AL$14,Table915[CountyName (group)],BH4)</f>
        <v>5563</v>
      </c>
      <c r="BI14" s="1150">
        <f>SUMIFS(Table915[Count of EnergyRating],Table915[MainWaterHeatingFuel],$AL$14,Table915[CountyName (group)],BI4)</f>
        <v>2113</v>
      </c>
      <c r="BJ14" s="1150">
        <f>SUMIFS(Table915[Count of EnergyRating],Table915[MainWaterHeatingFuel],$AL$14,Table915[CountyName (group)],BJ4)</f>
        <v>4037</v>
      </c>
      <c r="BK14" s="1149">
        <f>SUMIFS(Table915[Count of EnergyRating],Table915[MainWaterHeatingFuel],$AL$14,Table915[CountyName (group)],BK4)</f>
        <v>3074</v>
      </c>
      <c r="BL14" s="1150">
        <f>SUMIFS(Table915[Count of EnergyRating],Table915[MainWaterHeatingFuel],$AL$14,Table915[CountyName (group)],BL4)</f>
        <v>7862</v>
      </c>
      <c r="BM14" s="1150">
        <f>SUMIFS(Table915[Count of EnergyRating],Table915[MainWaterHeatingFuel],$AL$14,Table915[CountyName (group)],BM4)</f>
        <v>2455</v>
      </c>
      <c r="BO14"/>
    </row>
    <row r="15" spans="1:67" ht="15">
      <c r="B15" s="1137"/>
      <c r="C15" s="1137" t="s">
        <v>1105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F15" s="1153"/>
      <c r="AG15" s="1142"/>
      <c r="AH15" s="1142"/>
      <c r="AL15" s="1144" t="s">
        <v>402</v>
      </c>
      <c r="AM15" s="1144" t="s">
        <v>48</v>
      </c>
      <c r="AN15" s="1135">
        <f>SUMIFS(Table915[Count of EnergyRating],Table915[MainSpaceHeatingFuel],AL15,Table915[EnergyRating (group)],AM15,Table915[CountyName (group)],AN$4)</f>
        <v>2</v>
      </c>
      <c r="AO15" s="1129">
        <f>SUMIFS(Table915[Count of EnergyRating],Table915[MainSpaceHeatingFuel],AL15,Table915[EnergyRating (group)],AM15,Table915[CountyName (group)],AO$4)</f>
        <v>10055</v>
      </c>
      <c r="AP15" s="1129">
        <f>SUMIFS(Table915[Count of EnergyRating],Table915[MainSpaceHeatingFuel],AL15,Table915[EnergyRating (group)],AM15,Table915[CountyName (group)],AP$4)</f>
        <v>2052</v>
      </c>
      <c r="AQ15" s="1129">
        <f>SUMIFS(Table915[Count of EnergyRating],Table915[MainSpaceHeatingFuel],AL15,Table915[EnergyRating (group)],AM15,Table915[CountyName (group)],AQ$4)</f>
        <v>19</v>
      </c>
      <c r="AR15" s="1129">
        <f>SUMIFS(Table915[Count of EnergyRating],Table915[MainSpaceHeatingFuel],AL15,Table915[EnergyRating (group)],AM15,Table915[CountyName (group)],AR$4)</f>
        <v>61</v>
      </c>
      <c r="AS15" s="1129">
        <f>SUMIFS(Table915[Count of EnergyRating],Table915[MainSpaceHeatingFuel],AL15,Table915[EnergyRating (group)],AM15,Table915[CountyName (group)],AS$4)</f>
        <v>0</v>
      </c>
      <c r="AT15" s="1129">
        <f>SUMIFS(Table915[Count of EnergyRating],Table915[MainSpaceHeatingFuel],AL15,Table915[EnergyRating (group)],AM15,Table915[CountyName (group)],AT$4)</f>
        <v>662</v>
      </c>
      <c r="AU15" s="1129">
        <f>SUMIFS(Table915[Count of EnergyRating],Table915[MainSpaceHeatingFuel],AL15,Table915[EnergyRating (group)],AM15,Table915[CountyName (group)],AU$4)</f>
        <v>2390</v>
      </c>
      <c r="AV15" s="1129">
        <f>SUMIFS(Table915[Count of EnergyRating],Table915[MainSpaceHeatingFuel],AL15,Table915[EnergyRating (group)],AM15,Table915[CountyName (group)],AV$4)</f>
        <v>0</v>
      </c>
      <c r="AW15" s="1129">
        <f>SUMIFS(Table915[Count of EnergyRating],Table915[MainSpaceHeatingFuel],AL15,Table915[EnergyRating (group)],AM15,Table915[CountyName (group)],AW$4)</f>
        <v>30</v>
      </c>
      <c r="AX15" s="1129">
        <f>SUMIFS(Table915[Count of EnergyRating],Table915[MainSpaceHeatingFuel],AL15,Table915[EnergyRating (group)],AM15,Table915[CountyName (group)],AX$4)</f>
        <v>3</v>
      </c>
      <c r="AY15" s="1129">
        <f>SUMIFS(Table915[Count of EnergyRating],Table915[MainSpaceHeatingFuel],AL15,Table915[EnergyRating (group)],AM15,Table915[CountyName (group)],AY$4)</f>
        <v>780</v>
      </c>
      <c r="AZ15" s="1129">
        <f>SUMIFS(Table915[Count of EnergyRating],Table915[MainSpaceHeatingFuel],AL15,Table915[EnergyRating (group)],AM15,Table915[CountyName (group)],AZ$4)</f>
        <v>43</v>
      </c>
      <c r="BA15" s="1129">
        <f>SUMIFS(Table915[Count of EnergyRating],Table915[MainSpaceHeatingFuel],AL15,Table915[EnergyRating (group)],AM15,Table915[CountyName (group)],BA$4)</f>
        <v>1208</v>
      </c>
      <c r="BB15" s="1129">
        <f>SUMIFS(Table915[Count of EnergyRating],Table915[MainSpaceHeatingFuel],AL15,Table915[EnergyRating (group)],AM15,Table915[CountyName (group)],BB$4)</f>
        <v>0</v>
      </c>
      <c r="BC15" s="1129">
        <f>SUMIFS(Table915[Count of EnergyRating],Table915[MainSpaceHeatingFuel],AL15,Table915[EnergyRating (group)],AM15,Table915[CountyName (group)],BC$4)</f>
        <v>466</v>
      </c>
      <c r="BD15" s="1129">
        <f>SUMIFS(Table915[Count of EnergyRating],Table915[MainSpaceHeatingFuel],AL15,Table915[EnergyRating (group)],AM15,Table915[CountyName (group)],BD$4)</f>
        <v>0</v>
      </c>
      <c r="BE15" s="1129">
        <f>SUMIFS(Table915[Count of EnergyRating],Table915[MainSpaceHeatingFuel],AL15,Table915[EnergyRating (group)],AM15,Table915[CountyName (group)],BE$4)</f>
        <v>161</v>
      </c>
      <c r="BF15" s="1129">
        <f>SUMIFS(Table915[Count of EnergyRating],Table915[MainSpaceHeatingFuel],AL15,Table915[EnergyRating (group)],AM15,Table915[CountyName (group)],BF$4)</f>
        <v>145</v>
      </c>
      <c r="BG15" s="1129">
        <f>SUMIFS(Table915[Count of EnergyRating],Table915[MainSpaceHeatingFuel],AL15,Table915[EnergyRating (group)],AM15,Table915[CountyName (group)],BG$4)</f>
        <v>0</v>
      </c>
      <c r="BH15" s="1129">
        <f>SUMIFS(Table915[Count of EnergyRating],Table915[MainSpaceHeatingFuel],AL15,Table915[EnergyRating (group)],AM15,Table915[CountyName (group)],BH$4)</f>
        <v>48</v>
      </c>
      <c r="BI15" s="1129">
        <f>SUMIFS(Table915[Count of EnergyRating],Table915[MainSpaceHeatingFuel],AL15,Table915[EnergyRating (group)],AM15,Table915[CountyName (group)],BI$4)</f>
        <v>15</v>
      </c>
      <c r="BJ15" s="1129">
        <f>SUMIFS(Table915[Count of EnergyRating],Table915[MainSpaceHeatingFuel],AL15,Table915[EnergyRating (group)],AM15,Table915[CountyName (group)],BJ$4)</f>
        <v>0</v>
      </c>
      <c r="BK15" s="1135">
        <f>SUMIFS(Table915[Count of EnergyRating],Table915[MainSpaceHeatingFuel],AL15,Table915[EnergyRating (group)],AM15,Table915[CountyName (group)],BK$4)</f>
        <v>18</v>
      </c>
      <c r="BL15" s="1129">
        <f>SUMIFS(Table915[Count of EnergyRating],Table915[MainSpaceHeatingFuel],AL15,Table915[EnergyRating (group)],AM15,Table915[CountyName (group)],BL$4)</f>
        <v>0</v>
      </c>
      <c r="BM15" s="1129">
        <f>SUMIFS(Table915[Count of EnergyRating],Table915[MainSpaceHeatingFuel],AL15,Table915[EnergyRating (group)],AM15,Table915[CountyName (group)],BM$4)</f>
        <v>94</v>
      </c>
      <c r="BO15"/>
    </row>
    <row r="16" spans="1:67" s="1129" customFormat="1">
      <c r="B16" s="1134" t="s">
        <v>1259</v>
      </c>
      <c r="C16" s="1134" t="s">
        <v>1117</v>
      </c>
      <c r="D16" s="1134" t="s">
        <v>1094</v>
      </c>
      <c r="E16" s="1145">
        <f t="shared" ref="E16:AD16" si="7">G176*((SUM(AN$15:AN$18)/SUM(AN$15:AN$23))/(SUM(G$176)/SUM(G$176:G$181)))</f>
        <v>0.5555330890064385</v>
      </c>
      <c r="F16" s="1145">
        <f t="shared" si="7"/>
        <v>28.955603017343442</v>
      </c>
      <c r="G16" s="1145">
        <f t="shared" si="7"/>
        <v>6.0991569267214576</v>
      </c>
      <c r="H16" s="1145">
        <f t="shared" si="7"/>
        <v>1.1460174639063041</v>
      </c>
      <c r="I16" s="1145">
        <f t="shared" si="7"/>
        <v>1.5295805726531895</v>
      </c>
      <c r="J16" s="1145">
        <f t="shared" si="7"/>
        <v>0.4180280508066353</v>
      </c>
      <c r="K16" s="1145">
        <f t="shared" si="7"/>
        <v>3.095463838746078</v>
      </c>
      <c r="L16" s="1145">
        <f t="shared" si="7"/>
        <v>5.5214509974730408</v>
      </c>
      <c r="M16" s="1145">
        <f t="shared" si="7"/>
        <v>0.72563098414861971</v>
      </c>
      <c r="N16" s="1145">
        <f t="shared" si="7"/>
        <v>1.4283279192276581</v>
      </c>
      <c r="O16" s="1145">
        <f t="shared" si="7"/>
        <v>1.0737306065848677</v>
      </c>
      <c r="P16" s="1145">
        <f t="shared" si="7"/>
        <v>2.8833455827460113</v>
      </c>
      <c r="Q16" s="1145">
        <f t="shared" si="7"/>
        <v>1.8930838017508695</v>
      </c>
      <c r="R16" s="1145">
        <f t="shared" si="7"/>
        <v>10.263178408743714</v>
      </c>
      <c r="S16" s="1145">
        <f t="shared" si="7"/>
        <v>3.4442139976005173</v>
      </c>
      <c r="T16" s="1145">
        <f t="shared" si="7"/>
        <v>2.5032787304665751</v>
      </c>
      <c r="U16" s="1145">
        <f t="shared" si="7"/>
        <v>1.1256301187372442</v>
      </c>
      <c r="V16" s="1145">
        <f t="shared" si="7"/>
        <v>1.454318329363667</v>
      </c>
      <c r="W16" s="1145">
        <f t="shared" si="7"/>
        <v>2.9937303071482946</v>
      </c>
      <c r="X16" s="1145">
        <f t="shared" si="7"/>
        <v>0.28323175595699113</v>
      </c>
      <c r="Y16" s="1145">
        <f t="shared" si="7"/>
        <v>4.1020592105023663</v>
      </c>
      <c r="Z16" s="1145">
        <f t="shared" si="7"/>
        <v>0.62448405342599811</v>
      </c>
      <c r="AA16" s="1145">
        <f t="shared" si="7"/>
        <v>1.7308562936275746</v>
      </c>
      <c r="AB16" s="1145">
        <f t="shared" si="7"/>
        <v>1.1018404843604137</v>
      </c>
      <c r="AC16" s="1145">
        <f t="shared" si="7"/>
        <v>0.71881201833782027</v>
      </c>
      <c r="AD16" s="1145">
        <f t="shared" si="7"/>
        <v>1.2806912416804785</v>
      </c>
      <c r="AE16" s="1172">
        <f t="shared" si="4"/>
        <v>86.95127780106624</v>
      </c>
      <c r="AF16" s="1153"/>
      <c r="AG16" s="1142"/>
      <c r="AH16" s="1142"/>
      <c r="AI16" s="1142"/>
      <c r="AJ16" s="1142"/>
      <c r="AK16" s="1142"/>
      <c r="AL16" s="1144" t="s">
        <v>402</v>
      </c>
      <c r="AM16" s="1144" t="s">
        <v>50</v>
      </c>
      <c r="AN16" s="1135">
        <f>SUMIFS(Table915[Count of EnergyRating],Table915[MainSpaceHeatingFuel],AL16,Table915[EnergyRating (group)],AM16,Table915[CountyName (group)],AN$4)</f>
        <v>21</v>
      </c>
      <c r="AO16" s="1129">
        <f>SUMIFS(Table915[Count of EnergyRating],Table915[MainSpaceHeatingFuel],AL16,Table915[EnergyRating (group)],AM16,Table915[CountyName (group)],AO$4)</f>
        <v>844</v>
      </c>
      <c r="AP16" s="1129">
        <f>SUMIFS(Table915[Count of EnergyRating],Table915[MainSpaceHeatingFuel],AL16,Table915[EnergyRating (group)],AM16,Table915[CountyName (group)],AP$4)</f>
        <v>177</v>
      </c>
      <c r="AQ16" s="1129">
        <f>SUMIFS(Table915[Count of EnergyRating],Table915[MainSpaceHeatingFuel],AL16,Table915[EnergyRating (group)],AM16,Table915[CountyName (group)],AQ$4)</f>
        <v>38</v>
      </c>
      <c r="AR16" s="1129">
        <f>SUMIFS(Table915[Count of EnergyRating],Table915[MainSpaceHeatingFuel],AL16,Table915[EnergyRating (group)],AM16,Table915[CountyName (group)],AR$4)</f>
        <v>73</v>
      </c>
      <c r="AS16" s="1129">
        <f>SUMIFS(Table915[Count of EnergyRating],Table915[MainSpaceHeatingFuel],AL16,Table915[EnergyRating (group)],AM16,Table915[CountyName (group)],AS$4)</f>
        <v>0</v>
      </c>
      <c r="AT16" s="1129">
        <f>SUMIFS(Table915[Count of EnergyRating],Table915[MainSpaceHeatingFuel],AL16,Table915[EnergyRating (group)],AM16,Table915[CountyName (group)],AT$4)</f>
        <v>275</v>
      </c>
      <c r="AU16" s="1129">
        <f>SUMIFS(Table915[Count of EnergyRating],Table915[MainSpaceHeatingFuel],AL16,Table915[EnergyRating (group)],AM16,Table915[CountyName (group)],AU$4)</f>
        <v>178</v>
      </c>
      <c r="AV16" s="1129">
        <f>SUMIFS(Table915[Count of EnergyRating],Table915[MainSpaceHeatingFuel],AL16,Table915[EnergyRating (group)],AM16,Table915[CountyName (group)],AV$4)</f>
        <v>4</v>
      </c>
      <c r="AW16" s="1129">
        <f>SUMIFS(Table915[Count of EnergyRating],Table915[MainSpaceHeatingFuel],AL16,Table915[EnergyRating (group)],AM16,Table915[CountyName (group)],AW$4)</f>
        <v>6</v>
      </c>
      <c r="AX16" s="1129">
        <f>SUMIFS(Table915[Count of EnergyRating],Table915[MainSpaceHeatingFuel],AL16,Table915[EnergyRating (group)],AM16,Table915[CountyName (group)],AX$4)</f>
        <v>0</v>
      </c>
      <c r="AY16" s="1129">
        <f>SUMIFS(Table915[Count of EnergyRating],Table915[MainSpaceHeatingFuel],AL16,Table915[EnergyRating (group)],AM16,Table915[CountyName (group)],AY$4)</f>
        <v>86</v>
      </c>
      <c r="AZ16" s="1129">
        <f>SUMIFS(Table915[Count of EnergyRating],Table915[MainSpaceHeatingFuel],AL16,Table915[EnergyRating (group)],AM16,Table915[CountyName (group)],AZ$4)</f>
        <v>20</v>
      </c>
      <c r="BA16" s="1129">
        <f>SUMIFS(Table915[Count of EnergyRating],Table915[MainSpaceHeatingFuel],AL16,Table915[EnergyRating (group)],AM16,Table915[CountyName (group)],BA$4)</f>
        <v>335</v>
      </c>
      <c r="BB16" s="1129">
        <f>SUMIFS(Table915[Count of EnergyRating],Table915[MainSpaceHeatingFuel],AL16,Table915[EnergyRating (group)],AM16,Table915[CountyName (group)],BB$4)</f>
        <v>0</v>
      </c>
      <c r="BC16" s="1129">
        <f>SUMIFS(Table915[Count of EnergyRating],Table915[MainSpaceHeatingFuel],AL16,Table915[EnergyRating (group)],AM16,Table915[CountyName (group)],BC$4)</f>
        <v>93</v>
      </c>
      <c r="BD16" s="1129">
        <f>SUMIFS(Table915[Count of EnergyRating],Table915[MainSpaceHeatingFuel],AL16,Table915[EnergyRating (group)],AM16,Table915[CountyName (group)],BD$4)</f>
        <v>12</v>
      </c>
      <c r="BE16" s="1129">
        <f>SUMIFS(Table915[Count of EnergyRating],Table915[MainSpaceHeatingFuel],AL16,Table915[EnergyRating (group)],AM16,Table915[CountyName (group)],BE$4)</f>
        <v>36</v>
      </c>
      <c r="BF16" s="1129">
        <f>SUMIFS(Table915[Count of EnergyRating],Table915[MainSpaceHeatingFuel],AL16,Table915[EnergyRating (group)],AM16,Table915[CountyName (group)],BF$4)</f>
        <v>25</v>
      </c>
      <c r="BG16" s="1129">
        <f>SUMIFS(Table915[Count of EnergyRating],Table915[MainSpaceHeatingFuel],AL16,Table915[EnergyRating (group)],AM16,Table915[CountyName (group)],BG$4)</f>
        <v>0</v>
      </c>
      <c r="BH16" s="1129">
        <f>SUMIFS(Table915[Count of EnergyRating],Table915[MainSpaceHeatingFuel],AL16,Table915[EnergyRating (group)],AM16,Table915[CountyName (group)],BH$4)</f>
        <v>34</v>
      </c>
      <c r="BI16" s="1129">
        <f>SUMIFS(Table915[Count of EnergyRating],Table915[MainSpaceHeatingFuel],AL16,Table915[EnergyRating (group)],AM16,Table915[CountyName (group)],BI$4)</f>
        <v>0</v>
      </c>
      <c r="BJ16" s="1129">
        <f>SUMIFS(Table915[Count of EnergyRating],Table915[MainSpaceHeatingFuel],AL16,Table915[EnergyRating (group)],AM16,Table915[CountyName (group)],BJ$4)</f>
        <v>1</v>
      </c>
      <c r="BK16" s="1135">
        <f>SUMIFS(Table915[Count of EnergyRating],Table915[MainSpaceHeatingFuel],AL16,Table915[EnergyRating (group)],AM16,Table915[CountyName (group)],BK$4)</f>
        <v>23</v>
      </c>
      <c r="BL16" s="1129">
        <f>SUMIFS(Table915[Count of EnergyRating],Table915[MainSpaceHeatingFuel],AL16,Table915[EnergyRating (group)],AM16,Table915[CountyName (group)],BL$4)</f>
        <v>0</v>
      </c>
      <c r="BM16" s="1129">
        <f>SUMIFS(Table915[Count of EnergyRating],Table915[MainSpaceHeatingFuel],AL16,Table915[EnergyRating (group)],AM16,Table915[CountyName (group)],BM$4)</f>
        <v>34</v>
      </c>
    </row>
    <row r="17" spans="2:67" s="1129" customFormat="1">
      <c r="B17" s="1136" t="s">
        <v>56</v>
      </c>
      <c r="C17" s="1136" t="s">
        <v>1117</v>
      </c>
      <c r="D17" s="1136" t="s">
        <v>1094</v>
      </c>
      <c r="E17" s="1146">
        <f t="shared" ref="E17:AD17" si="8">G177*((SUM(AN$19)/SUM(AN$15:AN$23))/(SUM(G177)/SUM(G$176:G$181)))</f>
        <v>2.7611807836373425</v>
      </c>
      <c r="F17" s="1146">
        <f t="shared" si="8"/>
        <v>59.981704191940047</v>
      </c>
      <c r="G17" s="1146">
        <f t="shared" si="8"/>
        <v>9.8634082987923666</v>
      </c>
      <c r="H17" s="1146">
        <f t="shared" si="8"/>
        <v>3.4844081543038867</v>
      </c>
      <c r="I17" s="1146">
        <f t="shared" si="8"/>
        <v>3.802100280595071</v>
      </c>
      <c r="J17" s="1146">
        <f t="shared" si="8"/>
        <v>2.1598115958342818</v>
      </c>
      <c r="K17" s="1146">
        <f t="shared" si="8"/>
        <v>7.2272292926346786</v>
      </c>
      <c r="L17" s="1146">
        <f t="shared" si="8"/>
        <v>7.4389307037527415</v>
      </c>
      <c r="M17" s="1146">
        <f t="shared" si="8"/>
        <v>4.5743777240728987</v>
      </c>
      <c r="N17" s="1146">
        <f t="shared" si="8"/>
        <v>4.6038871610325449</v>
      </c>
      <c r="O17" s="1146">
        <f t="shared" si="8"/>
        <v>7.0866220034601275</v>
      </c>
      <c r="P17" s="1146">
        <f t="shared" si="8"/>
        <v>5.7505730845946852</v>
      </c>
      <c r="Q17" s="1146">
        <f t="shared" si="8"/>
        <v>5.0498625049302408</v>
      </c>
      <c r="R17" s="1146">
        <f t="shared" si="8"/>
        <v>24.112424408571869</v>
      </c>
      <c r="S17" s="1146">
        <f t="shared" si="8"/>
        <v>4.5922853301340245</v>
      </c>
      <c r="T17" s="1146">
        <f t="shared" si="8"/>
        <v>8.6593681347324036</v>
      </c>
      <c r="U17" s="1146">
        <f t="shared" si="8"/>
        <v>5.5596711948276809</v>
      </c>
      <c r="V17" s="1146">
        <f t="shared" si="8"/>
        <v>6.2142525989607602</v>
      </c>
      <c r="W17" s="1146">
        <f t="shared" si="8"/>
        <v>10.398152241198346</v>
      </c>
      <c r="X17" s="1146">
        <f t="shared" si="8"/>
        <v>1.2037349628172125</v>
      </c>
      <c r="Y17" s="1146">
        <f t="shared" si="8"/>
        <v>1.9955963726768269</v>
      </c>
      <c r="Z17" s="1146">
        <f t="shared" si="8"/>
        <v>1.9918887911001664</v>
      </c>
      <c r="AA17" s="1146">
        <f t="shared" si="8"/>
        <v>2.8240286896028848</v>
      </c>
      <c r="AB17" s="1146">
        <f t="shared" si="8"/>
        <v>2.7750056643151155</v>
      </c>
      <c r="AC17" s="1146">
        <f t="shared" si="8"/>
        <v>4.3128721100269214</v>
      </c>
      <c r="AD17" s="1146">
        <f t="shared" si="8"/>
        <v>1.5407300724785451</v>
      </c>
      <c r="AE17" s="1173">
        <f t="shared" si="4"/>
        <v>199.96410635102367</v>
      </c>
      <c r="AF17" s="1153"/>
      <c r="AG17" s="1142"/>
      <c r="AH17" s="1142"/>
      <c r="AI17" s="1142"/>
      <c r="AJ17" s="1142"/>
      <c r="AK17" s="1142"/>
      <c r="AL17" s="1144" t="s">
        <v>402</v>
      </c>
      <c r="AM17" s="1144" t="s">
        <v>52</v>
      </c>
      <c r="AN17" s="1135">
        <f>SUMIFS(Table915[Count of EnergyRating],Table915[MainSpaceHeatingFuel],AL17,Table915[EnergyRating (group)],AM17,Table915[CountyName (group)],AN$4)</f>
        <v>106</v>
      </c>
      <c r="AO17" s="1129">
        <f>SUMIFS(Table915[Count of EnergyRating],Table915[MainSpaceHeatingFuel],AL17,Table915[EnergyRating (group)],AM17,Table915[CountyName (group)],AO$4)</f>
        <v>2677</v>
      </c>
      <c r="AP17" s="1129">
        <f>SUMIFS(Table915[Count of EnergyRating],Table915[MainSpaceHeatingFuel],AL17,Table915[EnergyRating (group)],AM17,Table915[CountyName (group)],AP$4)</f>
        <v>235</v>
      </c>
      <c r="AQ17" s="1129">
        <f>SUMIFS(Table915[Count of EnergyRating],Table915[MainSpaceHeatingFuel],AL17,Table915[EnergyRating (group)],AM17,Table915[CountyName (group)],AQ$4)</f>
        <v>83</v>
      </c>
      <c r="AR17" s="1129">
        <f>SUMIFS(Table915[Count of EnergyRating],Table915[MainSpaceHeatingFuel],AL17,Table915[EnergyRating (group)],AM17,Table915[CountyName (group)],AR$4)</f>
        <v>86</v>
      </c>
      <c r="AS17" s="1129">
        <f>SUMIFS(Table915[Count of EnergyRating],Table915[MainSpaceHeatingFuel],AL17,Table915[EnergyRating (group)],AM17,Table915[CountyName (group)],AS$4)</f>
        <v>0</v>
      </c>
      <c r="AT17" s="1129">
        <f>SUMIFS(Table915[Count of EnergyRating],Table915[MainSpaceHeatingFuel],AL17,Table915[EnergyRating (group)],AM17,Table915[CountyName (group)],AT$4)</f>
        <v>265</v>
      </c>
      <c r="AU17" s="1129">
        <f>SUMIFS(Table915[Count of EnergyRating],Table915[MainSpaceHeatingFuel],AL17,Table915[EnergyRating (group)],AM17,Table915[CountyName (group)],AU$4)</f>
        <v>328</v>
      </c>
      <c r="AV17" s="1129">
        <f>SUMIFS(Table915[Count of EnergyRating],Table915[MainSpaceHeatingFuel],AL17,Table915[EnergyRating (group)],AM17,Table915[CountyName (group)],AV$4)</f>
        <v>18</v>
      </c>
      <c r="AW17" s="1129">
        <f>SUMIFS(Table915[Count of EnergyRating],Table915[MainSpaceHeatingFuel],AL17,Table915[EnergyRating (group)],AM17,Table915[CountyName (group)],AW$4)</f>
        <v>50</v>
      </c>
      <c r="AX17" s="1129">
        <f>SUMIFS(Table915[Count of EnergyRating],Table915[MainSpaceHeatingFuel],AL17,Table915[EnergyRating (group)],AM17,Table915[CountyName (group)],AX$4)</f>
        <v>0</v>
      </c>
      <c r="AY17" s="1129">
        <f>SUMIFS(Table915[Count of EnergyRating],Table915[MainSpaceHeatingFuel],AL17,Table915[EnergyRating (group)],AM17,Table915[CountyName (group)],AY$4)</f>
        <v>135</v>
      </c>
      <c r="AZ17" s="1129">
        <f>SUMIFS(Table915[Count of EnergyRating],Table915[MainSpaceHeatingFuel],AL17,Table915[EnergyRating (group)],AM17,Table915[CountyName (group)],AZ$4)</f>
        <v>82</v>
      </c>
      <c r="BA17" s="1129">
        <f>SUMIFS(Table915[Count of EnergyRating],Table915[MainSpaceHeatingFuel],AL17,Table915[EnergyRating (group)],AM17,Table915[CountyName (group)],BA$4)</f>
        <v>960</v>
      </c>
      <c r="BB17" s="1129">
        <f>SUMIFS(Table915[Count of EnergyRating],Table915[MainSpaceHeatingFuel],AL17,Table915[EnergyRating (group)],AM17,Table915[CountyName (group)],BB$4)</f>
        <v>10</v>
      </c>
      <c r="BC17" s="1129">
        <f>SUMIFS(Table915[Count of EnergyRating],Table915[MainSpaceHeatingFuel],AL17,Table915[EnergyRating (group)],AM17,Table915[CountyName (group)],BC$4)</f>
        <v>211</v>
      </c>
      <c r="BD17" s="1129">
        <f>SUMIFS(Table915[Count of EnergyRating],Table915[MainSpaceHeatingFuel],AL17,Table915[EnergyRating (group)],AM17,Table915[CountyName (group)],BD$4)</f>
        <v>20</v>
      </c>
      <c r="BE17" s="1129">
        <f>SUMIFS(Table915[Count of EnergyRating],Table915[MainSpaceHeatingFuel],AL17,Table915[EnergyRating (group)],AM17,Table915[CountyName (group)],BE$4)</f>
        <v>95</v>
      </c>
      <c r="BF17" s="1129">
        <f>SUMIFS(Table915[Count of EnergyRating],Table915[MainSpaceHeatingFuel],AL17,Table915[EnergyRating (group)],AM17,Table915[CountyName (group)],BF$4)</f>
        <v>83</v>
      </c>
      <c r="BG17" s="1129">
        <f>SUMIFS(Table915[Count of EnergyRating],Table915[MainSpaceHeatingFuel],AL17,Table915[EnergyRating (group)],AM17,Table915[CountyName (group)],BG$4)</f>
        <v>0</v>
      </c>
      <c r="BH17" s="1129">
        <f>SUMIFS(Table915[Count of EnergyRating],Table915[MainSpaceHeatingFuel],AL17,Table915[EnergyRating (group)],AM17,Table915[CountyName (group)],BH$4)</f>
        <v>68</v>
      </c>
      <c r="BI17" s="1129">
        <f>SUMIFS(Table915[Count of EnergyRating],Table915[MainSpaceHeatingFuel],AL17,Table915[EnergyRating (group)],AM17,Table915[CountyName (group)],BI$4)</f>
        <v>0</v>
      </c>
      <c r="BJ17" s="1129">
        <f>SUMIFS(Table915[Count of EnergyRating],Table915[MainSpaceHeatingFuel],AL17,Table915[EnergyRating (group)],AM17,Table915[CountyName (group)],BJ$4)</f>
        <v>0</v>
      </c>
      <c r="BK17" s="1135">
        <f>SUMIFS(Table915[Count of EnergyRating],Table915[MainSpaceHeatingFuel],AL17,Table915[EnergyRating (group)],AM17,Table915[CountyName (group)],BK$4)</f>
        <v>19</v>
      </c>
      <c r="BL17" s="1129">
        <f>SUMIFS(Table915[Count of EnergyRating],Table915[MainSpaceHeatingFuel],AL17,Table915[EnergyRating (group)],AM17,Table915[CountyName (group)],BL$4)</f>
        <v>0</v>
      </c>
      <c r="BM17" s="1129">
        <f>SUMIFS(Table915[Count of EnergyRating],Table915[MainSpaceHeatingFuel],AL17,Table915[EnergyRating (group)],AM17,Table915[CountyName (group)],BM$4)</f>
        <v>16</v>
      </c>
    </row>
    <row r="18" spans="2:67" s="1129" customFormat="1">
      <c r="B18" s="1134" t="s">
        <v>58</v>
      </c>
      <c r="C18" s="1134" t="s">
        <v>1117</v>
      </c>
      <c r="D18" s="1134" t="s">
        <v>1094</v>
      </c>
      <c r="E18" s="1145">
        <f t="shared" ref="E18:AD18" si="9">G178*((SUM(AN$20)/SUM(AN$15:AN$23))/(SUM(G178)/SUM(G$176:G$181)))</f>
        <v>1.2066772141030058</v>
      </c>
      <c r="F18" s="1145">
        <f t="shared" si="9"/>
        <v>40.376078030967101</v>
      </c>
      <c r="G18" s="1145">
        <f t="shared" si="9"/>
        <v>3.7882274954598958</v>
      </c>
      <c r="H18" s="1145">
        <f t="shared" si="9"/>
        <v>1.6379036113357517</v>
      </c>
      <c r="I18" s="1145">
        <f t="shared" si="9"/>
        <v>0.71533768134607811</v>
      </c>
      <c r="J18" s="1145">
        <f t="shared" si="9"/>
        <v>0</v>
      </c>
      <c r="K18" s="1145">
        <f t="shared" si="9"/>
        <v>1.9489459688153774</v>
      </c>
      <c r="L18" s="1145">
        <f t="shared" si="9"/>
        <v>1.4304565588211406</v>
      </c>
      <c r="M18" s="1145">
        <f t="shared" si="9"/>
        <v>0.24381201067393624</v>
      </c>
      <c r="N18" s="1145">
        <f t="shared" si="9"/>
        <v>0.60636562608721323</v>
      </c>
      <c r="O18" s="1145">
        <f t="shared" si="9"/>
        <v>1.6105959098773017</v>
      </c>
      <c r="P18" s="1145">
        <f t="shared" si="9"/>
        <v>2.4714390709251526</v>
      </c>
      <c r="Q18" s="1145">
        <f t="shared" si="9"/>
        <v>1.1604357849693638</v>
      </c>
      <c r="R18" s="1145">
        <f t="shared" si="9"/>
        <v>8.9790557998178073</v>
      </c>
      <c r="S18" s="1145">
        <f t="shared" si="9"/>
        <v>0.3625488418526861</v>
      </c>
      <c r="T18" s="1145">
        <f t="shared" si="9"/>
        <v>4.3115682344483517</v>
      </c>
      <c r="U18" s="1145">
        <f t="shared" si="9"/>
        <v>3.4881693793568589</v>
      </c>
      <c r="V18" s="1145">
        <f t="shared" si="9"/>
        <v>3.0460525638640576</v>
      </c>
      <c r="W18" s="1145">
        <f t="shared" si="9"/>
        <v>1.3636920972063407</v>
      </c>
      <c r="X18" s="1145">
        <f t="shared" si="9"/>
        <v>0</v>
      </c>
      <c r="Y18" s="1145">
        <f t="shared" si="9"/>
        <v>0.64672104670082353</v>
      </c>
      <c r="Z18" s="1145">
        <f t="shared" si="9"/>
        <v>0.27994112739786126</v>
      </c>
      <c r="AA18" s="1145">
        <f t="shared" si="9"/>
        <v>0.27329309899382759</v>
      </c>
      <c r="AB18" s="1145">
        <f t="shared" si="9"/>
        <v>0.26234297246676513</v>
      </c>
      <c r="AC18" s="1145">
        <f t="shared" si="9"/>
        <v>2.8752480733512811</v>
      </c>
      <c r="AD18" s="1145">
        <f t="shared" si="9"/>
        <v>0.65009707699516672</v>
      </c>
      <c r="AE18" s="1172">
        <f t="shared" si="4"/>
        <v>83.735005275833146</v>
      </c>
      <c r="AF18" s="1153"/>
      <c r="AG18" s="1142"/>
      <c r="AH18" s="1142"/>
      <c r="AI18" s="1142"/>
      <c r="AJ18" s="1142"/>
      <c r="AK18" s="1142"/>
      <c r="AL18" s="1144" t="s">
        <v>402</v>
      </c>
      <c r="AM18" s="1144" t="s">
        <v>54</v>
      </c>
      <c r="AN18" s="1135">
        <f>SUMIFS(Table915[Count of EnergyRating],Table915[MainSpaceHeatingFuel],AL18,Table915[EnergyRating (group)],AM18,Table915[CountyName (group)],AN$4)</f>
        <v>208</v>
      </c>
      <c r="AO18" s="1129">
        <f>SUMIFS(Table915[Count of EnergyRating],Table915[MainSpaceHeatingFuel],AL18,Table915[EnergyRating (group)],AM18,Table915[CountyName (group)],AO$4)</f>
        <v>7653</v>
      </c>
      <c r="AP18" s="1129">
        <f>SUMIFS(Table915[Count of EnergyRating],Table915[MainSpaceHeatingFuel],AL18,Table915[EnergyRating (group)],AM18,Table915[CountyName (group)],AP$4)</f>
        <v>843</v>
      </c>
      <c r="AQ18" s="1129">
        <f>SUMIFS(Table915[Count of EnergyRating],Table915[MainSpaceHeatingFuel],AL18,Table915[EnergyRating (group)],AM18,Table915[CountyName (group)],AQ$4)</f>
        <v>305</v>
      </c>
      <c r="AR18" s="1129">
        <f>SUMIFS(Table915[Count of EnergyRating],Table915[MainSpaceHeatingFuel],AL18,Table915[EnergyRating (group)],AM18,Table915[CountyName (group)],AR$4)</f>
        <v>445</v>
      </c>
      <c r="AS18" s="1129">
        <f>SUMIFS(Table915[Count of EnergyRating],Table915[MainSpaceHeatingFuel],AL18,Table915[EnergyRating (group)],AM18,Table915[CountyName (group)],AS$4)</f>
        <v>6</v>
      </c>
      <c r="AT18" s="1129">
        <f>SUMIFS(Table915[Count of EnergyRating],Table915[MainSpaceHeatingFuel],AL18,Table915[EnergyRating (group)],AM18,Table915[CountyName (group)],AT$4)</f>
        <v>1101</v>
      </c>
      <c r="AU18" s="1129">
        <f>SUMIFS(Table915[Count of EnergyRating],Table915[MainSpaceHeatingFuel],AL18,Table915[EnergyRating (group)],AM18,Table915[CountyName (group)],AU$4)</f>
        <v>1072</v>
      </c>
      <c r="AV18" s="1129">
        <f>SUMIFS(Table915[Count of EnergyRating],Table915[MainSpaceHeatingFuel],AL18,Table915[EnergyRating (group)],AM18,Table915[CountyName (group)],AV$4)</f>
        <v>103</v>
      </c>
      <c r="AW18" s="1129">
        <f>SUMIFS(Table915[Count of EnergyRating],Table915[MainSpaceHeatingFuel],AL18,Table915[EnergyRating (group)],AM18,Table915[CountyName (group)],AW$4)</f>
        <v>232</v>
      </c>
      <c r="AX18" s="1129">
        <f>SUMIFS(Table915[Count of EnergyRating],Table915[MainSpaceHeatingFuel],AL18,Table915[EnergyRating (group)],AM18,Table915[CountyName (group)],AX$4)</f>
        <v>7</v>
      </c>
      <c r="AY18" s="1129">
        <f>SUMIFS(Table915[Count of EnergyRating],Table915[MainSpaceHeatingFuel],AL18,Table915[EnergyRating (group)],AM18,Table915[CountyName (group)],AY$4)</f>
        <v>609</v>
      </c>
      <c r="AZ18" s="1129">
        <f>SUMIFS(Table915[Count of EnergyRating],Table915[MainSpaceHeatingFuel],AL18,Table915[EnergyRating (group)],AM18,Table915[CountyName (group)],AZ$4)</f>
        <v>240</v>
      </c>
      <c r="BA18" s="1129">
        <f>SUMIFS(Table915[Count of EnergyRating],Table915[MainSpaceHeatingFuel],AL18,Table915[EnergyRating (group)],AM18,Table915[CountyName (group)],BA$4)</f>
        <v>3779</v>
      </c>
      <c r="BB18" s="1129">
        <f>SUMIFS(Table915[Count of EnergyRating],Table915[MainSpaceHeatingFuel],AL18,Table915[EnergyRating (group)],AM18,Table915[CountyName (group)],BB$4)</f>
        <v>47</v>
      </c>
      <c r="BC18" s="1129">
        <f>SUMIFS(Table915[Count of EnergyRating],Table915[MainSpaceHeatingFuel],AL18,Table915[EnergyRating (group)],AM18,Table915[CountyName (group)],BC$4)</f>
        <v>750</v>
      </c>
      <c r="BD18" s="1129">
        <f>SUMIFS(Table915[Count of EnergyRating],Table915[MainSpaceHeatingFuel],AL18,Table915[EnergyRating (group)],AM18,Table915[CountyName (group)],BD$4)</f>
        <v>231</v>
      </c>
      <c r="BE18" s="1129">
        <f>SUMIFS(Table915[Count of EnergyRating],Table915[MainSpaceHeatingFuel],AL18,Table915[EnergyRating (group)],AM18,Table915[CountyName (group)],BE$4)</f>
        <v>470</v>
      </c>
      <c r="BF18" s="1129">
        <f>SUMIFS(Table915[Count of EnergyRating],Table915[MainSpaceHeatingFuel],AL18,Table915[EnergyRating (group)],AM18,Table915[CountyName (group)],BF$4)</f>
        <v>309</v>
      </c>
      <c r="BG18" s="1129">
        <f>SUMIFS(Table915[Count of EnergyRating],Table915[MainSpaceHeatingFuel],AL18,Table915[EnergyRating (group)],AM18,Table915[CountyName (group)],BG$4)</f>
        <v>4</v>
      </c>
      <c r="BH18" s="1129">
        <f>SUMIFS(Table915[Count of EnergyRating],Table915[MainSpaceHeatingFuel],AL18,Table915[EnergyRating (group)],AM18,Table915[CountyName (group)],BH$4)</f>
        <v>72</v>
      </c>
      <c r="BI18" s="1129">
        <f>SUMIFS(Table915[Count of EnergyRating],Table915[MainSpaceHeatingFuel],AL18,Table915[EnergyRating (group)],AM18,Table915[CountyName (group)],BI$4)</f>
        <v>43</v>
      </c>
      <c r="BJ18" s="1129">
        <f>SUMIFS(Table915[Count of EnergyRating],Table915[MainSpaceHeatingFuel],AL18,Table915[EnergyRating (group)],AM18,Table915[CountyName (group)],BJ$4)</f>
        <v>18</v>
      </c>
      <c r="BK18" s="1135">
        <f>SUMIFS(Table915[Count of EnergyRating],Table915[MainSpaceHeatingFuel],AL18,Table915[EnergyRating (group)],AM18,Table915[CountyName (group)],BK$4)</f>
        <v>129</v>
      </c>
      <c r="BL18" s="1129">
        <f>SUMIFS(Table915[Count of EnergyRating],Table915[MainSpaceHeatingFuel],AL18,Table915[EnergyRating (group)],AM18,Table915[CountyName (group)],BL$4)</f>
        <v>2</v>
      </c>
      <c r="BM18" s="1129">
        <f>SUMIFS(Table915[Count of EnergyRating],Table915[MainSpaceHeatingFuel],AL18,Table915[EnergyRating (group)],AM18,Table915[CountyName (group)],BM$4)</f>
        <v>53</v>
      </c>
    </row>
    <row r="19" spans="2:67" s="1129" customFormat="1" ht="15">
      <c r="B19" s="1136" t="s">
        <v>60</v>
      </c>
      <c r="C19" s="1136" t="s">
        <v>1117</v>
      </c>
      <c r="D19" s="1136" t="s">
        <v>1094</v>
      </c>
      <c r="E19" s="1146">
        <f t="shared" ref="E19:AD19" si="10">G179*((SUM(AN$21)/SUM(AN$15:AN$23))/(SUM(G179)/SUM(G$176:G$181)))</f>
        <v>0.24891838706223213</v>
      </c>
      <c r="F19" s="1146">
        <f t="shared" si="10"/>
        <v>19.556523437876034</v>
      </c>
      <c r="G19" s="1146">
        <f t="shared" si="10"/>
        <v>0.70452916419945488</v>
      </c>
      <c r="H19" s="1146">
        <f t="shared" si="10"/>
        <v>0.33994225895647673</v>
      </c>
      <c r="I19" s="1146">
        <f t="shared" si="10"/>
        <v>0.14720775436060771</v>
      </c>
      <c r="J19" s="1146">
        <f t="shared" si="10"/>
        <v>0</v>
      </c>
      <c r="K19" s="1146">
        <f t="shared" si="10"/>
        <v>0.56183407928608808</v>
      </c>
      <c r="L19" s="1146">
        <f t="shared" si="10"/>
        <v>0.21846466900283959</v>
      </c>
      <c r="M19" s="1146">
        <f t="shared" si="10"/>
        <v>1.1610095746377912E-2</v>
      </c>
      <c r="N19" s="1146">
        <f t="shared" si="10"/>
        <v>1.3474791690826963E-2</v>
      </c>
      <c r="O19" s="1146">
        <f t="shared" si="10"/>
        <v>0.10737306065848679</v>
      </c>
      <c r="P19" s="1146">
        <f t="shared" si="10"/>
        <v>0.97245754747272317</v>
      </c>
      <c r="Q19" s="1146">
        <f t="shared" si="10"/>
        <v>7.8673612540295854E-2</v>
      </c>
      <c r="R19" s="1146">
        <f t="shared" si="10"/>
        <v>3.8131579761235006</v>
      </c>
      <c r="S19" s="1146">
        <f t="shared" si="10"/>
        <v>0.12084961395089538</v>
      </c>
      <c r="T19" s="1146">
        <f t="shared" si="10"/>
        <v>1.0655403543499173</v>
      </c>
      <c r="U19" s="1146">
        <f t="shared" si="10"/>
        <v>1.0314709453067521</v>
      </c>
      <c r="V19" s="1146">
        <f t="shared" si="10"/>
        <v>0.66226832058949137</v>
      </c>
      <c r="W19" s="1146">
        <f t="shared" si="10"/>
        <v>0.18644227891492937</v>
      </c>
      <c r="X19" s="1146">
        <f t="shared" si="10"/>
        <v>0</v>
      </c>
      <c r="Y19" s="1146">
        <f t="shared" si="10"/>
        <v>3.6955488382904196E-2</v>
      </c>
      <c r="Z19" s="1146">
        <f t="shared" si="10"/>
        <v>1.0766966438379277E-2</v>
      </c>
      <c r="AA19" s="1146">
        <f t="shared" si="10"/>
        <v>0</v>
      </c>
      <c r="AB19" s="1146">
        <f t="shared" si="10"/>
        <v>1.1659687665189563E-2</v>
      </c>
      <c r="AC19" s="1146">
        <f t="shared" si="10"/>
        <v>0.35940600916891008</v>
      </c>
      <c r="AD19" s="1146">
        <f t="shared" si="10"/>
        <v>0.10401553231922668</v>
      </c>
      <c r="AE19" s="1173">
        <f t="shared" si="4"/>
        <v>30.363542032062529</v>
      </c>
      <c r="AF19" s="1153"/>
      <c r="AG19" s="1142"/>
      <c r="AH19" s="1137" t="s">
        <v>1157</v>
      </c>
      <c r="AI19" s="1137" t="s">
        <v>1160</v>
      </c>
      <c r="AJ19" s="1159" t="s">
        <v>1159</v>
      </c>
      <c r="AK19" s="1142"/>
      <c r="AL19" s="1144" t="s">
        <v>402</v>
      </c>
      <c r="AM19" s="1144" t="s">
        <v>56</v>
      </c>
      <c r="AN19" s="1135">
        <f>SUMIFS(Table915[Count of EnergyRating],Table915[MainSpaceHeatingFuel],AL19,Table915[EnergyRating (group)],AM19,Table915[CountyName (group)],AN$4)</f>
        <v>1675</v>
      </c>
      <c r="AO19" s="1129">
        <f>SUMIFS(Table915[Count of EnergyRating],Table915[MainSpaceHeatingFuel],AL19,Table915[EnergyRating (group)],AM19,Table915[CountyName (group)],AO$4)</f>
        <v>43976</v>
      </c>
      <c r="AP19" s="1129">
        <f>SUMIFS(Table915[Count of EnergyRating],Table915[MainSpaceHeatingFuel],AL19,Table915[EnergyRating (group)],AM19,Table915[CountyName (group)],AP$4)</f>
        <v>5348</v>
      </c>
      <c r="AQ19" s="1129">
        <f>SUMIFS(Table915[Count of EnergyRating],Table915[MainSpaceHeatingFuel],AL19,Table915[EnergyRating (group)],AM19,Table915[CountyName (group)],AQ$4)</f>
        <v>1353</v>
      </c>
      <c r="AR19" s="1129">
        <f>SUMIFS(Table915[Count of EnergyRating],Table915[MainSpaceHeatingFuel],AL19,Table915[EnergyRating (group)],AM19,Table915[CountyName (group)],AR$4)</f>
        <v>1653</v>
      </c>
      <c r="AS19" s="1129">
        <f>SUMIFS(Table915[Count of EnergyRating],Table915[MainSpaceHeatingFuel],AL19,Table915[EnergyRating (group)],AM19,Table915[CountyName (group)],AS$4)</f>
        <v>31</v>
      </c>
      <c r="AT19" s="1129">
        <f>SUMIFS(Table915[Count of EnergyRating],Table915[MainSpaceHeatingFuel],AL19,Table915[EnergyRating (group)],AM19,Table915[CountyName (group)],AT$4)</f>
        <v>5377</v>
      </c>
      <c r="AU19" s="1129">
        <f>SUMIFS(Table915[Count of EnergyRating],Table915[MainSpaceHeatingFuel],AL19,Table915[EnergyRating (group)],AM19,Table915[CountyName (group)],AU$4)</f>
        <v>5346</v>
      </c>
      <c r="AV19" s="1129">
        <f>SUMIFS(Table915[Count of EnergyRating],Table915[MainSpaceHeatingFuel],AL19,Table915[EnergyRating (group)],AM19,Table915[CountyName (group)],AV$4)</f>
        <v>788</v>
      </c>
      <c r="AW19" s="1129">
        <f>SUMIFS(Table915[Count of EnergyRating],Table915[MainSpaceHeatingFuel],AL19,Table915[EnergyRating (group)],AM19,Table915[CountyName (group)],AW$4)</f>
        <v>1025</v>
      </c>
      <c r="AX19" s="1129">
        <f>SUMIFS(Table915[Count of EnergyRating],Table915[MainSpaceHeatingFuel],AL19,Table915[EnergyRating (group)],AM19,Table915[CountyName (group)],AX$4)</f>
        <v>66</v>
      </c>
      <c r="AY19" s="1129">
        <f>SUMIFS(Table915[Count of EnergyRating],Table915[MainSpaceHeatingFuel],AL19,Table915[EnergyRating (group)],AM19,Table915[CountyName (group)],AY$4)</f>
        <v>3211</v>
      </c>
      <c r="AZ19" s="1129">
        <f>SUMIFS(Table915[Count of EnergyRating],Table915[MainSpaceHeatingFuel],AL19,Table915[EnergyRating (group)],AM19,Table915[CountyName (group)],AZ$4)</f>
        <v>1027</v>
      </c>
      <c r="BA19" s="1129">
        <f>SUMIFS(Table915[Count of EnergyRating],Table915[MainSpaceHeatingFuel],AL19,Table915[EnergyRating (group)],AM19,Table915[CountyName (group)],BA$4)</f>
        <v>14759</v>
      </c>
      <c r="BB19" s="1129">
        <f>SUMIFS(Table915[Count of EnergyRating],Table915[MainSpaceHeatingFuel],AL19,Table915[EnergyRating (group)],AM19,Table915[CountyName (group)],BB$4)</f>
        <v>76</v>
      </c>
      <c r="BC19" s="1129">
        <f>SUMIFS(Table915[Count of EnergyRating],Table915[MainSpaceHeatingFuel],AL19,Table915[EnergyRating (group)],AM19,Table915[CountyName (group)],BC$4)</f>
        <v>5258</v>
      </c>
      <c r="BD19" s="1129">
        <f>SUMIFS(Table915[Count of EnergyRating],Table915[MainSpaceHeatingFuel],AL19,Table915[EnergyRating (group)],AM19,Table915[CountyName (group)],BD$4)</f>
        <v>1299</v>
      </c>
      <c r="BE19" s="1129">
        <f>SUMIFS(Table915[Count of EnergyRating],Table915[MainSpaceHeatingFuel],AL19,Table915[EnergyRating (group)],AM19,Table915[CountyName (group)],BE$4)</f>
        <v>3256</v>
      </c>
      <c r="BF19" s="1129">
        <f>SUMIFS(Table915[Count of EnergyRating],Table915[MainSpaceHeatingFuel],AL19,Table915[EnergyRating (group)],AM19,Table915[CountyName (group)],BF$4)</f>
        <v>1952</v>
      </c>
      <c r="BG19" s="1129">
        <f>SUMIFS(Table915[Count of EnergyRating],Table915[MainSpaceHeatingFuel],AL19,Table915[EnergyRating (group)],AM19,Table915[CountyName (group)],BG$4)</f>
        <v>17</v>
      </c>
      <c r="BH19" s="1129">
        <f>SUMIFS(Table915[Count of EnergyRating],Table915[MainSpaceHeatingFuel],AL19,Table915[EnergyRating (group)],AM19,Table915[CountyName (group)],BH$4)</f>
        <v>108</v>
      </c>
      <c r="BI19" s="1129">
        <f>SUMIFS(Table915[Count of EnergyRating],Table915[MainSpaceHeatingFuel],AL19,Table915[EnergyRating (group)],AM19,Table915[CountyName (group)],BI$4)</f>
        <v>185</v>
      </c>
      <c r="BJ19" s="1129">
        <f>SUMIFS(Table915[Count of EnergyRating],Table915[MainSpaceHeatingFuel],AL19,Table915[EnergyRating (group)],AM19,Table915[CountyName (group)],BJ$4)</f>
        <v>31</v>
      </c>
      <c r="BK19" s="1135">
        <f>SUMIFS(Table915[Count of EnergyRating],Table915[MainSpaceHeatingFuel],AL19,Table915[EnergyRating (group)],AM19,Table915[CountyName (group)],BK$4)</f>
        <v>476</v>
      </c>
      <c r="BL19" s="1129">
        <f>SUMIFS(Table915[Count of EnergyRating],Table915[MainSpaceHeatingFuel],AL19,Table915[EnergyRating (group)],AM19,Table915[CountyName (group)],BL$4)</f>
        <v>12</v>
      </c>
      <c r="BM19" s="1129">
        <f>SUMIFS(Table915[Count of EnergyRating],Table915[MainSpaceHeatingFuel],AL19,Table915[EnergyRating (group)],AM19,Table915[CountyName (group)],BM$4)</f>
        <v>237</v>
      </c>
    </row>
    <row r="20" spans="2:67" s="1129" customFormat="1" ht="15">
      <c r="B20" s="1134" t="s">
        <v>62</v>
      </c>
      <c r="C20" s="1134" t="s">
        <v>1117</v>
      </c>
      <c r="D20" s="1134" t="s">
        <v>1094</v>
      </c>
      <c r="E20" s="1145">
        <f t="shared" ref="E20:AD20" si="11">G180*((SUM(AN$22)/SUM(AN$15:AN$23))/(SUM(G180)/SUM(G$176:G$181)))</f>
        <v>9.2314103811158912E-2</v>
      </c>
      <c r="F20" s="1145">
        <f t="shared" si="11"/>
        <v>8.7157333497020399</v>
      </c>
      <c r="G20" s="1145">
        <f t="shared" si="11"/>
        <v>0.16414422935537037</v>
      </c>
      <c r="H20" s="1145">
        <f t="shared" si="11"/>
        <v>0.12619068703687394</v>
      </c>
      <c r="I20" s="1145">
        <f t="shared" si="11"/>
        <v>3.6801938590151927E-2</v>
      </c>
      <c r="J20" s="1145">
        <f t="shared" si="11"/>
        <v>0</v>
      </c>
      <c r="K20" s="1145">
        <f t="shared" si="11"/>
        <v>0.21505610690376575</v>
      </c>
      <c r="L20" s="1145">
        <f t="shared" si="11"/>
        <v>7.2357724765271719E-2</v>
      </c>
      <c r="M20" s="1145">
        <f t="shared" si="11"/>
        <v>5.8050478731889567E-3</v>
      </c>
      <c r="N20" s="1145">
        <f t="shared" si="11"/>
        <v>4.4915972302756535E-3</v>
      </c>
      <c r="O20" s="1145">
        <f t="shared" si="11"/>
        <v>0</v>
      </c>
      <c r="P20" s="1145">
        <f t="shared" si="11"/>
        <v>0.31519802643683109</v>
      </c>
      <c r="Q20" s="1145">
        <f t="shared" si="11"/>
        <v>1.9668403135073967E-2</v>
      </c>
      <c r="R20" s="1145">
        <f t="shared" si="11"/>
        <v>1.6027026454914972</v>
      </c>
      <c r="S20" s="1145">
        <f t="shared" si="11"/>
        <v>0</v>
      </c>
      <c r="T20" s="1145">
        <f t="shared" si="11"/>
        <v>0.38702006688134544</v>
      </c>
      <c r="U20" s="1145">
        <f t="shared" si="11"/>
        <v>0.42799624286587229</v>
      </c>
      <c r="V20" s="1145">
        <f t="shared" si="11"/>
        <v>0.25956337636936838</v>
      </c>
      <c r="W20" s="1145">
        <f t="shared" si="11"/>
        <v>1.5980766764136803E-2</v>
      </c>
      <c r="X20" s="1145">
        <f t="shared" si="11"/>
        <v>0</v>
      </c>
      <c r="Y20" s="1145">
        <f t="shared" si="11"/>
        <v>1.8477744191452102E-2</v>
      </c>
      <c r="Z20" s="1145">
        <f t="shared" si="11"/>
        <v>0</v>
      </c>
      <c r="AA20" s="1145">
        <f t="shared" si="11"/>
        <v>0</v>
      </c>
      <c r="AB20" s="1145">
        <f t="shared" si="11"/>
        <v>1.7489531497784344E-2</v>
      </c>
      <c r="AC20" s="1145">
        <f t="shared" si="11"/>
        <v>0.35940600916891008</v>
      </c>
      <c r="AD20" s="1145">
        <f t="shared" si="11"/>
        <v>0</v>
      </c>
      <c r="AE20" s="1172">
        <f t="shared" si="4"/>
        <v>12.85639759807037</v>
      </c>
      <c r="AF20" s="1153"/>
      <c r="AG20" s="58" t="s">
        <v>1163</v>
      </c>
      <c r="AH20" s="1158">
        <f>SUM(E16:AD21)</f>
        <v>421.52460532252104</v>
      </c>
      <c r="AI20" s="1140">
        <f>'SHWLP-Att'!S16</f>
        <v>421.52460532252115</v>
      </c>
      <c r="AJ20" s="1160">
        <f>(AI20-AH20)/AI20</f>
        <v>2.6970391831487705E-16</v>
      </c>
      <c r="AK20" s="1142"/>
      <c r="AL20" s="1144" t="s">
        <v>402</v>
      </c>
      <c r="AM20" s="1144" t="s">
        <v>58</v>
      </c>
      <c r="AN20" s="1135">
        <f>SUMIFS(Table915[Count of EnergyRating],Table915[MainSpaceHeatingFuel],AL20,Table915[EnergyRating (group)],AM20,Table915[CountyName (group)],AN$4)</f>
        <v>732</v>
      </c>
      <c r="AO20" s="1129">
        <f>SUMIFS(Table915[Count of EnergyRating],Table915[MainSpaceHeatingFuel],AL20,Table915[EnergyRating (group)],AM20,Table915[CountyName (group)],AO$4)</f>
        <v>29602</v>
      </c>
      <c r="AP20" s="1129">
        <f>SUMIFS(Table915[Count of EnergyRating],Table915[MainSpaceHeatingFuel],AL20,Table915[EnergyRating (group)],AM20,Table915[CountyName (group)],AP$4)</f>
        <v>2054</v>
      </c>
      <c r="AQ20" s="1129">
        <f>SUMIFS(Table915[Count of EnergyRating],Table915[MainSpaceHeatingFuel],AL20,Table915[EnergyRating (group)],AM20,Table915[CountyName (group)],AQ$4)</f>
        <v>636</v>
      </c>
      <c r="AR20" s="1129">
        <f>SUMIFS(Table915[Count of EnergyRating],Table915[MainSpaceHeatingFuel],AL20,Table915[EnergyRating (group)],AM20,Table915[CountyName (group)],AR$4)</f>
        <v>311</v>
      </c>
      <c r="AS20" s="1129">
        <f>SUMIFS(Table915[Count of EnergyRating],Table915[MainSpaceHeatingFuel],AL20,Table915[EnergyRating (group)],AM20,Table915[CountyName (group)],AS$4)</f>
        <v>0</v>
      </c>
      <c r="AT20" s="1129">
        <f>SUMIFS(Table915[Count of EnergyRating],Table915[MainSpaceHeatingFuel],AL20,Table915[EnergyRating (group)],AM20,Table915[CountyName (group)],AT$4)</f>
        <v>1450</v>
      </c>
      <c r="AU20" s="1129">
        <f>SUMIFS(Table915[Count of EnergyRating],Table915[MainSpaceHeatingFuel],AL20,Table915[EnergyRating (group)],AM20,Table915[CountyName (group)],AU$4)</f>
        <v>1028</v>
      </c>
      <c r="AV20" s="1129">
        <f>SUMIFS(Table915[Count of EnergyRating],Table915[MainSpaceHeatingFuel],AL20,Table915[EnergyRating (group)],AM20,Table915[CountyName (group)],AV$4)</f>
        <v>42</v>
      </c>
      <c r="AW20" s="1129">
        <f>SUMIFS(Table915[Count of EnergyRating],Table915[MainSpaceHeatingFuel],AL20,Table915[EnergyRating (group)],AM20,Table915[CountyName (group)],AW$4)</f>
        <v>135</v>
      </c>
      <c r="AX20" s="1129">
        <f>SUMIFS(Table915[Count of EnergyRating],Table915[MainSpaceHeatingFuel],AL20,Table915[EnergyRating (group)],AM20,Table915[CountyName (group)],AX$4)</f>
        <v>15</v>
      </c>
      <c r="AY20" s="1129">
        <f>SUMIFS(Table915[Count of EnergyRating],Table915[MainSpaceHeatingFuel],AL20,Table915[EnergyRating (group)],AM20,Table915[CountyName (group)],AY$4)</f>
        <v>1380</v>
      </c>
      <c r="AZ20" s="1129">
        <f>SUMIFS(Table915[Count of EnergyRating],Table915[MainSpaceHeatingFuel],AL20,Table915[EnergyRating (group)],AM20,Table915[CountyName (group)],AZ$4)</f>
        <v>236</v>
      </c>
      <c r="BA20" s="1129">
        <f>SUMIFS(Table915[Count of EnergyRating],Table915[MainSpaceHeatingFuel],AL20,Table915[EnergyRating (group)],AM20,Table915[CountyName (group)],BA$4)</f>
        <v>5496</v>
      </c>
      <c r="BB20" s="1129">
        <f>SUMIFS(Table915[Count of EnergyRating],Table915[MainSpaceHeatingFuel],AL20,Table915[EnergyRating (group)],AM20,Table915[CountyName (group)],BB$4)</f>
        <v>6</v>
      </c>
      <c r="BC20" s="1129">
        <f>SUMIFS(Table915[Count of EnergyRating],Table915[MainSpaceHeatingFuel],AL20,Table915[EnergyRating (group)],AM20,Table915[CountyName (group)],BC$4)</f>
        <v>2618</v>
      </c>
      <c r="BD20" s="1129">
        <f>SUMIFS(Table915[Count of EnergyRating],Table915[MainSpaceHeatingFuel],AL20,Table915[EnergyRating (group)],AM20,Table915[CountyName (group)],BD$4)</f>
        <v>815</v>
      </c>
      <c r="BE20" s="1129">
        <f>SUMIFS(Table915[Count of EnergyRating],Table915[MainSpaceHeatingFuel],AL20,Table915[EnergyRating (group)],AM20,Table915[CountyName (group)],BE$4)</f>
        <v>1596</v>
      </c>
      <c r="BF20" s="1129">
        <f>SUMIFS(Table915[Count of EnergyRating],Table915[MainSpaceHeatingFuel],AL20,Table915[EnergyRating (group)],AM20,Table915[CountyName (group)],BF$4)</f>
        <v>256</v>
      </c>
      <c r="BG20" s="1129">
        <f>SUMIFS(Table915[Count of EnergyRating],Table915[MainSpaceHeatingFuel],AL20,Table915[EnergyRating (group)],AM20,Table915[CountyName (group)],BG$4)</f>
        <v>0</v>
      </c>
      <c r="BH20" s="1129">
        <f>SUMIFS(Table915[Count of EnergyRating],Table915[MainSpaceHeatingFuel],AL20,Table915[EnergyRating (group)],AM20,Table915[CountyName (group)],BH$4)</f>
        <v>35</v>
      </c>
      <c r="BI20" s="1129">
        <f>SUMIFS(Table915[Count of EnergyRating],Table915[MainSpaceHeatingFuel],AL20,Table915[EnergyRating (group)],AM20,Table915[CountyName (group)],BI$4)</f>
        <v>26</v>
      </c>
      <c r="BJ20" s="1129">
        <f>SUMIFS(Table915[Count of EnergyRating],Table915[MainSpaceHeatingFuel],AL20,Table915[EnergyRating (group)],AM20,Table915[CountyName (group)],BJ$4)</f>
        <v>3</v>
      </c>
      <c r="BK20" s="1135">
        <f>SUMIFS(Table915[Count of EnergyRating],Table915[MainSpaceHeatingFuel],AL20,Table915[EnergyRating (group)],AM20,Table915[CountyName (group)],BK$4)</f>
        <v>45</v>
      </c>
      <c r="BL20" s="1129">
        <f>SUMIFS(Table915[Count of EnergyRating],Table915[MainSpaceHeatingFuel],AL20,Table915[EnergyRating (group)],AM20,Table915[CountyName (group)],BL$4)</f>
        <v>8</v>
      </c>
      <c r="BM20" s="1129">
        <f>SUMIFS(Table915[Count of EnergyRating],Table915[MainSpaceHeatingFuel],AL20,Table915[EnergyRating (group)],AM20,Table915[CountyName (group)],BM$4)</f>
        <v>100</v>
      </c>
    </row>
    <row r="21" spans="2:67" s="1129" customFormat="1" ht="15.75" thickBot="1">
      <c r="B21" s="1138" t="s">
        <v>64</v>
      </c>
      <c r="C21" s="1138" t="s">
        <v>1117</v>
      </c>
      <c r="D21" s="1138" t="s">
        <v>1094</v>
      </c>
      <c r="E21" s="1147">
        <f t="shared" ref="E21:AD21" si="12">G181*((SUM(AN$23)/SUM(AN$15:AN$23))/(SUM(G181)/SUM(G$176:G$181)))</f>
        <v>3.2969322789699614E-2</v>
      </c>
      <c r="F21" s="1147">
        <f t="shared" si="12"/>
        <v>5.2117084709251174</v>
      </c>
      <c r="G21" s="1147">
        <f t="shared" si="12"/>
        <v>9.7748810739714947E-2</v>
      </c>
      <c r="H21" s="1147">
        <f t="shared" si="12"/>
        <v>5.9232363303022464E-2</v>
      </c>
      <c r="I21" s="1147">
        <f t="shared" si="12"/>
        <v>2.0701090456960457E-2</v>
      </c>
      <c r="J21" s="1147">
        <f t="shared" si="12"/>
        <v>0</v>
      </c>
      <c r="K21" s="1147">
        <f t="shared" si="12"/>
        <v>0.14381877149189337</v>
      </c>
      <c r="L21" s="1147">
        <f t="shared" si="12"/>
        <v>3.8961851796684766E-2</v>
      </c>
      <c r="M21" s="1147">
        <f t="shared" si="12"/>
        <v>0</v>
      </c>
      <c r="N21" s="1147">
        <f t="shared" si="12"/>
        <v>4.4915972302756535E-3</v>
      </c>
      <c r="O21" s="1147">
        <f t="shared" si="12"/>
        <v>0.10737306065848679</v>
      </c>
      <c r="P21" s="1147">
        <f t="shared" si="12"/>
        <v>0.18983517501309144</v>
      </c>
      <c r="Q21" s="1147">
        <f t="shared" si="12"/>
        <v>9.8342015675369817E-3</v>
      </c>
      <c r="R21" s="1147">
        <f t="shared" si="12"/>
        <v>0.89692533371542504</v>
      </c>
      <c r="S21" s="1147">
        <f t="shared" si="12"/>
        <v>0</v>
      </c>
      <c r="T21" s="1147">
        <f t="shared" si="12"/>
        <v>0.28820643278398067</v>
      </c>
      <c r="U21" s="1147">
        <f t="shared" si="12"/>
        <v>0.29103744514879315</v>
      </c>
      <c r="V21" s="1147">
        <f t="shared" si="12"/>
        <v>0.18703831532498605</v>
      </c>
      <c r="W21" s="1147">
        <f t="shared" si="12"/>
        <v>2.6634611273561339E-2</v>
      </c>
      <c r="X21" s="1147">
        <f t="shared" si="12"/>
        <v>0</v>
      </c>
      <c r="Y21" s="1147">
        <f t="shared" si="12"/>
        <v>0</v>
      </c>
      <c r="Z21" s="1147">
        <f t="shared" si="12"/>
        <v>1.0766966438379277E-2</v>
      </c>
      <c r="AA21" s="1147">
        <f t="shared" si="12"/>
        <v>0</v>
      </c>
      <c r="AB21" s="1147">
        <f t="shared" si="12"/>
        <v>1.7489531497784341E-2</v>
      </c>
      <c r="AC21" s="1147">
        <f t="shared" si="12"/>
        <v>0</v>
      </c>
      <c r="AD21" s="1147">
        <f t="shared" si="12"/>
        <v>1.9502912309855003E-2</v>
      </c>
      <c r="AE21" s="1174">
        <f t="shared" si="4"/>
        <v>7.6542762644652482</v>
      </c>
      <c r="AF21" s="1153"/>
      <c r="AG21" s="58" t="s">
        <v>1107</v>
      </c>
      <c r="AH21" s="1158">
        <f>SUM(E23:AD23)</f>
        <v>421.43267620886292</v>
      </c>
      <c r="AI21" s="1140">
        <f>'SHWLP-Att'!S42</f>
        <v>421.43267620886292</v>
      </c>
      <c r="AJ21" s="1160">
        <f>(AI21-AH21)/AI21</f>
        <v>0</v>
      </c>
      <c r="AK21" s="1142"/>
      <c r="AL21" s="1144" t="s">
        <v>402</v>
      </c>
      <c r="AM21" s="1144" t="s">
        <v>60</v>
      </c>
      <c r="AN21" s="1135">
        <f>SUMIFS(Table915[Count of EnergyRating],Table915[MainSpaceHeatingFuel],AL21,Table915[EnergyRating (group)],AM21,Table915[CountyName (group)],AN$4)</f>
        <v>151</v>
      </c>
      <c r="AO21" s="1129">
        <f>SUMIFS(Table915[Count of EnergyRating],Table915[MainSpaceHeatingFuel],AL21,Table915[EnergyRating (group)],AM21,Table915[CountyName (group)],AO$4)</f>
        <v>14338</v>
      </c>
      <c r="AP21" s="1129">
        <f>SUMIFS(Table915[Count of EnergyRating],Table915[MainSpaceHeatingFuel],AL21,Table915[EnergyRating (group)],AM21,Table915[CountyName (group)],AP$4)</f>
        <v>382</v>
      </c>
      <c r="AQ21" s="1129">
        <f>SUMIFS(Table915[Count of EnergyRating],Table915[MainSpaceHeatingFuel],AL21,Table915[EnergyRating (group)],AM21,Table915[CountyName (group)],AQ$4)</f>
        <v>132</v>
      </c>
      <c r="AR21" s="1129">
        <f>SUMIFS(Table915[Count of EnergyRating],Table915[MainSpaceHeatingFuel],AL21,Table915[EnergyRating (group)],AM21,Table915[CountyName (group)],AR$4)</f>
        <v>64</v>
      </c>
      <c r="AS21" s="1129">
        <f>SUMIFS(Table915[Count of EnergyRating],Table915[MainSpaceHeatingFuel],AL21,Table915[EnergyRating (group)],AM21,Table915[CountyName (group)],AS$4)</f>
        <v>0</v>
      </c>
      <c r="AT21" s="1129">
        <f>SUMIFS(Table915[Count of EnergyRating],Table915[MainSpaceHeatingFuel],AL21,Table915[EnergyRating (group)],AM21,Table915[CountyName (group)],AT$4)</f>
        <v>418</v>
      </c>
      <c r="AU21" s="1129">
        <f>SUMIFS(Table915[Count of EnergyRating],Table915[MainSpaceHeatingFuel],AL21,Table915[EnergyRating (group)],AM21,Table915[CountyName (group)],AU$4)</f>
        <v>157</v>
      </c>
      <c r="AV21" s="1129">
        <f>SUMIFS(Table915[Count of EnergyRating],Table915[MainSpaceHeatingFuel],AL21,Table915[EnergyRating (group)],AM21,Table915[CountyName (group)],AV$4)</f>
        <v>2</v>
      </c>
      <c r="AW21" s="1129">
        <f>SUMIFS(Table915[Count of EnergyRating],Table915[MainSpaceHeatingFuel],AL21,Table915[EnergyRating (group)],AM21,Table915[CountyName (group)],AW$4)</f>
        <v>3</v>
      </c>
      <c r="AX21" s="1129">
        <f>SUMIFS(Table915[Count of EnergyRating],Table915[MainSpaceHeatingFuel],AL21,Table915[EnergyRating (group)],AM21,Table915[CountyName (group)],AX$4)</f>
        <v>1</v>
      </c>
      <c r="AY21" s="1129">
        <f>SUMIFS(Table915[Count of EnergyRating],Table915[MainSpaceHeatingFuel],AL21,Table915[EnergyRating (group)],AM21,Table915[CountyName (group)],AY$4)</f>
        <v>543</v>
      </c>
      <c r="AZ21" s="1129">
        <f>SUMIFS(Table915[Count of EnergyRating],Table915[MainSpaceHeatingFuel],AL21,Table915[EnergyRating (group)],AM21,Table915[CountyName (group)],AZ$4)</f>
        <v>16</v>
      </c>
      <c r="BA21" s="1129">
        <f>SUMIFS(Table915[Count of EnergyRating],Table915[MainSpaceHeatingFuel],AL21,Table915[EnergyRating (group)],AM21,Table915[CountyName (group)],BA$4)</f>
        <v>2334</v>
      </c>
      <c r="BB21" s="1129">
        <f>SUMIFS(Table915[Count of EnergyRating],Table915[MainSpaceHeatingFuel],AL21,Table915[EnergyRating (group)],AM21,Table915[CountyName (group)],BB$4)</f>
        <v>2</v>
      </c>
      <c r="BC21" s="1129">
        <f>SUMIFS(Table915[Count of EnergyRating],Table915[MainSpaceHeatingFuel],AL21,Table915[EnergyRating (group)],AM21,Table915[CountyName (group)],BC$4)</f>
        <v>647</v>
      </c>
      <c r="BD21" s="1129">
        <f>SUMIFS(Table915[Count of EnergyRating],Table915[MainSpaceHeatingFuel],AL21,Table915[EnergyRating (group)],AM21,Table915[CountyName (group)],BD$4)</f>
        <v>241</v>
      </c>
      <c r="BE21" s="1129">
        <f>SUMIFS(Table915[Count of EnergyRating],Table915[MainSpaceHeatingFuel],AL21,Table915[EnergyRating (group)],AM21,Table915[CountyName (group)],BE$4)</f>
        <v>347</v>
      </c>
      <c r="BF21" s="1129">
        <f>SUMIFS(Table915[Count of EnergyRating],Table915[MainSpaceHeatingFuel],AL21,Table915[EnergyRating (group)],AM21,Table915[CountyName (group)],BF$4)</f>
        <v>35</v>
      </c>
      <c r="BG21" s="1129">
        <f>SUMIFS(Table915[Count of EnergyRating],Table915[MainSpaceHeatingFuel],AL21,Table915[EnergyRating (group)],AM21,Table915[CountyName (group)],BG$4)</f>
        <v>0</v>
      </c>
      <c r="BH21" s="1129">
        <f>SUMIFS(Table915[Count of EnergyRating],Table915[MainSpaceHeatingFuel],AL21,Table915[EnergyRating (group)],AM21,Table915[CountyName (group)],BH$4)</f>
        <v>2</v>
      </c>
      <c r="BI21" s="1129">
        <f>SUMIFS(Table915[Count of EnergyRating],Table915[MainSpaceHeatingFuel],AL21,Table915[EnergyRating (group)],AM21,Table915[CountyName (group)],BI$4)</f>
        <v>1</v>
      </c>
      <c r="BJ21" s="1129">
        <f>SUMIFS(Table915[Count of EnergyRating],Table915[MainSpaceHeatingFuel],AL21,Table915[EnergyRating (group)],AM21,Table915[CountyName (group)],BJ$4)</f>
        <v>0</v>
      </c>
      <c r="BK21" s="1135">
        <f>SUMIFS(Table915[Count of EnergyRating],Table915[MainSpaceHeatingFuel],AL21,Table915[EnergyRating (group)],AM21,Table915[CountyName (group)],BK$4)</f>
        <v>2</v>
      </c>
      <c r="BL21" s="1129">
        <f>SUMIFS(Table915[Count of EnergyRating],Table915[MainSpaceHeatingFuel],AL21,Table915[EnergyRating (group)],AM21,Table915[CountyName (group)],BL$4)</f>
        <v>1</v>
      </c>
      <c r="BM21" s="1129">
        <f>SUMIFS(Table915[Count of EnergyRating],Table915[MainSpaceHeatingFuel],AL21,Table915[EnergyRating (group)],AM21,Table915[CountyName (group)],BM$4)</f>
        <v>16</v>
      </c>
    </row>
    <row r="22" spans="2:67" s="1129" customFormat="1" ht="13.5" thickBot="1">
      <c r="B22" s="1138" t="s">
        <v>1075</v>
      </c>
      <c r="C22" s="1138" t="s">
        <v>1117</v>
      </c>
      <c r="D22" s="1138" t="s">
        <v>1094</v>
      </c>
      <c r="E22" s="1147">
        <f>SUM(E16:E21)</f>
        <v>4.8975929004098768</v>
      </c>
      <c r="F22" s="1147">
        <f t="shared" ref="F22" si="13">SUM(F16:F21)</f>
        <v>162.79735049875379</v>
      </c>
      <c r="G22" s="1147">
        <f t="shared" ref="G22" si="14">SUM(G16:G21)</f>
        <v>20.717214925268262</v>
      </c>
      <c r="H22" s="1147">
        <f t="shared" ref="H22" si="15">SUM(H16:H21)</f>
        <v>6.7936945388423151</v>
      </c>
      <c r="I22" s="1147">
        <f t="shared" ref="I22" si="16">SUM(I16:I21)</f>
        <v>6.2517293180020586</v>
      </c>
      <c r="J22" s="1147">
        <f t="shared" ref="J22" si="17">SUM(J16:J21)</f>
        <v>2.5778396466409172</v>
      </c>
      <c r="K22" s="1147">
        <f t="shared" ref="K22" si="18">SUM(K16:K21)</f>
        <v>13.192348057877881</v>
      </c>
      <c r="L22" s="1147">
        <f t="shared" ref="L22" si="19">SUM(L16:L21)</f>
        <v>14.720622505611718</v>
      </c>
      <c r="M22" s="1147">
        <f t="shared" ref="M22" si="20">SUM(M16:M21)</f>
        <v>5.561235862515022</v>
      </c>
      <c r="N22" s="1147">
        <f t="shared" ref="N22" si="21">SUM(N16:N21)</f>
        <v>6.6610386924987948</v>
      </c>
      <c r="O22" s="1147">
        <f t="shared" ref="O22" si="22">SUM(O16:O21)</f>
        <v>9.985694641239272</v>
      </c>
      <c r="P22" s="1147">
        <f t="shared" ref="P22" si="23">SUM(P16:P21)</f>
        <v>12.582848487188494</v>
      </c>
      <c r="Q22" s="1147">
        <f t="shared" ref="Q22" si="24">SUM(Q16:Q21)</f>
        <v>8.2115583088933803</v>
      </c>
      <c r="R22" s="1147">
        <f t="shared" ref="R22" si="25">SUM(R16:R21)</f>
        <v>49.667444572463808</v>
      </c>
      <c r="S22" s="1147">
        <f t="shared" ref="S22" si="26">SUM(S16:S21)</f>
        <v>8.5198977835381235</v>
      </c>
      <c r="T22" s="1147">
        <f t="shared" ref="T22" si="27">SUM(T16:T21)</f>
        <v>17.214981953662573</v>
      </c>
      <c r="U22" s="1147">
        <f t="shared" ref="U22" si="28">SUM(U16:U21)</f>
        <v>11.923975326243202</v>
      </c>
      <c r="V22" s="1147">
        <f t="shared" ref="V22" si="29">SUM(V16:V21)</f>
        <v>11.823493504472331</v>
      </c>
      <c r="W22" s="1147">
        <f t="shared" ref="W22" si="30">SUM(W16:W21)</f>
        <v>14.984632302505609</v>
      </c>
      <c r="X22" s="1147">
        <f t="shared" ref="X22" si="31">SUM(X16:X21)</f>
        <v>1.4869667187742035</v>
      </c>
      <c r="Y22" s="1147">
        <f t="shared" ref="Y22" si="32">SUM(Y16:Y21)</f>
        <v>6.7998098624543744</v>
      </c>
      <c r="Z22" s="1147">
        <f t="shared" ref="Z22" si="33">SUM(Z16:Z21)</f>
        <v>2.9178479048007846</v>
      </c>
      <c r="AA22" s="1147">
        <f t="shared" ref="AA22" si="34">SUM(AA16:AA21)</f>
        <v>4.8281780822242872</v>
      </c>
      <c r="AB22" s="1147">
        <f t="shared" ref="AB22" si="35">SUM(AB16:AB21)</f>
        <v>4.1858278718030535</v>
      </c>
      <c r="AC22" s="1147">
        <f t="shared" ref="AC22" si="36">SUM(AC16:AC21)</f>
        <v>8.6257442200538446</v>
      </c>
      <c r="AD22" s="1147">
        <f t="shared" ref="AD22" si="37">SUM(AD16:AD21)</f>
        <v>3.5950368357832723</v>
      </c>
      <c r="AE22" s="1147">
        <f t="shared" ref="AE22" si="38">SUM(AE16:AE21)</f>
        <v>421.52460532252121</v>
      </c>
      <c r="AF22" s="1153"/>
      <c r="AG22" s="1142"/>
      <c r="AH22" s="1142"/>
      <c r="AI22" s="1142"/>
      <c r="AJ22" s="1142"/>
      <c r="AK22" s="1142"/>
      <c r="AL22" s="1144" t="s">
        <v>402</v>
      </c>
      <c r="AM22" s="1144" t="s">
        <v>62</v>
      </c>
      <c r="AN22" s="1135">
        <f>SUMIFS(Table915[Count of EnergyRating],Table915[MainSpaceHeatingFuel],AL22,Table915[EnergyRating (group)],AM22,Table915[CountyName (group)],AN$4)</f>
        <v>56</v>
      </c>
      <c r="AO22" s="1129">
        <f>SUMIFS(Table915[Count of EnergyRating],Table915[MainSpaceHeatingFuel],AL22,Table915[EnergyRating (group)],AM22,Table915[CountyName (group)],AO$4)</f>
        <v>6390</v>
      </c>
      <c r="AP22" s="1129">
        <f>SUMIFS(Table915[Count of EnergyRating],Table915[MainSpaceHeatingFuel],AL22,Table915[EnergyRating (group)],AM22,Table915[CountyName (group)],AP$4)</f>
        <v>89</v>
      </c>
      <c r="AQ22" s="1129">
        <f>SUMIFS(Table915[Count of EnergyRating],Table915[MainSpaceHeatingFuel],AL22,Table915[EnergyRating (group)],AM22,Table915[CountyName (group)],AQ$4)</f>
        <v>49</v>
      </c>
      <c r="AR22" s="1129">
        <f>SUMIFS(Table915[Count of EnergyRating],Table915[MainSpaceHeatingFuel],AL22,Table915[EnergyRating (group)],AM22,Table915[CountyName (group)],AR$4)</f>
        <v>16</v>
      </c>
      <c r="AS22" s="1129">
        <f>SUMIFS(Table915[Count of EnergyRating],Table915[MainSpaceHeatingFuel],AL22,Table915[EnergyRating (group)],AM22,Table915[CountyName (group)],AS$4)</f>
        <v>0</v>
      </c>
      <c r="AT22" s="1129">
        <f>SUMIFS(Table915[Count of EnergyRating],Table915[MainSpaceHeatingFuel],AL22,Table915[EnergyRating (group)],AM22,Table915[CountyName (group)],AT$4)</f>
        <v>160</v>
      </c>
      <c r="AU22" s="1129">
        <f>SUMIFS(Table915[Count of EnergyRating],Table915[MainSpaceHeatingFuel],AL22,Table915[EnergyRating (group)],AM22,Table915[CountyName (group)],AU$4)</f>
        <v>52</v>
      </c>
      <c r="AV22" s="1129">
        <f>SUMIFS(Table915[Count of EnergyRating],Table915[MainSpaceHeatingFuel],AL22,Table915[EnergyRating (group)],AM22,Table915[CountyName (group)],AV$4)</f>
        <v>1</v>
      </c>
      <c r="AW22" s="1129">
        <f>SUMIFS(Table915[Count of EnergyRating],Table915[MainSpaceHeatingFuel],AL22,Table915[EnergyRating (group)],AM22,Table915[CountyName (group)],AW$4)</f>
        <v>1</v>
      </c>
      <c r="AX22" s="1129">
        <f>SUMIFS(Table915[Count of EnergyRating],Table915[MainSpaceHeatingFuel],AL22,Table915[EnergyRating (group)],AM22,Table915[CountyName (group)],AX$4)</f>
        <v>0</v>
      </c>
      <c r="AY22" s="1129">
        <f>SUMIFS(Table915[Count of EnergyRating],Table915[MainSpaceHeatingFuel],AL22,Table915[EnergyRating (group)],AM22,Table915[CountyName (group)],AY$4)</f>
        <v>176</v>
      </c>
      <c r="AZ22" s="1129">
        <f>SUMIFS(Table915[Count of EnergyRating],Table915[MainSpaceHeatingFuel],AL22,Table915[EnergyRating (group)],AM22,Table915[CountyName (group)],AZ$4)</f>
        <v>4</v>
      </c>
      <c r="BA22" s="1129">
        <f>SUMIFS(Table915[Count of EnergyRating],Table915[MainSpaceHeatingFuel],AL22,Table915[EnergyRating (group)],AM22,Table915[CountyName (group)],BA$4)</f>
        <v>981</v>
      </c>
      <c r="BB22" s="1129">
        <f>SUMIFS(Table915[Count of EnergyRating],Table915[MainSpaceHeatingFuel],AL22,Table915[EnergyRating (group)],AM22,Table915[CountyName (group)],BB$4)</f>
        <v>0</v>
      </c>
      <c r="BC22" s="1129">
        <f>SUMIFS(Table915[Count of EnergyRating],Table915[MainSpaceHeatingFuel],AL22,Table915[EnergyRating (group)],AM22,Table915[CountyName (group)],BC$4)</f>
        <v>235</v>
      </c>
      <c r="BD22" s="1129">
        <f>SUMIFS(Table915[Count of EnergyRating],Table915[MainSpaceHeatingFuel],AL22,Table915[EnergyRating (group)],AM22,Table915[CountyName (group)],BD$4)</f>
        <v>100</v>
      </c>
      <c r="BE22" s="1129">
        <f>SUMIFS(Table915[Count of EnergyRating],Table915[MainSpaceHeatingFuel],AL22,Table915[EnergyRating (group)],AM22,Table915[CountyName (group)],BE$4)</f>
        <v>136</v>
      </c>
      <c r="BF22" s="1129">
        <f>SUMIFS(Table915[Count of EnergyRating],Table915[MainSpaceHeatingFuel],AL22,Table915[EnergyRating (group)],AM22,Table915[CountyName (group)],BF$4)</f>
        <v>3</v>
      </c>
      <c r="BG22" s="1129">
        <f>SUMIFS(Table915[Count of EnergyRating],Table915[MainSpaceHeatingFuel],AL22,Table915[EnergyRating (group)],AM22,Table915[CountyName (group)],BG$4)</f>
        <v>0</v>
      </c>
      <c r="BH22" s="1129">
        <f>SUMIFS(Table915[Count of EnergyRating],Table915[MainSpaceHeatingFuel],AL22,Table915[EnergyRating (group)],AM22,Table915[CountyName (group)],BH$4)</f>
        <v>1</v>
      </c>
      <c r="BI22" s="1129">
        <f>SUMIFS(Table915[Count of EnergyRating],Table915[MainSpaceHeatingFuel],AL22,Table915[EnergyRating (group)],AM22,Table915[CountyName (group)],BI$4)</f>
        <v>0</v>
      </c>
      <c r="BJ22" s="1129">
        <f>SUMIFS(Table915[Count of EnergyRating],Table915[MainSpaceHeatingFuel],AL22,Table915[EnergyRating (group)],AM22,Table915[CountyName (group)],BJ$4)</f>
        <v>0</v>
      </c>
      <c r="BK22" s="1135">
        <f>SUMIFS(Table915[Count of EnergyRating],Table915[MainSpaceHeatingFuel],AL22,Table915[EnergyRating (group)],AM22,Table915[CountyName (group)],BK$4)</f>
        <v>3</v>
      </c>
      <c r="BL22" s="1129">
        <f>SUMIFS(Table915[Count of EnergyRating],Table915[MainSpaceHeatingFuel],AL22,Table915[EnergyRating (group)],AM22,Table915[CountyName (group)],BL$4)</f>
        <v>1</v>
      </c>
      <c r="BM22" s="1129">
        <f>SUMIFS(Table915[Count of EnergyRating],Table915[MainSpaceHeatingFuel],AL22,Table915[EnergyRating (group)],AM22,Table915[CountyName (group)],BM$4)</f>
        <v>0</v>
      </c>
    </row>
    <row r="23" spans="2:67" s="1129" customFormat="1" ht="13.5" thickBot="1">
      <c r="B23" s="1165"/>
      <c r="C23" s="1165" t="s">
        <v>1118</v>
      </c>
      <c r="D23" s="1165" t="s">
        <v>1094</v>
      </c>
      <c r="E23" s="1166">
        <f t="shared" ref="E23:AD23" si="39">G182</f>
        <v>4.8965247981716953</v>
      </c>
      <c r="F23" s="1166">
        <f t="shared" si="39"/>
        <v>162.76184648321521</v>
      </c>
      <c r="G23" s="1166">
        <f t="shared" si="39"/>
        <v>20.71269676622962</v>
      </c>
      <c r="H23" s="1166">
        <f t="shared" si="39"/>
        <v>6.7922129211394946</v>
      </c>
      <c r="I23" s="1166">
        <f t="shared" si="39"/>
        <v>6.2503658959674304</v>
      </c>
      <c r="J23" s="1166">
        <f t="shared" si="39"/>
        <v>2.5772774528546556</v>
      </c>
      <c r="K23" s="1166">
        <f t="shared" si="39"/>
        <v>13.189470975855338</v>
      </c>
      <c r="L23" s="1166">
        <f t="shared" si="39"/>
        <v>14.717412126520317</v>
      </c>
      <c r="M23" s="1166">
        <f t="shared" si="39"/>
        <v>5.5600230282528447</v>
      </c>
      <c r="N23" s="1166">
        <f t="shared" si="39"/>
        <v>6.6595860053357843</v>
      </c>
      <c r="O23" s="1166">
        <f t="shared" si="39"/>
        <v>9.9835168892265997</v>
      </c>
      <c r="P23" s="1166">
        <f t="shared" si="39"/>
        <v>12.580104329210247</v>
      </c>
      <c r="Q23" s="1166">
        <f t="shared" si="39"/>
        <v>8.2097674732753472</v>
      </c>
      <c r="R23" s="1166">
        <f t="shared" si="39"/>
        <v>49.656612739399826</v>
      </c>
      <c r="S23" s="1166">
        <f t="shared" si="39"/>
        <v>8.5180397030327146</v>
      </c>
      <c r="T23" s="1166">
        <f t="shared" si="39"/>
        <v>17.211227586746237</v>
      </c>
      <c r="U23" s="1166">
        <f t="shared" si="39"/>
        <v>11.921374860056455</v>
      </c>
      <c r="V23" s="1166">
        <f t="shared" si="39"/>
        <v>11.820914952083017</v>
      </c>
      <c r="W23" s="1166">
        <f t="shared" si="39"/>
        <v>14.981364346261371</v>
      </c>
      <c r="X23" s="1166">
        <f t="shared" si="39"/>
        <v>1.4866424303915793</v>
      </c>
      <c r="Y23" s="1166">
        <f t="shared" si="39"/>
        <v>6.7983269110778544</v>
      </c>
      <c r="Z23" s="1166">
        <f t="shared" si="39"/>
        <v>2.9172115595713692</v>
      </c>
      <c r="AA23" s="1166">
        <f t="shared" si="39"/>
        <v>4.82712511846825</v>
      </c>
      <c r="AB23" s="1166">
        <f t="shared" si="39"/>
        <v>4.1849149963947783</v>
      </c>
      <c r="AC23" s="1166">
        <f t="shared" si="39"/>
        <v>8.6238630557972851</v>
      </c>
      <c r="AD23" s="1166">
        <f t="shared" si="39"/>
        <v>3.594252804327672</v>
      </c>
      <c r="AE23" s="1175">
        <f t="shared" si="4"/>
        <v>421.43267620886292</v>
      </c>
      <c r="AF23" s="1153"/>
      <c r="AG23" s="1142"/>
      <c r="AH23" s="1142"/>
      <c r="AI23" s="1142"/>
      <c r="AJ23" s="1142"/>
      <c r="AK23" s="1142"/>
      <c r="AL23" s="1144" t="s">
        <v>402</v>
      </c>
      <c r="AM23" s="1144" t="s">
        <v>64</v>
      </c>
      <c r="AN23" s="1135">
        <f>SUMIFS(Table915[Count of EnergyRating],Table915[MainSpaceHeatingFuel],AL23,Table915[EnergyRating (group)],AM23,Table915[CountyName (group)],AN$4)</f>
        <v>20</v>
      </c>
      <c r="AO23" s="1129">
        <f>SUMIFS(Table915[Count of EnergyRating],Table915[MainSpaceHeatingFuel],AL23,Table915[EnergyRating (group)],AM23,Table915[CountyName (group)],AO$4)</f>
        <v>3821</v>
      </c>
      <c r="AP23" s="1129">
        <f>SUMIFS(Table915[Count of EnergyRating],Table915[MainSpaceHeatingFuel],AL23,Table915[EnergyRating (group)],AM23,Table915[CountyName (group)],AP$4)</f>
        <v>53</v>
      </c>
      <c r="AQ23" s="1129">
        <f>SUMIFS(Table915[Count of EnergyRating],Table915[MainSpaceHeatingFuel],AL23,Table915[EnergyRating (group)],AM23,Table915[CountyName (group)],AQ$4)</f>
        <v>23</v>
      </c>
      <c r="AR23" s="1129">
        <f>SUMIFS(Table915[Count of EnergyRating],Table915[MainSpaceHeatingFuel],AL23,Table915[EnergyRating (group)],AM23,Table915[CountyName (group)],AR$4)</f>
        <v>9</v>
      </c>
      <c r="AS23" s="1129">
        <f>SUMIFS(Table915[Count of EnergyRating],Table915[MainSpaceHeatingFuel],AL23,Table915[EnergyRating (group)],AM23,Table915[CountyName (group)],AS$4)</f>
        <v>0</v>
      </c>
      <c r="AT23" s="1129">
        <f>SUMIFS(Table915[Count of EnergyRating],Table915[MainSpaceHeatingFuel],AL23,Table915[EnergyRating (group)],AM23,Table915[CountyName (group)],AT$4)</f>
        <v>107</v>
      </c>
      <c r="AU23" s="1129">
        <f>SUMIFS(Table915[Count of EnergyRating],Table915[MainSpaceHeatingFuel],AL23,Table915[EnergyRating (group)],AM23,Table915[CountyName (group)],AU$4)</f>
        <v>28</v>
      </c>
      <c r="AV23" s="1129">
        <f>SUMIFS(Table915[Count of EnergyRating],Table915[MainSpaceHeatingFuel],AL23,Table915[EnergyRating (group)],AM23,Table915[CountyName (group)],AV$4)</f>
        <v>0</v>
      </c>
      <c r="AW23" s="1129">
        <f>SUMIFS(Table915[Count of EnergyRating],Table915[MainSpaceHeatingFuel],AL23,Table915[EnergyRating (group)],AM23,Table915[CountyName (group)],AW$4)</f>
        <v>1</v>
      </c>
      <c r="AX23" s="1129">
        <f>SUMIFS(Table915[Count of EnergyRating],Table915[MainSpaceHeatingFuel],AL23,Table915[EnergyRating (group)],AM23,Table915[CountyName (group)],AX$4)</f>
        <v>1</v>
      </c>
      <c r="AY23" s="1129">
        <f>SUMIFS(Table915[Count of EnergyRating],Table915[MainSpaceHeatingFuel],AL23,Table915[EnergyRating (group)],AM23,Table915[CountyName (group)],AY$4)</f>
        <v>106</v>
      </c>
      <c r="AZ23" s="1129">
        <f>SUMIFS(Table915[Count of EnergyRating],Table915[MainSpaceHeatingFuel],AL23,Table915[EnergyRating (group)],AM23,Table915[CountyName (group)],AZ$4)</f>
        <v>2</v>
      </c>
      <c r="BA23" s="1129">
        <f>SUMIFS(Table915[Count of EnergyRating],Table915[MainSpaceHeatingFuel],AL23,Table915[EnergyRating (group)],AM23,Table915[CountyName (group)],BA$4)</f>
        <v>549</v>
      </c>
      <c r="BB23" s="1129">
        <f>SUMIFS(Table915[Count of EnergyRating],Table915[MainSpaceHeatingFuel],AL23,Table915[EnergyRating (group)],AM23,Table915[CountyName (group)],BB$4)</f>
        <v>0</v>
      </c>
      <c r="BC23" s="1129">
        <f>SUMIFS(Table915[Count of EnergyRating],Table915[MainSpaceHeatingFuel],AL23,Table915[EnergyRating (group)],AM23,Table915[CountyName (group)],BC$4)</f>
        <v>175</v>
      </c>
      <c r="BD23" s="1129">
        <f>SUMIFS(Table915[Count of EnergyRating],Table915[MainSpaceHeatingFuel],AL23,Table915[EnergyRating (group)],AM23,Table915[CountyName (group)],BD$4)</f>
        <v>68</v>
      </c>
      <c r="BE23" s="1129">
        <f>SUMIFS(Table915[Count of EnergyRating],Table915[MainSpaceHeatingFuel],AL23,Table915[EnergyRating (group)],AM23,Table915[CountyName (group)],BE$4)</f>
        <v>98</v>
      </c>
      <c r="BF23" s="1129">
        <f>SUMIFS(Table915[Count of EnergyRating],Table915[MainSpaceHeatingFuel],AL23,Table915[EnergyRating (group)],AM23,Table915[CountyName (group)],BF$4)</f>
        <v>5</v>
      </c>
      <c r="BG23" s="1129">
        <f>SUMIFS(Table915[Count of EnergyRating],Table915[MainSpaceHeatingFuel],AL23,Table915[EnergyRating (group)],AM23,Table915[CountyName (group)],BG$4)</f>
        <v>0</v>
      </c>
      <c r="BH23" s="1129">
        <f>SUMIFS(Table915[Count of EnergyRating],Table915[MainSpaceHeatingFuel],AL23,Table915[EnergyRating (group)],AM23,Table915[CountyName (group)],BH$4)</f>
        <v>0</v>
      </c>
      <c r="BI23" s="1129">
        <f>SUMIFS(Table915[Count of EnergyRating],Table915[MainSpaceHeatingFuel],AL23,Table915[EnergyRating (group)],AM23,Table915[CountyName (group)],BI$4)</f>
        <v>1</v>
      </c>
      <c r="BJ23" s="1129">
        <f>SUMIFS(Table915[Count of EnergyRating],Table915[MainSpaceHeatingFuel],AL23,Table915[EnergyRating (group)],AM23,Table915[CountyName (group)],BJ$4)</f>
        <v>0</v>
      </c>
      <c r="BK23" s="1135">
        <f>SUMIFS(Table915[Count of EnergyRating],Table915[MainSpaceHeatingFuel],AL23,Table915[EnergyRating (group)],AM23,Table915[CountyName (group)],BK$4)</f>
        <v>3</v>
      </c>
      <c r="BL23" s="1129">
        <f>SUMIFS(Table915[Count of EnergyRating],Table915[MainSpaceHeatingFuel],AL23,Table915[EnergyRating (group)],AM23,Table915[CountyName (group)],BL$4)</f>
        <v>0</v>
      </c>
      <c r="BM23" s="1129">
        <f>SUMIFS(Table915[Count of EnergyRating],Table915[MainSpaceHeatingFuel],AL23,Table915[EnergyRating (group)],AM23,Table915[CountyName (group)],BM$4)</f>
        <v>3</v>
      </c>
    </row>
    <row r="24" spans="2:67" s="1129" customFormat="1" ht="15">
      <c r="B24" s="1137"/>
      <c r="C24" s="1137" t="s">
        <v>1119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F24" s="1153"/>
      <c r="AG24" s="1142"/>
      <c r="AH24" s="1142"/>
      <c r="AI24" s="1142"/>
      <c r="AJ24" s="1142"/>
      <c r="AK24" s="1142"/>
      <c r="AL24" s="1148" t="s">
        <v>402</v>
      </c>
      <c r="AM24" s="1148" t="s">
        <v>1107</v>
      </c>
      <c r="AN24" s="1149">
        <f>SUMIFS(Table915[Count of EnergyRating],Table915[MainWaterHeatingFuel],AL24,Table915[CountyName (group)],AN$4)</f>
        <v>2940</v>
      </c>
      <c r="AO24" s="1150">
        <f>SUMIFS(Table915[Count of EnergyRating],Table915[MainWaterHeatingFuel],$AL$24,Table915[CountyName (group)],AO4)</f>
        <v>118926</v>
      </c>
      <c r="AP24" s="1150">
        <f>SUMIFS(Table915[Count of EnergyRating],Table915[MainWaterHeatingFuel],AL$24,Table915[CountyName (group)],$AP4)</f>
        <v>11211</v>
      </c>
      <c r="AQ24" s="1150">
        <f>SUMIFS(Table915[Count of EnergyRating],Table915[MainWaterHeatingFuel],AL$24,Table915[CountyName (group)],$AQ4)</f>
        <v>2636</v>
      </c>
      <c r="AR24" s="1150">
        <f>SUMIFS(Table915[Count of EnergyRating],Table915[MainWaterHeatingFuel],AL$24,Table915[CountyName (group)],$AR4)</f>
        <v>2709</v>
      </c>
      <c r="AS24" s="1150">
        <f>SUMIFS(Table915[Count of EnergyRating],Table915[MainWaterHeatingFuel],AL$24,Table915[CountyName (group)],$AS4)</f>
        <v>37</v>
      </c>
      <c r="AT24" s="1150">
        <f>SUMIFS(Table915[Count of EnergyRating],Table915[MainWaterHeatingFuel],AL$24,Table915[CountyName (group)],$AP4)</f>
        <v>11211</v>
      </c>
      <c r="AU24" s="1150">
        <f>SUMIFS(Table915[Count of EnergyRating],Table915[MainWaterHeatingFuel],AL$24,Table915[CountyName (group)],$AU4)</f>
        <v>10570</v>
      </c>
      <c r="AV24" s="1150">
        <f>SUMIFS(Table915[Count of EnergyRating],Table915[MainWaterHeatingFuel],AL$24,Table915[CountyName (group)],$AV4)</f>
        <v>953</v>
      </c>
      <c r="AW24" s="1150">
        <f>SUMIFS(Table915[Count of EnergyRating],Table915[MainWaterHeatingFuel],AL$24,Table915[CountyName (group)],$AW4)</f>
        <v>1479</v>
      </c>
      <c r="AX24" s="1150">
        <f>SUMIFS(Table915[Count of EnergyRating],Table915[MainWaterHeatingFuel],AL$24,Table915[CountyName (group)],$AX4)</f>
        <v>92</v>
      </c>
      <c r="AY24" s="1150">
        <f>SUMIFS(Table915[Count of EnergyRating],Table915[MainWaterHeatingFuel],AL$24,Table915[CountyName (group)],$AY4)</f>
        <v>6993</v>
      </c>
      <c r="AZ24" s="1149">
        <f>SUMIFS(Table915[Count of EnergyRating],Table915[MainWaterHeatingFuel],AL$24,Table915[CountyName (group)],$AZ4)</f>
        <v>1664</v>
      </c>
      <c r="BA24" s="1150">
        <f>SUMIFS(Table915[Count of EnergyRating],Table915[MainWaterHeatingFuel],AL$24,Table915[CountyName (group)],$BA4)</f>
        <v>30248</v>
      </c>
      <c r="BB24" s="1150">
        <f>SUMIFS(Table915[Count of EnergyRating],Table915[MainWaterHeatingFuel],AL$24,Table915[CountyName (group)],$BB4)</f>
        <v>142</v>
      </c>
      <c r="BC24" s="1150">
        <f>SUMIFS(Table915[Count of EnergyRating],Table915[MainWaterHeatingFuel],AL$24,Table915[CountyName (group)],$BC4)</f>
        <v>10405</v>
      </c>
      <c r="BD24" s="1150">
        <f>SUMIFS(Table915[Count of EnergyRating],Table915[MainWaterHeatingFuel],AL$24,Table915[CountyName (group)],$BD4)</f>
        <v>2773</v>
      </c>
      <c r="BE24" s="1150">
        <f>SUMIFS(Table915[Count of EnergyRating],Table915[MainWaterHeatingFuel],AL$24,Table915[CountyName (group)],$BE4)</f>
        <v>6165</v>
      </c>
      <c r="BF24" s="1150">
        <f>SUMIFS(Table915[Count of EnergyRating],Table915[MainWaterHeatingFuel],AL$24,Table915[CountyName (group)],$BF4)</f>
        <v>2810</v>
      </c>
      <c r="BG24" s="1150">
        <f>SUMIFS(Table915[Count of EnergyRating],Table915[MainWaterHeatingFuel],AL$24,Table915[CountyName (group)],$BG4)</f>
        <v>23</v>
      </c>
      <c r="BH24" s="1150">
        <f>SUMIFS(Table915[Count of EnergyRating],Table915[MainWaterHeatingFuel],AL$24,Table915[CountyName (group)],$BH4)</f>
        <v>369</v>
      </c>
      <c r="BI24" s="1150">
        <f>SUMIFS(Table915[Count of EnergyRating],Table915[MainWaterHeatingFuel],AL$24,Table915[CountyName (group)],$BI4)</f>
        <v>271</v>
      </c>
      <c r="BJ24" s="1150">
        <f>SUMIFS(Table915[Count of EnergyRating],Table915[MainWaterHeatingFuel],AL$24,Table915[CountyName (group)],$BJ4)</f>
        <v>54</v>
      </c>
      <c r="BK24" s="1149">
        <f>SUMIFS(Table915[Count of EnergyRating],Table915[MainWaterHeatingFuel],AL$24,Table915[CountyName (group)],$BK4)</f>
        <v>715</v>
      </c>
      <c r="BL24" s="1150">
        <f>SUMIFS(Table915[Count of EnergyRating],Table915[MainWaterHeatingFuel],AL$24,Table915[CountyName (group)],$BL4)</f>
        <v>25</v>
      </c>
      <c r="BM24" s="1150">
        <f>SUMIFS(Table915[Count of EnergyRating],Table915[MainWaterHeatingFuel],AL$24,Table915[CountyName (group)],$BM4)</f>
        <v>549</v>
      </c>
    </row>
    <row r="25" spans="2:67" s="1129" customFormat="1">
      <c r="B25" s="1134" t="s">
        <v>1259</v>
      </c>
      <c r="C25" s="1134" t="s">
        <v>1120</v>
      </c>
      <c r="D25" s="1134" t="s">
        <v>1094</v>
      </c>
      <c r="E25" s="1145">
        <f t="shared" ref="E25:AD25" si="40">G184*((SUM(AN$25:AN$28)/SUM(AN$25:AN$33))/(SUM(G$184)/SUM(G$184:G$189)))</f>
        <v>2.5318407532471817E-3</v>
      </c>
      <c r="F25" s="1145">
        <f t="shared" si="40"/>
        <v>0</v>
      </c>
      <c r="G25" s="1145">
        <f t="shared" si="40"/>
        <v>0</v>
      </c>
      <c r="H25" s="1145">
        <f t="shared" si="40"/>
        <v>0</v>
      </c>
      <c r="I25" s="1145">
        <f t="shared" si="40"/>
        <v>0</v>
      </c>
      <c r="J25" s="1145">
        <f t="shared" si="40"/>
        <v>0</v>
      </c>
      <c r="K25" s="1145">
        <f t="shared" si="40"/>
        <v>0</v>
      </c>
      <c r="L25" s="1145">
        <f t="shared" si="40"/>
        <v>2.8416776003042975E-3</v>
      </c>
      <c r="M25" s="1145">
        <f t="shared" si="40"/>
        <v>0</v>
      </c>
      <c r="N25" s="1145">
        <f t="shared" si="40"/>
        <v>0</v>
      </c>
      <c r="O25" s="1145">
        <f t="shared" si="40"/>
        <v>0</v>
      </c>
      <c r="P25" s="1145">
        <f t="shared" si="40"/>
        <v>0</v>
      </c>
      <c r="Q25" s="1145">
        <f t="shared" si="40"/>
        <v>1.0936939602603133E-3</v>
      </c>
      <c r="R25" s="1145">
        <f t="shared" si="40"/>
        <v>0</v>
      </c>
      <c r="S25" s="1145">
        <f t="shared" si="40"/>
        <v>0</v>
      </c>
      <c r="T25" s="1145">
        <f t="shared" si="40"/>
        <v>0</v>
      </c>
      <c r="U25" s="1145">
        <f t="shared" si="40"/>
        <v>0</v>
      </c>
      <c r="V25" s="1145">
        <f t="shared" si="40"/>
        <v>0</v>
      </c>
      <c r="W25" s="1145">
        <f t="shared" si="40"/>
        <v>0</v>
      </c>
      <c r="X25" s="1145">
        <f t="shared" si="40"/>
        <v>0</v>
      </c>
      <c r="Y25" s="1145">
        <f t="shared" si="40"/>
        <v>0</v>
      </c>
      <c r="Z25" s="1145">
        <f t="shared" si="40"/>
        <v>0</v>
      </c>
      <c r="AA25" s="1145">
        <f t="shared" si="40"/>
        <v>0</v>
      </c>
      <c r="AB25" s="1145">
        <f t="shared" si="40"/>
        <v>0</v>
      </c>
      <c r="AC25" s="1145">
        <f t="shared" si="40"/>
        <v>0</v>
      </c>
      <c r="AD25" s="1145">
        <f t="shared" si="40"/>
        <v>0</v>
      </c>
      <c r="AE25" s="1172">
        <f t="shared" si="4"/>
        <v>6.4672123138117925E-3</v>
      </c>
      <c r="AF25" s="1153"/>
      <c r="AG25" s="1142"/>
      <c r="AH25" s="1142"/>
      <c r="AI25" s="1142"/>
      <c r="AJ25" s="1142"/>
      <c r="AK25" s="1142"/>
      <c r="AL25" s="1144" t="s">
        <v>1131</v>
      </c>
      <c r="AM25" s="1144" t="s">
        <v>48</v>
      </c>
      <c r="AN25" s="1135">
        <f>SUMIFS(Table915[Count of EnergyRating],Table915[MainSpaceHeatingFuel],AL25,Table915[EnergyRating (group)],AM25,Table915[CountyName (group)],AN$4)</f>
        <v>0</v>
      </c>
      <c r="AO25" s="1129">
        <f>SUMIFS(Table915[Count of EnergyRating],Table915[MainSpaceHeatingFuel],AL25,Table915[EnergyRating (group)],AM25,Table915[CountyName (group)],AO$4)</f>
        <v>0</v>
      </c>
      <c r="AP25" s="1129">
        <f>SUMIFS(Table915[Count of EnergyRating],Table915[MainSpaceHeatingFuel],AL25,Table915[EnergyRating (group)],AM25,Table915[CountyName (group)],AP$4)</f>
        <v>0</v>
      </c>
      <c r="AQ25" s="1129">
        <f>SUMIFS(Table915[Count of EnergyRating],Table915[MainSpaceHeatingFuel],AL25,Table915[EnergyRating (group)],AM25,Table915[CountyName (group)],AQ$4)</f>
        <v>0</v>
      </c>
      <c r="AR25" s="1129">
        <f>SUMIFS(Table915[Count of EnergyRating],Table915[MainSpaceHeatingFuel],AL25,Table915[EnergyRating (group)],AM25,Table915[CountyName (group)],AR$4)</f>
        <v>0</v>
      </c>
      <c r="AS25" s="1129">
        <f>SUMIFS(Table915[Count of EnergyRating],Table915[MainSpaceHeatingFuel],AL25,Table915[EnergyRating (group)],AM25,Table915[CountyName (group)],AS$4)</f>
        <v>0</v>
      </c>
      <c r="AT25" s="1129">
        <f>SUMIFS(Table915[Count of EnergyRating],Table915[MainSpaceHeatingFuel],AL25,Table915[EnergyRating (group)],AM25,Table915[CountyName (group)],AT$4)</f>
        <v>0</v>
      </c>
      <c r="AU25" s="1129">
        <f>SUMIFS(Table915[Count of EnergyRating],Table915[MainSpaceHeatingFuel],AL25,Table915[EnergyRating (group)],AM25,Table915[CountyName (group)],AU$4)</f>
        <v>0</v>
      </c>
      <c r="AV25" s="1129">
        <f>SUMIFS(Table915[Count of EnergyRating],Table915[MainSpaceHeatingFuel],AL25,Table915[EnergyRating (group)],AM25,Table915[CountyName (group)],AV$4)</f>
        <v>0</v>
      </c>
      <c r="AW25" s="1129">
        <f>SUMIFS(Table915[Count of EnergyRating],Table915[MainSpaceHeatingFuel],AL25,Table915[EnergyRating (group)],AM25,Table915[CountyName (group)],AW$4)</f>
        <v>0</v>
      </c>
      <c r="AX25" s="1129">
        <f>SUMIFS(Table915[Count of EnergyRating],Table915[MainSpaceHeatingFuel],AL25,Table915[EnergyRating (group)],AM25,Table915[CountyName (group)],AX$4)</f>
        <v>0</v>
      </c>
      <c r="AY25" s="1129">
        <f>SUMIFS(Table915[Count of EnergyRating],Table915[MainSpaceHeatingFuel],AL25,Table915[EnergyRating (group)],AM25,Table915[CountyName (group)],AY$4)</f>
        <v>0</v>
      </c>
      <c r="AZ25" s="1129">
        <f>SUMIFS(Table915[Count of EnergyRating],Table915[MainSpaceHeatingFuel],AL25,Table915[EnergyRating (group)],AM25,Table915[CountyName (group)],AZ$4)</f>
        <v>0</v>
      </c>
      <c r="BA25" s="1129">
        <f>SUMIFS(Table915[Count of EnergyRating],Table915[MainSpaceHeatingFuel],AL25,Table915[EnergyRating (group)],AM25,Table915[CountyName (group)],BA$4)</f>
        <v>0</v>
      </c>
      <c r="BB25" s="1129">
        <f>SUMIFS(Table915[Count of EnergyRating],Table915[MainSpaceHeatingFuel],AL25,Table915[EnergyRating (group)],AM25,Table915[CountyName (group)],BB$4)</f>
        <v>0</v>
      </c>
      <c r="BC25" s="1129">
        <f>SUMIFS(Table915[Count of EnergyRating],Table915[MainSpaceHeatingFuel],AL25,Table915[EnergyRating (group)],AM25,Table915[CountyName (group)],BC$4)</f>
        <v>0</v>
      </c>
      <c r="BD25" s="1129">
        <f>SUMIFS(Table915[Count of EnergyRating],Table915[MainSpaceHeatingFuel],AL25,Table915[EnergyRating (group)],AM25,Table915[CountyName (group)],BD$4)</f>
        <v>0</v>
      </c>
      <c r="BE25" s="1129">
        <f>SUMIFS(Table915[Count of EnergyRating],Table915[MainSpaceHeatingFuel],AL25,Table915[EnergyRating (group)],AM25,Table915[CountyName (group)],BE$4)</f>
        <v>0</v>
      </c>
      <c r="BF25" s="1129">
        <f>SUMIFS(Table915[Count of EnergyRating],Table915[MainSpaceHeatingFuel],AL25,Table915[EnergyRating (group)],AM25,Table915[CountyName (group)],BF$4)</f>
        <v>0</v>
      </c>
      <c r="BG25" s="1129">
        <f>SUMIFS(Table915[Count of EnergyRating],Table915[MainSpaceHeatingFuel],AL25,Table915[EnergyRating (group)],AM25,Table915[CountyName (group)],BG$4)</f>
        <v>0</v>
      </c>
      <c r="BH25" s="1129">
        <f>SUMIFS(Table915[Count of EnergyRating],Table915[MainSpaceHeatingFuel],AL25,Table915[EnergyRating (group)],AM25,Table915[CountyName (group)],BH$4)</f>
        <v>0</v>
      </c>
      <c r="BI25" s="1129">
        <f>SUMIFS(Table915[Count of EnergyRating],Table915[MainSpaceHeatingFuel],AL25,Table915[EnergyRating (group)],AM25,Table915[CountyName (group)],BI$4)</f>
        <v>0</v>
      </c>
      <c r="BJ25" s="1129">
        <f>SUMIFS(Table915[Count of EnergyRating],Table915[MainSpaceHeatingFuel],AL25,Table915[EnergyRating (group)],AM25,Table915[CountyName (group)],BJ$4)</f>
        <v>0</v>
      </c>
      <c r="BK25" s="1135">
        <f>SUMIFS(Table915[Count of EnergyRating],Table915[MainSpaceHeatingFuel],AL25,Table915[EnergyRating (group)],AM25,Table915[CountyName (group)],BK$4)</f>
        <v>0</v>
      </c>
      <c r="BL25" s="1129">
        <f>SUMIFS(Table915[Count of EnergyRating],Table915[MainSpaceHeatingFuel],AL25,Table915[EnergyRating (group)],AM25,Table915[CountyName (group)],BL$4)</f>
        <v>0</v>
      </c>
      <c r="BM25" s="1129">
        <f>SUMIFS(Table915[Count of EnergyRating],Table915[MainSpaceHeatingFuel],AL25,Table915[EnergyRating (group)],AM25,Table915[CountyName (group)],BM$4)</f>
        <v>0</v>
      </c>
    </row>
    <row r="26" spans="2:67" s="1129" customFormat="1">
      <c r="B26" s="1136" t="s">
        <v>56</v>
      </c>
      <c r="C26" s="1136" t="s">
        <v>1120</v>
      </c>
      <c r="D26" s="1136" t="s">
        <v>1094</v>
      </c>
      <c r="E26" s="1146">
        <f t="shared" ref="E26:AD26" si="41">G185*((SUM(AN$29)/SUM(AN$25:AN$33))/(SUM(G185)/SUM(G$184:G$189)))</f>
        <v>0</v>
      </c>
      <c r="F26" s="1146">
        <f t="shared" si="41"/>
        <v>3.381647923804032E-2</v>
      </c>
      <c r="G26" s="1146">
        <f t="shared" si="41"/>
        <v>0</v>
      </c>
      <c r="H26" s="1146">
        <f t="shared" si="41"/>
        <v>1.3368418505498409E-2</v>
      </c>
      <c r="I26" s="1146">
        <f t="shared" si="41"/>
        <v>9.5340161979523275E-3</v>
      </c>
      <c r="J26" s="1146">
        <f t="shared" si="41"/>
        <v>0</v>
      </c>
      <c r="K26" s="1146">
        <f t="shared" si="41"/>
        <v>0</v>
      </c>
      <c r="L26" s="1146">
        <f t="shared" si="41"/>
        <v>2.8416776003042971E-3</v>
      </c>
      <c r="M26" s="1146">
        <f t="shared" si="41"/>
        <v>0</v>
      </c>
      <c r="N26" s="1146">
        <f t="shared" si="41"/>
        <v>2.2276801401497253E-3</v>
      </c>
      <c r="O26" s="1146">
        <f t="shared" si="41"/>
        <v>1.4133076896934778E-3</v>
      </c>
      <c r="P26" s="1146">
        <f t="shared" si="41"/>
        <v>2.7315449903148326E-3</v>
      </c>
      <c r="Q26" s="1146">
        <f t="shared" si="41"/>
        <v>9.8432456423428218E-3</v>
      </c>
      <c r="R26" s="1146">
        <f t="shared" si="41"/>
        <v>1.5484268019793053E-2</v>
      </c>
      <c r="S26" s="1146">
        <f t="shared" si="41"/>
        <v>2.4361912322978033E-3</v>
      </c>
      <c r="T26" s="1146">
        <f t="shared" si="41"/>
        <v>4.7161441913589055E-3</v>
      </c>
      <c r="U26" s="1146">
        <f t="shared" si="41"/>
        <v>8.816634372074944E-3</v>
      </c>
      <c r="V26" s="1146">
        <f t="shared" si="41"/>
        <v>3.717746709489848E-3</v>
      </c>
      <c r="W26" s="1146">
        <f t="shared" si="41"/>
        <v>3.7523601690993818E-3</v>
      </c>
      <c r="X26" s="1146">
        <f t="shared" si="41"/>
        <v>5.2129998293788205E-4</v>
      </c>
      <c r="Y26" s="1146">
        <f t="shared" si="41"/>
        <v>3.8406853097938073E-3</v>
      </c>
      <c r="Z26" s="1146">
        <f t="shared" si="41"/>
        <v>0</v>
      </c>
      <c r="AA26" s="1146">
        <f t="shared" si="41"/>
        <v>7.5907950434576043E-4</v>
      </c>
      <c r="AB26" s="1146">
        <f t="shared" si="41"/>
        <v>7.5099692565336312E-3</v>
      </c>
      <c r="AC26" s="1146">
        <f t="shared" si="41"/>
        <v>1.9273901692509461E-3</v>
      </c>
      <c r="AD26" s="1146">
        <f t="shared" si="41"/>
        <v>1.3158012836888488E-2</v>
      </c>
      <c r="AE26" s="1173">
        <f t="shared" si="4"/>
        <v>0.14241615175816066</v>
      </c>
      <c r="AF26" s="1153"/>
      <c r="AG26" s="1142"/>
      <c r="AH26" s="1142"/>
      <c r="AI26" s="1142"/>
      <c r="AJ26" s="1142"/>
      <c r="AK26" s="1142"/>
      <c r="AL26" s="1144" t="s">
        <v>1131</v>
      </c>
      <c r="AM26" s="1144" t="s">
        <v>50</v>
      </c>
      <c r="AN26" s="1135">
        <f>SUMIFS(Table915[Count of EnergyRating],Table915[MainSpaceHeatingFuel],AL26,Table915[EnergyRating (group)],AM26,Table915[CountyName (group)],AN$4)</f>
        <v>0</v>
      </c>
      <c r="AO26" s="1129">
        <f>SUMIFS(Table915[Count of EnergyRating],Table915[MainSpaceHeatingFuel],AL26,Table915[EnergyRating (group)],AM26,Table915[CountyName (group)],AO$4)</f>
        <v>0</v>
      </c>
      <c r="AP26" s="1129">
        <f>SUMIFS(Table915[Count of EnergyRating],Table915[MainSpaceHeatingFuel],AL26,Table915[EnergyRating (group)],AM26,Table915[CountyName (group)],AP$4)</f>
        <v>0</v>
      </c>
      <c r="AQ26" s="1129">
        <f>SUMIFS(Table915[Count of EnergyRating],Table915[MainSpaceHeatingFuel],AL26,Table915[EnergyRating (group)],AM26,Table915[CountyName (group)],AQ$4)</f>
        <v>0</v>
      </c>
      <c r="AR26" s="1129">
        <f>SUMIFS(Table915[Count of EnergyRating],Table915[MainSpaceHeatingFuel],AL26,Table915[EnergyRating (group)],AM26,Table915[CountyName (group)],AR$4)</f>
        <v>0</v>
      </c>
      <c r="AS26" s="1129">
        <f>SUMIFS(Table915[Count of EnergyRating],Table915[MainSpaceHeatingFuel],AL26,Table915[EnergyRating (group)],AM26,Table915[CountyName (group)],AS$4)</f>
        <v>0</v>
      </c>
      <c r="AT26" s="1129">
        <f>SUMIFS(Table915[Count of EnergyRating],Table915[MainSpaceHeatingFuel],AL26,Table915[EnergyRating (group)],AM26,Table915[CountyName (group)],AT$4)</f>
        <v>0</v>
      </c>
      <c r="AU26" s="1129">
        <f>SUMIFS(Table915[Count of EnergyRating],Table915[MainSpaceHeatingFuel],AL26,Table915[EnergyRating (group)],AM26,Table915[CountyName (group)],AU$4)</f>
        <v>0</v>
      </c>
      <c r="AV26" s="1129">
        <f>SUMIFS(Table915[Count of EnergyRating],Table915[MainSpaceHeatingFuel],AL26,Table915[EnergyRating (group)],AM26,Table915[CountyName (group)],AV$4)</f>
        <v>0</v>
      </c>
      <c r="AW26" s="1129">
        <f>SUMIFS(Table915[Count of EnergyRating],Table915[MainSpaceHeatingFuel],AL26,Table915[EnergyRating (group)],AM26,Table915[CountyName (group)],AW$4)</f>
        <v>0</v>
      </c>
      <c r="AX26" s="1129">
        <f>SUMIFS(Table915[Count of EnergyRating],Table915[MainSpaceHeatingFuel],AL26,Table915[EnergyRating (group)],AM26,Table915[CountyName (group)],AX$4)</f>
        <v>0</v>
      </c>
      <c r="AY26" s="1129">
        <f>SUMIFS(Table915[Count of EnergyRating],Table915[MainSpaceHeatingFuel],AL26,Table915[EnergyRating (group)],AM26,Table915[CountyName (group)],AY$4)</f>
        <v>0</v>
      </c>
      <c r="AZ26" s="1129">
        <f>SUMIFS(Table915[Count of EnergyRating],Table915[MainSpaceHeatingFuel],AL26,Table915[EnergyRating (group)],AM26,Table915[CountyName (group)],AZ$4)</f>
        <v>0</v>
      </c>
      <c r="BA26" s="1129">
        <f>SUMIFS(Table915[Count of EnergyRating],Table915[MainSpaceHeatingFuel],AL26,Table915[EnergyRating (group)],AM26,Table915[CountyName (group)],BA$4)</f>
        <v>0</v>
      </c>
      <c r="BB26" s="1129">
        <f>SUMIFS(Table915[Count of EnergyRating],Table915[MainSpaceHeatingFuel],AL26,Table915[EnergyRating (group)],AM26,Table915[CountyName (group)],BB$4)</f>
        <v>0</v>
      </c>
      <c r="BC26" s="1129">
        <f>SUMIFS(Table915[Count of EnergyRating],Table915[MainSpaceHeatingFuel],AL26,Table915[EnergyRating (group)],AM26,Table915[CountyName (group)],BC$4)</f>
        <v>0</v>
      </c>
      <c r="BD26" s="1129">
        <f>SUMIFS(Table915[Count of EnergyRating],Table915[MainSpaceHeatingFuel],AL26,Table915[EnergyRating (group)],AM26,Table915[CountyName (group)],BD$4)</f>
        <v>0</v>
      </c>
      <c r="BE26" s="1129">
        <f>SUMIFS(Table915[Count of EnergyRating],Table915[MainSpaceHeatingFuel],AL26,Table915[EnergyRating (group)],AM26,Table915[CountyName (group)],BE$4)</f>
        <v>0</v>
      </c>
      <c r="BF26" s="1129">
        <f>SUMIFS(Table915[Count of EnergyRating],Table915[MainSpaceHeatingFuel],AL26,Table915[EnergyRating (group)],AM26,Table915[CountyName (group)],BF$4)</f>
        <v>0</v>
      </c>
      <c r="BG26" s="1129">
        <f>SUMIFS(Table915[Count of EnergyRating],Table915[MainSpaceHeatingFuel],AL26,Table915[EnergyRating (group)],AM26,Table915[CountyName (group)],BG$4)</f>
        <v>0</v>
      </c>
      <c r="BH26" s="1129">
        <f>SUMIFS(Table915[Count of EnergyRating],Table915[MainSpaceHeatingFuel],AL26,Table915[EnergyRating (group)],AM26,Table915[CountyName (group)],BH$4)</f>
        <v>0</v>
      </c>
      <c r="BI26" s="1129">
        <f>SUMIFS(Table915[Count of EnergyRating],Table915[MainSpaceHeatingFuel],AL26,Table915[EnergyRating (group)],AM26,Table915[CountyName (group)],BI$4)</f>
        <v>0</v>
      </c>
      <c r="BJ26" s="1129">
        <f>SUMIFS(Table915[Count of EnergyRating],Table915[MainSpaceHeatingFuel],AL26,Table915[EnergyRating (group)],AM26,Table915[CountyName (group)],BJ$4)</f>
        <v>0</v>
      </c>
      <c r="BK26" s="1135">
        <f>SUMIFS(Table915[Count of EnergyRating],Table915[MainSpaceHeatingFuel],AL26,Table915[EnergyRating (group)],AM26,Table915[CountyName (group)],BK$4)</f>
        <v>0</v>
      </c>
      <c r="BL26" s="1129">
        <f>SUMIFS(Table915[Count of EnergyRating],Table915[MainSpaceHeatingFuel],AL26,Table915[EnergyRating (group)],AM26,Table915[CountyName (group)],BL$4)</f>
        <v>0</v>
      </c>
      <c r="BM26" s="1129">
        <f>SUMIFS(Table915[Count of EnergyRating],Table915[MainSpaceHeatingFuel],AL26,Table915[EnergyRating (group)],AM26,Table915[CountyName (group)],BM$4)</f>
        <v>0</v>
      </c>
    </row>
    <row r="27" spans="2:67" s="1129" customFormat="1" ht="15">
      <c r="B27" s="1134" t="s">
        <v>58</v>
      </c>
      <c r="C27" s="1134" t="s">
        <v>1120</v>
      </c>
      <c r="D27" s="1134" t="s">
        <v>1094</v>
      </c>
      <c r="E27" s="1145">
        <f t="shared" ref="E27:AD27" si="42">G186*((SUM(AN$30)/SUM(AN$25:AN$33))/(SUM(G186)/SUM(G$184:G$189)))</f>
        <v>1.772288527273027E-2</v>
      </c>
      <c r="F27" s="1145">
        <f t="shared" si="42"/>
        <v>0.30434831314236288</v>
      </c>
      <c r="G27" s="1145">
        <f t="shared" si="42"/>
        <v>9.0269086303714857E-2</v>
      </c>
      <c r="H27" s="1145">
        <f t="shared" si="42"/>
        <v>6.4614022776575658E-2</v>
      </c>
      <c r="I27" s="1145">
        <f t="shared" si="42"/>
        <v>3.3369056692833139E-2</v>
      </c>
      <c r="J27" s="1145">
        <f t="shared" si="42"/>
        <v>4.4928670263675148E-2</v>
      </c>
      <c r="K27" s="1145">
        <f t="shared" si="42"/>
        <v>6.9674815507131865E-2</v>
      </c>
      <c r="L27" s="1145">
        <f t="shared" si="42"/>
        <v>4.830851920517306E-2</v>
      </c>
      <c r="M27" s="1145">
        <f t="shared" si="42"/>
        <v>2.1950822058821484E-2</v>
      </c>
      <c r="N27" s="1145">
        <f t="shared" si="42"/>
        <v>2.717769770982665E-2</v>
      </c>
      <c r="O27" s="1145">
        <f t="shared" si="42"/>
        <v>0.10175815365793039</v>
      </c>
      <c r="P27" s="1145">
        <f t="shared" si="42"/>
        <v>9.0140984680389474E-2</v>
      </c>
      <c r="Q27" s="1145">
        <f t="shared" si="42"/>
        <v>8.8042363800955245E-2</v>
      </c>
      <c r="R27" s="1145">
        <f t="shared" si="42"/>
        <v>0.31484678306912545</v>
      </c>
      <c r="S27" s="1145">
        <f t="shared" si="42"/>
        <v>6.6589227016139924E-2</v>
      </c>
      <c r="T27" s="1145">
        <f t="shared" si="42"/>
        <v>6.9170114806597294E-2</v>
      </c>
      <c r="U27" s="1145">
        <f t="shared" si="42"/>
        <v>8.8166343720749454E-2</v>
      </c>
      <c r="V27" s="1145">
        <f t="shared" si="42"/>
        <v>8.4268925415103238E-2</v>
      </c>
      <c r="W27" s="1145">
        <f t="shared" si="42"/>
        <v>2.4765577116055919E-2</v>
      </c>
      <c r="X27" s="1145">
        <f t="shared" si="42"/>
        <v>6.7768997781924674E-3</v>
      </c>
      <c r="Y27" s="1145">
        <f t="shared" si="42"/>
        <v>6.5291650266494722E-2</v>
      </c>
      <c r="Z27" s="1145">
        <f t="shared" si="42"/>
        <v>9.2291697181017714E-3</v>
      </c>
      <c r="AA27" s="1145">
        <f t="shared" si="42"/>
        <v>2.960410066948466E-2</v>
      </c>
      <c r="AB27" s="1145">
        <f t="shared" si="42"/>
        <v>7.5099692565336312E-3</v>
      </c>
      <c r="AC27" s="1145">
        <f t="shared" si="42"/>
        <v>5.1075839485150085E-2</v>
      </c>
      <c r="AD27" s="1145">
        <f t="shared" si="42"/>
        <v>0</v>
      </c>
      <c r="AE27" s="1172">
        <f t="shared" si="4"/>
        <v>1.8195999913898488</v>
      </c>
      <c r="AF27" s="1153"/>
      <c r="AG27" s="1142"/>
      <c r="AH27" s="1137" t="s">
        <v>1157</v>
      </c>
      <c r="AI27" s="1137" t="s">
        <v>1160</v>
      </c>
      <c r="AJ27" s="1159" t="s">
        <v>1159</v>
      </c>
      <c r="AK27" s="1142"/>
      <c r="AL27" s="1144" t="s">
        <v>1131</v>
      </c>
      <c r="AM27" s="1144" t="s">
        <v>52</v>
      </c>
      <c r="AN27" s="1135">
        <f>SUMIFS(Table915[Count of EnergyRating],Table915[MainSpaceHeatingFuel],AL27,Table915[EnergyRating (group)],AM27,Table915[CountyName (group)],AN$4)</f>
        <v>0</v>
      </c>
      <c r="AO27" s="1129">
        <f>SUMIFS(Table915[Count of EnergyRating],Table915[MainSpaceHeatingFuel],AL27,Table915[EnergyRating (group)],AM27,Table915[CountyName (group)],AO$4)</f>
        <v>0</v>
      </c>
      <c r="AP27" s="1129">
        <f>SUMIFS(Table915[Count of EnergyRating],Table915[MainSpaceHeatingFuel],AL27,Table915[EnergyRating (group)],AM27,Table915[CountyName (group)],AP$4)</f>
        <v>0</v>
      </c>
      <c r="AQ27" s="1129">
        <f>SUMIFS(Table915[Count of EnergyRating],Table915[MainSpaceHeatingFuel],AL27,Table915[EnergyRating (group)],AM27,Table915[CountyName (group)],AQ$4)</f>
        <v>0</v>
      </c>
      <c r="AR27" s="1129">
        <f>SUMIFS(Table915[Count of EnergyRating],Table915[MainSpaceHeatingFuel],AL27,Table915[EnergyRating (group)],AM27,Table915[CountyName (group)],AR$4)</f>
        <v>0</v>
      </c>
      <c r="AS27" s="1129">
        <f>SUMIFS(Table915[Count of EnergyRating],Table915[MainSpaceHeatingFuel],AL27,Table915[EnergyRating (group)],AM27,Table915[CountyName (group)],AS$4)</f>
        <v>0</v>
      </c>
      <c r="AT27" s="1129">
        <f>SUMIFS(Table915[Count of EnergyRating],Table915[MainSpaceHeatingFuel],AL27,Table915[EnergyRating (group)],AM27,Table915[CountyName (group)],AT$4)</f>
        <v>0</v>
      </c>
      <c r="AU27" s="1129">
        <f>SUMIFS(Table915[Count of EnergyRating],Table915[MainSpaceHeatingFuel],AL27,Table915[EnergyRating (group)],AM27,Table915[CountyName (group)],AU$4)</f>
        <v>0</v>
      </c>
      <c r="AV27" s="1129">
        <f>SUMIFS(Table915[Count of EnergyRating],Table915[MainSpaceHeatingFuel],AL27,Table915[EnergyRating (group)],AM27,Table915[CountyName (group)],AV$4)</f>
        <v>0</v>
      </c>
      <c r="AW27" s="1129">
        <f>SUMIFS(Table915[Count of EnergyRating],Table915[MainSpaceHeatingFuel],AL27,Table915[EnergyRating (group)],AM27,Table915[CountyName (group)],AW$4)</f>
        <v>0</v>
      </c>
      <c r="AX27" s="1129">
        <f>SUMIFS(Table915[Count of EnergyRating],Table915[MainSpaceHeatingFuel],AL27,Table915[EnergyRating (group)],AM27,Table915[CountyName (group)],AX$4)</f>
        <v>0</v>
      </c>
      <c r="AY27" s="1129">
        <f>SUMIFS(Table915[Count of EnergyRating],Table915[MainSpaceHeatingFuel],AL27,Table915[EnergyRating (group)],AM27,Table915[CountyName (group)],AY$4)</f>
        <v>0</v>
      </c>
      <c r="AZ27" s="1129">
        <f>SUMIFS(Table915[Count of EnergyRating],Table915[MainSpaceHeatingFuel],AL27,Table915[EnergyRating (group)],AM27,Table915[CountyName (group)],AZ$4)</f>
        <v>2</v>
      </c>
      <c r="BA27" s="1129">
        <f>SUMIFS(Table915[Count of EnergyRating],Table915[MainSpaceHeatingFuel],AL27,Table915[EnergyRating (group)],AM27,Table915[CountyName (group)],BA$4)</f>
        <v>0</v>
      </c>
      <c r="BB27" s="1129">
        <f>SUMIFS(Table915[Count of EnergyRating],Table915[MainSpaceHeatingFuel],AL27,Table915[EnergyRating (group)],AM27,Table915[CountyName (group)],BB$4)</f>
        <v>0</v>
      </c>
      <c r="BC27" s="1129">
        <f>SUMIFS(Table915[Count of EnergyRating],Table915[MainSpaceHeatingFuel],AL27,Table915[EnergyRating (group)],AM27,Table915[CountyName (group)],BC$4)</f>
        <v>0</v>
      </c>
      <c r="BD27" s="1129">
        <f>SUMIFS(Table915[Count of EnergyRating],Table915[MainSpaceHeatingFuel],AL27,Table915[EnergyRating (group)],AM27,Table915[CountyName (group)],BD$4)</f>
        <v>0</v>
      </c>
      <c r="BE27" s="1129">
        <f>SUMIFS(Table915[Count of EnergyRating],Table915[MainSpaceHeatingFuel],AL27,Table915[EnergyRating (group)],AM27,Table915[CountyName (group)],BE$4)</f>
        <v>0</v>
      </c>
      <c r="BF27" s="1129">
        <f>SUMIFS(Table915[Count of EnergyRating],Table915[MainSpaceHeatingFuel],AL27,Table915[EnergyRating (group)],AM27,Table915[CountyName (group)],BF$4)</f>
        <v>0</v>
      </c>
      <c r="BG27" s="1129">
        <f>SUMIFS(Table915[Count of EnergyRating],Table915[MainSpaceHeatingFuel],AL27,Table915[EnergyRating (group)],AM27,Table915[CountyName (group)],BG$4)</f>
        <v>0</v>
      </c>
      <c r="BH27" s="1129">
        <f>SUMIFS(Table915[Count of EnergyRating],Table915[MainSpaceHeatingFuel],AL27,Table915[EnergyRating (group)],AM27,Table915[CountyName (group)],BH$4)</f>
        <v>0</v>
      </c>
      <c r="BI27" s="1129">
        <f>SUMIFS(Table915[Count of EnergyRating],Table915[MainSpaceHeatingFuel],AL27,Table915[EnergyRating (group)],AM27,Table915[CountyName (group)],BI$4)</f>
        <v>0</v>
      </c>
      <c r="BJ27" s="1129">
        <f>SUMIFS(Table915[Count of EnergyRating],Table915[MainSpaceHeatingFuel],AL27,Table915[EnergyRating (group)],AM27,Table915[CountyName (group)],BJ$4)</f>
        <v>0</v>
      </c>
      <c r="BK27" s="1135">
        <f>SUMIFS(Table915[Count of EnergyRating],Table915[MainSpaceHeatingFuel],AL27,Table915[EnergyRating (group)],AM27,Table915[CountyName (group)],BK$4)</f>
        <v>0</v>
      </c>
      <c r="BL27" s="1129">
        <f>SUMIFS(Table915[Count of EnergyRating],Table915[MainSpaceHeatingFuel],AL27,Table915[EnergyRating (group)],AM27,Table915[CountyName (group)],BL$4)</f>
        <v>0</v>
      </c>
      <c r="BM27" s="1129">
        <f>SUMIFS(Table915[Count of EnergyRating],Table915[MainSpaceHeatingFuel],AL27,Table915[EnergyRating (group)],AM27,Table915[CountyName (group)],BM$4)</f>
        <v>0</v>
      </c>
    </row>
    <row r="28" spans="2:67" s="1129" customFormat="1" ht="15">
      <c r="B28" s="1136" t="s">
        <v>60</v>
      </c>
      <c r="C28" s="1136" t="s">
        <v>1120</v>
      </c>
      <c r="D28" s="1136" t="s">
        <v>1094</v>
      </c>
      <c r="E28" s="1146">
        <f t="shared" ref="E28:AD28" si="43">G187*((SUM(AN$31)/SUM(AN$25:AN$33))/(SUM(G187)/SUM(G$184:G$189)))</f>
        <v>4.8104974311696441E-2</v>
      </c>
      <c r="F28" s="1146">
        <f t="shared" si="43"/>
        <v>0.47343070933256454</v>
      </c>
      <c r="G28" s="1146">
        <f t="shared" si="43"/>
        <v>0.15398844134163125</v>
      </c>
      <c r="H28" s="1146">
        <f t="shared" si="43"/>
        <v>3.787718576557883E-2</v>
      </c>
      <c r="I28" s="1146">
        <f t="shared" si="43"/>
        <v>6.077935326194607E-2</v>
      </c>
      <c r="J28" s="1146">
        <f t="shared" si="43"/>
        <v>1.1232167565918789E-2</v>
      </c>
      <c r="K28" s="1146">
        <f t="shared" si="43"/>
        <v>8.8835389771593137E-2</v>
      </c>
      <c r="L28" s="1146">
        <f t="shared" si="43"/>
        <v>0.17334233361856213</v>
      </c>
      <c r="M28" s="1146">
        <f t="shared" si="43"/>
        <v>8.3147053253111669E-2</v>
      </c>
      <c r="N28" s="1146">
        <f t="shared" si="43"/>
        <v>9.0889349718108789E-2</v>
      </c>
      <c r="O28" s="1146">
        <f t="shared" si="43"/>
        <v>0.10034484596823694</v>
      </c>
      <c r="P28" s="1146">
        <f t="shared" si="43"/>
        <v>0.1256510695544823</v>
      </c>
      <c r="Q28" s="1146">
        <f t="shared" si="43"/>
        <v>8.3667587959913969E-2</v>
      </c>
      <c r="R28" s="1146">
        <f t="shared" si="43"/>
        <v>0.4851737312868491</v>
      </c>
      <c r="S28" s="1146">
        <f t="shared" si="43"/>
        <v>8.0394310665827501E-2</v>
      </c>
      <c r="T28" s="1146">
        <f t="shared" si="43"/>
        <v>0.13991227767698086</v>
      </c>
      <c r="U28" s="1146">
        <f t="shared" si="43"/>
        <v>0.11902456402301177</v>
      </c>
      <c r="V28" s="1146">
        <f t="shared" si="43"/>
        <v>0.13383888154163456</v>
      </c>
      <c r="W28" s="1146">
        <f t="shared" si="43"/>
        <v>0.17260856777857153</v>
      </c>
      <c r="X28" s="1146">
        <f t="shared" si="43"/>
        <v>8.862099709943996E-3</v>
      </c>
      <c r="Y28" s="1146">
        <f t="shared" si="43"/>
        <v>3.0725482478350455E-2</v>
      </c>
      <c r="Z28" s="1146">
        <f t="shared" si="43"/>
        <v>4.7464301407380539E-2</v>
      </c>
      <c r="AA28" s="1146">
        <f t="shared" si="43"/>
        <v>6.0726360347660824E-2</v>
      </c>
      <c r="AB28" s="1146">
        <f t="shared" si="43"/>
        <v>3.0039877026134525E-2</v>
      </c>
      <c r="AC28" s="1146">
        <f t="shared" si="43"/>
        <v>0.12238927574743508</v>
      </c>
      <c r="AD28" s="1146">
        <f t="shared" si="43"/>
        <v>0</v>
      </c>
      <c r="AE28" s="1173">
        <f t="shared" si="4"/>
        <v>2.9624501911131258</v>
      </c>
      <c r="AF28" s="1153"/>
      <c r="AG28" s="58" t="s">
        <v>1163</v>
      </c>
      <c r="AH28" s="1158">
        <f>SUM(E25:AD30)</f>
        <v>12.856674403378433</v>
      </c>
      <c r="AI28" s="1140">
        <f>'SHWLP-Att'!S7</f>
        <v>12.856674403378431</v>
      </c>
      <c r="AJ28" s="1160">
        <f>(AI28-AH28)/AI28</f>
        <v>-1.3816612163200352E-16</v>
      </c>
      <c r="AK28" s="1142"/>
      <c r="AL28" s="1144" t="s">
        <v>1131</v>
      </c>
      <c r="AM28" s="1144" t="s">
        <v>54</v>
      </c>
      <c r="AN28" s="1135">
        <f>SUMIFS(Table915[Count of EnergyRating],Table915[MainSpaceHeatingFuel],AL28,Table915[EnergyRating (group)],AM28,Table915[CountyName (group)],AN$4)</f>
        <v>1</v>
      </c>
      <c r="AO28" s="1129">
        <f>SUMIFS(Table915[Count of EnergyRating],Table915[MainSpaceHeatingFuel],AL28,Table915[EnergyRating (group)],AM28,Table915[CountyName (group)],AO$4)</f>
        <v>0</v>
      </c>
      <c r="AP28" s="1129">
        <f>SUMIFS(Table915[Count of EnergyRating],Table915[MainSpaceHeatingFuel],AL28,Table915[EnergyRating (group)],AM28,Table915[CountyName (group)],AP$4)</f>
        <v>0</v>
      </c>
      <c r="AQ28" s="1129">
        <f>SUMIFS(Table915[Count of EnergyRating],Table915[MainSpaceHeatingFuel],AL28,Table915[EnergyRating (group)],AM28,Table915[CountyName (group)],AQ$4)</f>
        <v>0</v>
      </c>
      <c r="AR28" s="1129">
        <f>SUMIFS(Table915[Count of EnergyRating],Table915[MainSpaceHeatingFuel],AL28,Table915[EnergyRating (group)],AM28,Table915[CountyName (group)],AR$4)</f>
        <v>0</v>
      </c>
      <c r="AS28" s="1129">
        <f>SUMIFS(Table915[Count of EnergyRating],Table915[MainSpaceHeatingFuel],AL28,Table915[EnergyRating (group)],AM28,Table915[CountyName (group)],AS$4)</f>
        <v>0</v>
      </c>
      <c r="AT28" s="1129">
        <f>SUMIFS(Table915[Count of EnergyRating],Table915[MainSpaceHeatingFuel],AL28,Table915[EnergyRating (group)],AM28,Table915[CountyName (group)],AT$4)</f>
        <v>0</v>
      </c>
      <c r="AU28" s="1129">
        <f>SUMIFS(Table915[Count of EnergyRating],Table915[MainSpaceHeatingFuel],AL28,Table915[EnergyRating (group)],AM28,Table915[CountyName (group)],AU$4)</f>
        <v>1</v>
      </c>
      <c r="AV28" s="1129">
        <f>SUMIFS(Table915[Count of EnergyRating],Table915[MainSpaceHeatingFuel],AL28,Table915[EnergyRating (group)],AM28,Table915[CountyName (group)],AV$4)</f>
        <v>0</v>
      </c>
      <c r="AW28" s="1129">
        <f>SUMIFS(Table915[Count of EnergyRating],Table915[MainSpaceHeatingFuel],AL28,Table915[EnergyRating (group)],AM28,Table915[CountyName (group)],AW$4)</f>
        <v>0</v>
      </c>
      <c r="AX28" s="1129">
        <f>SUMIFS(Table915[Count of EnergyRating],Table915[MainSpaceHeatingFuel],AL28,Table915[EnergyRating (group)],AM28,Table915[CountyName (group)],AX$4)</f>
        <v>0</v>
      </c>
      <c r="AY28" s="1129">
        <f>SUMIFS(Table915[Count of EnergyRating],Table915[MainSpaceHeatingFuel],AL28,Table915[EnergyRating (group)],AM28,Table915[CountyName (group)],AY$4)</f>
        <v>0</v>
      </c>
      <c r="AZ28" s="1129">
        <f>SUMIFS(Table915[Count of EnergyRating],Table915[MainSpaceHeatingFuel],AL28,Table915[EnergyRating (group)],AM28,Table915[CountyName (group)],AZ$4)</f>
        <v>0</v>
      </c>
      <c r="BA28" s="1129">
        <f>SUMIFS(Table915[Count of EnergyRating],Table915[MainSpaceHeatingFuel],AL28,Table915[EnergyRating (group)],AM28,Table915[CountyName (group)],BA$4)</f>
        <v>0</v>
      </c>
      <c r="BB28" s="1129">
        <f>SUMIFS(Table915[Count of EnergyRating],Table915[MainSpaceHeatingFuel],AL28,Table915[EnergyRating (group)],AM28,Table915[CountyName (group)],BB$4)</f>
        <v>0</v>
      </c>
      <c r="BC28" s="1129">
        <f>SUMIFS(Table915[Count of EnergyRating],Table915[MainSpaceHeatingFuel],AL28,Table915[EnergyRating (group)],AM28,Table915[CountyName (group)],BC$4)</f>
        <v>0</v>
      </c>
      <c r="BD28" s="1129">
        <f>SUMIFS(Table915[Count of EnergyRating],Table915[MainSpaceHeatingFuel],AL28,Table915[EnergyRating (group)],AM28,Table915[CountyName (group)],BD$4)</f>
        <v>0</v>
      </c>
      <c r="BE28" s="1129">
        <f>SUMIFS(Table915[Count of EnergyRating],Table915[MainSpaceHeatingFuel],AL28,Table915[EnergyRating (group)],AM28,Table915[CountyName (group)],BE$4)</f>
        <v>0</v>
      </c>
      <c r="BF28" s="1129">
        <f>SUMIFS(Table915[Count of EnergyRating],Table915[MainSpaceHeatingFuel],AL28,Table915[EnergyRating (group)],AM28,Table915[CountyName (group)],BF$4)</f>
        <v>0</v>
      </c>
      <c r="BG28" s="1129">
        <f>SUMIFS(Table915[Count of EnergyRating],Table915[MainSpaceHeatingFuel],AL28,Table915[EnergyRating (group)],AM28,Table915[CountyName (group)],BG$4)</f>
        <v>0</v>
      </c>
      <c r="BH28" s="1129">
        <f>SUMIFS(Table915[Count of EnergyRating],Table915[MainSpaceHeatingFuel],AL28,Table915[EnergyRating (group)],AM28,Table915[CountyName (group)],BH$4)</f>
        <v>0</v>
      </c>
      <c r="BI28" s="1129">
        <f>SUMIFS(Table915[Count of EnergyRating],Table915[MainSpaceHeatingFuel],AL28,Table915[EnergyRating (group)],AM28,Table915[CountyName (group)],BI$4)</f>
        <v>0</v>
      </c>
      <c r="BJ28" s="1129">
        <f>SUMIFS(Table915[Count of EnergyRating],Table915[MainSpaceHeatingFuel],AL28,Table915[EnergyRating (group)],AM28,Table915[CountyName (group)],BJ$4)</f>
        <v>0</v>
      </c>
      <c r="BK28" s="1135">
        <f>SUMIFS(Table915[Count of EnergyRating],Table915[MainSpaceHeatingFuel],AL28,Table915[EnergyRating (group)],AM28,Table915[CountyName (group)],BK$4)</f>
        <v>0</v>
      </c>
      <c r="BL28" s="1129">
        <f>SUMIFS(Table915[Count of EnergyRating],Table915[MainSpaceHeatingFuel],AL28,Table915[EnergyRating (group)],AM28,Table915[CountyName (group)],BL$4)</f>
        <v>0</v>
      </c>
      <c r="BM28" s="1129">
        <f>SUMIFS(Table915[Count of EnergyRating],Table915[MainSpaceHeatingFuel],AL28,Table915[EnergyRating (group)],AM28,Table915[CountyName (group)],BM$4)</f>
        <v>0</v>
      </c>
    </row>
    <row r="29" spans="2:67" s="1129" customFormat="1" ht="15">
      <c r="B29" s="1134" t="s">
        <v>62</v>
      </c>
      <c r="C29" s="1134" t="s">
        <v>1120</v>
      </c>
      <c r="D29" s="1134" t="s">
        <v>1094</v>
      </c>
      <c r="E29" s="1145">
        <f t="shared" ref="E29:AD29" si="44">G188*((SUM(AN$32)/SUM(AN$25:AN$33))/(SUM(G188)/SUM(G$184:G$189)))</f>
        <v>3.797761129870772E-2</v>
      </c>
      <c r="F29" s="1145">
        <f t="shared" si="44"/>
        <v>0.42270599047550406</v>
      </c>
      <c r="G29" s="1145">
        <f t="shared" si="44"/>
        <v>7.9649193797395462E-2</v>
      </c>
      <c r="H29" s="1145">
        <f t="shared" si="44"/>
        <v>2.2280697509164015E-2</v>
      </c>
      <c r="I29" s="1145">
        <f t="shared" si="44"/>
        <v>5.4820593138225883E-2</v>
      </c>
      <c r="J29" s="1145">
        <f t="shared" si="44"/>
        <v>1.1232167565918789E-2</v>
      </c>
      <c r="K29" s="1145">
        <f t="shared" si="44"/>
        <v>4.3546759691957412E-2</v>
      </c>
      <c r="L29" s="1145">
        <f t="shared" si="44"/>
        <v>9.3775360810041813E-2</v>
      </c>
      <c r="M29" s="1145">
        <f t="shared" si="44"/>
        <v>5.1218584803916785E-2</v>
      </c>
      <c r="N29" s="1145">
        <f t="shared" si="44"/>
        <v>3.7425026354515389E-2</v>
      </c>
      <c r="O29" s="1145">
        <f t="shared" si="44"/>
        <v>3.7452653776877169E-2</v>
      </c>
      <c r="P29" s="1145">
        <f t="shared" si="44"/>
        <v>4.6436264835352153E-2</v>
      </c>
      <c r="Q29" s="1145">
        <f t="shared" si="44"/>
        <v>4.7575687271323636E-2</v>
      </c>
      <c r="R29" s="1145">
        <f t="shared" si="44"/>
        <v>0.18839192757414885</v>
      </c>
      <c r="S29" s="1145">
        <f t="shared" si="44"/>
        <v>6.1716844551544338E-2</v>
      </c>
      <c r="T29" s="1145">
        <f t="shared" si="44"/>
        <v>9.2750835763391812E-2</v>
      </c>
      <c r="U29" s="1145">
        <f t="shared" si="44"/>
        <v>4.8491489046412192E-2</v>
      </c>
      <c r="V29" s="1145">
        <f t="shared" si="44"/>
        <v>3.7177467094898484E-2</v>
      </c>
      <c r="W29" s="1145">
        <f t="shared" si="44"/>
        <v>0.17485998388003116</v>
      </c>
      <c r="X29" s="1145">
        <f t="shared" si="44"/>
        <v>1.7202899436950105E-2</v>
      </c>
      <c r="Y29" s="1145">
        <f t="shared" si="44"/>
        <v>6.1450964956700917E-2</v>
      </c>
      <c r="Z29" s="1145">
        <f t="shared" si="44"/>
        <v>2.373215070369027E-2</v>
      </c>
      <c r="AA29" s="1145">
        <f t="shared" si="44"/>
        <v>2.0874686369508413E-2</v>
      </c>
      <c r="AB29" s="1145">
        <f t="shared" si="44"/>
        <v>2.2529907769600895E-2</v>
      </c>
      <c r="AC29" s="1145">
        <f t="shared" si="44"/>
        <v>5.2039534569775538E-2</v>
      </c>
      <c r="AD29" s="1145">
        <f t="shared" si="44"/>
        <v>1.3158012836888488E-2</v>
      </c>
      <c r="AE29" s="1172">
        <f t="shared" si="4"/>
        <v>1.8004732958824416</v>
      </c>
      <c r="AF29" s="1153"/>
      <c r="AG29" s="58" t="s">
        <v>1107</v>
      </c>
      <c r="AH29" s="1158">
        <f>SUM(E32:AD32)</f>
        <v>10.870022131272481</v>
      </c>
      <c r="AI29" s="1140">
        <f>'SHWLP-Att'!S33</f>
        <v>10.870022131272481</v>
      </c>
      <c r="AJ29" s="1160">
        <f>(AI29-AH29)/AI29</f>
        <v>0</v>
      </c>
      <c r="AK29" s="1142"/>
      <c r="AL29" s="1144" t="s">
        <v>1131</v>
      </c>
      <c r="AM29" s="1144" t="s">
        <v>56</v>
      </c>
      <c r="AN29" s="1135">
        <f>SUMIFS(Table915[Count of EnergyRating],Table915[MainSpaceHeatingFuel],AL29,Table915[EnergyRating (group)],AM29,Table915[CountyName (group)],AN$4)</f>
        <v>0</v>
      </c>
      <c r="AO29" s="1129">
        <f>SUMIFS(Table915[Count of EnergyRating],Table915[MainSpaceHeatingFuel],AL29,Table915[EnergyRating (group)],AM29,Table915[CountyName (group)],AO$4)</f>
        <v>6</v>
      </c>
      <c r="AP29" s="1129">
        <f>SUMIFS(Table915[Count of EnergyRating],Table915[MainSpaceHeatingFuel],AL29,Table915[EnergyRating (group)],AM29,Table915[CountyName (group)],AP$4)</f>
        <v>0</v>
      </c>
      <c r="AQ29" s="1129">
        <f>SUMIFS(Table915[Count of EnergyRating],Table915[MainSpaceHeatingFuel],AL29,Table915[EnergyRating (group)],AM29,Table915[CountyName (group)],AQ$4)</f>
        <v>6</v>
      </c>
      <c r="AR29" s="1129">
        <f>SUMIFS(Table915[Count of EnergyRating],Table915[MainSpaceHeatingFuel],AL29,Table915[EnergyRating (group)],AM29,Table915[CountyName (group)],AR$4)</f>
        <v>8</v>
      </c>
      <c r="AS29" s="1129">
        <f>SUMIFS(Table915[Count of EnergyRating],Table915[MainSpaceHeatingFuel],AL29,Table915[EnergyRating (group)],AM29,Table915[CountyName (group)],AS$4)</f>
        <v>0</v>
      </c>
      <c r="AT29" s="1129">
        <f>SUMIFS(Table915[Count of EnergyRating],Table915[MainSpaceHeatingFuel],AL29,Table915[EnergyRating (group)],AM29,Table915[CountyName (group)],AT$4)</f>
        <v>0</v>
      </c>
      <c r="AU29" s="1129">
        <f>SUMIFS(Table915[Count of EnergyRating],Table915[MainSpaceHeatingFuel],AL29,Table915[EnergyRating (group)],AM29,Table915[CountyName (group)],AU$4)</f>
        <v>1</v>
      </c>
      <c r="AV29" s="1129">
        <f>SUMIFS(Table915[Count of EnergyRating],Table915[MainSpaceHeatingFuel],AL29,Table915[EnergyRating (group)],AM29,Table915[CountyName (group)],AV$4)</f>
        <v>0</v>
      </c>
      <c r="AW29" s="1129">
        <f>SUMIFS(Table915[Count of EnergyRating],Table915[MainSpaceHeatingFuel],AL29,Table915[EnergyRating (group)],AM29,Table915[CountyName (group)],AW$4)</f>
        <v>5</v>
      </c>
      <c r="AX29" s="1129">
        <f>SUMIFS(Table915[Count of EnergyRating],Table915[MainSpaceHeatingFuel],AL29,Table915[EnergyRating (group)],AM29,Table915[CountyName (group)],AX$4)</f>
        <v>2</v>
      </c>
      <c r="AY29" s="1129">
        <f>SUMIFS(Table915[Count of EnergyRating],Table915[MainSpaceHeatingFuel],AL29,Table915[EnergyRating (group)],AM29,Table915[CountyName (group)],AY$4)</f>
        <v>2</v>
      </c>
      <c r="AZ29" s="1129">
        <f>SUMIFS(Table915[Count of EnergyRating],Table915[MainSpaceHeatingFuel],AL29,Table915[EnergyRating (group)],AM29,Table915[CountyName (group)],AZ$4)</f>
        <v>18</v>
      </c>
      <c r="BA29" s="1129">
        <f>SUMIFS(Table915[Count of EnergyRating],Table915[MainSpaceHeatingFuel],AL29,Table915[EnergyRating (group)],AM29,Table915[CountyName (group)],BA$4)</f>
        <v>6</v>
      </c>
      <c r="BB29" s="1129">
        <f>SUMIFS(Table915[Count of EnergyRating],Table915[MainSpaceHeatingFuel],AL29,Table915[EnergyRating (group)],AM29,Table915[CountyName (group)],BB$4)</f>
        <v>3</v>
      </c>
      <c r="BC29" s="1129">
        <f>SUMIFS(Table915[Count of EnergyRating],Table915[MainSpaceHeatingFuel],AL29,Table915[EnergyRating (group)],AM29,Table915[CountyName (group)],BC$4)</f>
        <v>3</v>
      </c>
      <c r="BD29" s="1129">
        <f>SUMIFS(Table915[Count of EnergyRating],Table915[MainSpaceHeatingFuel],AL29,Table915[EnergyRating (group)],AM29,Table915[CountyName (group)],BD$4)</f>
        <v>4</v>
      </c>
      <c r="BE29" s="1129">
        <f>SUMIFS(Table915[Count of EnergyRating],Table915[MainSpaceHeatingFuel],AL29,Table915[EnergyRating (group)],AM29,Table915[CountyName (group)],BE$4)</f>
        <v>3</v>
      </c>
      <c r="BF29" s="1129">
        <f>SUMIFS(Table915[Count of EnergyRating],Table915[MainSpaceHeatingFuel],AL29,Table915[EnergyRating (group)],AM29,Table915[CountyName (group)],BF$4)</f>
        <v>5</v>
      </c>
      <c r="BG29" s="1129">
        <f>SUMIFS(Table915[Count of EnergyRating],Table915[MainSpaceHeatingFuel],AL29,Table915[EnergyRating (group)],AM29,Table915[CountyName (group)],BG$4)</f>
        <v>1</v>
      </c>
      <c r="BH29" s="1129">
        <f>SUMIFS(Table915[Count of EnergyRating],Table915[MainSpaceHeatingFuel],AL29,Table915[EnergyRating (group)],AM29,Table915[CountyName (group)],BH$4)</f>
        <v>1</v>
      </c>
      <c r="BI29" s="1129">
        <f>SUMIFS(Table915[Count of EnergyRating],Table915[MainSpaceHeatingFuel],AL29,Table915[EnergyRating (group)],AM29,Table915[CountyName (group)],BI$4)</f>
        <v>0</v>
      </c>
      <c r="BJ29" s="1129">
        <f>SUMIFS(Table915[Count of EnergyRating],Table915[MainSpaceHeatingFuel],AL29,Table915[EnergyRating (group)],AM29,Table915[CountyName (group)],BJ$4)</f>
        <v>2</v>
      </c>
      <c r="BK29" s="1135">
        <f>SUMIFS(Table915[Count of EnergyRating],Table915[MainSpaceHeatingFuel],AL29,Table915[EnergyRating (group)],AM29,Table915[CountyName (group)],BK$4)</f>
        <v>1</v>
      </c>
      <c r="BL29" s="1129">
        <f>SUMIFS(Table915[Count of EnergyRating],Table915[MainSpaceHeatingFuel],AL29,Table915[EnergyRating (group)],AM29,Table915[CountyName (group)],BL$4)</f>
        <v>2</v>
      </c>
      <c r="BM29" s="1129">
        <f>SUMIFS(Table915[Count of EnergyRating],Table915[MainSpaceHeatingFuel],AL29,Table915[EnergyRating (group)],AM29,Table915[CountyName (group)],BM$4)</f>
        <v>3</v>
      </c>
    </row>
    <row r="30" spans="2:67" s="1129" customFormat="1" ht="13.5" thickBot="1">
      <c r="B30" s="1138" t="s">
        <v>64</v>
      </c>
      <c r="C30" s="1138" t="s">
        <v>1120</v>
      </c>
      <c r="D30" s="1138" t="s">
        <v>1094</v>
      </c>
      <c r="E30" s="1147">
        <f t="shared" ref="E30:AD30" si="45">G189*((SUM(AN$33)/SUM(AN$25:AN$33))/(SUM(G189)/SUM(G$184:G$189)))</f>
        <v>4.3041292805202094E-2</v>
      </c>
      <c r="F30" s="1147">
        <f t="shared" si="45"/>
        <v>3.7310848759304491</v>
      </c>
      <c r="G30" s="1147">
        <f t="shared" si="45"/>
        <v>0.30797688268326245</v>
      </c>
      <c r="H30" s="1147">
        <f t="shared" si="45"/>
        <v>6.907016227840844E-2</v>
      </c>
      <c r="I30" s="1147">
        <f t="shared" si="45"/>
        <v>3.2177304668089109E-2</v>
      </c>
      <c r="J30" s="1147">
        <f t="shared" si="45"/>
        <v>1.123216756591879E-2</v>
      </c>
      <c r="K30" s="1147">
        <f t="shared" si="45"/>
        <v>0.20031509458300412</v>
      </c>
      <c r="L30" s="1147">
        <f t="shared" si="45"/>
        <v>0.12787549201369339</v>
      </c>
      <c r="M30" s="1147">
        <f t="shared" si="45"/>
        <v>1.3303528520497867E-2</v>
      </c>
      <c r="N30" s="1147">
        <f t="shared" si="45"/>
        <v>4.5444674859054394E-2</v>
      </c>
      <c r="O30" s="1147">
        <f t="shared" si="45"/>
        <v>6.3598846036206497E-2</v>
      </c>
      <c r="P30" s="1147">
        <f t="shared" si="45"/>
        <v>0.1188222070786952</v>
      </c>
      <c r="Q30" s="1147">
        <f t="shared" si="45"/>
        <v>2.0233338264815798E-2</v>
      </c>
      <c r="R30" s="1147">
        <f t="shared" si="45"/>
        <v>0.51098084465317084</v>
      </c>
      <c r="S30" s="1147">
        <f t="shared" si="45"/>
        <v>4.8723824645956058E-2</v>
      </c>
      <c r="T30" s="1147">
        <f t="shared" si="45"/>
        <v>0.218514680866296</v>
      </c>
      <c r="U30" s="1147">
        <f t="shared" si="45"/>
        <v>9.9187136685843127E-2</v>
      </c>
      <c r="V30" s="1147">
        <f t="shared" si="45"/>
        <v>0.10161841005938919</v>
      </c>
      <c r="W30" s="1147">
        <f t="shared" si="45"/>
        <v>8.1050979652546637E-2</v>
      </c>
      <c r="X30" s="1147">
        <f t="shared" si="45"/>
        <v>1.198989960757129E-2</v>
      </c>
      <c r="Y30" s="1147">
        <f t="shared" si="45"/>
        <v>4.6088223717525682E-2</v>
      </c>
      <c r="Z30" s="1147">
        <f t="shared" si="45"/>
        <v>8.5699433096659301E-3</v>
      </c>
      <c r="AA30" s="1147">
        <f t="shared" si="45"/>
        <v>3.5297196952077864E-2</v>
      </c>
      <c r="AB30" s="1147">
        <f t="shared" si="45"/>
        <v>6.0079754052269042E-2</v>
      </c>
      <c r="AC30" s="1147">
        <f t="shared" si="45"/>
        <v>3.5656718131142504E-2</v>
      </c>
      <c r="AD30" s="1147">
        <f t="shared" si="45"/>
        <v>8.3334081300293752E-2</v>
      </c>
      <c r="AE30" s="1174">
        <f t="shared" si="4"/>
        <v>6.125267560921043</v>
      </c>
      <c r="AF30" s="1153"/>
      <c r="AG30" s="1142"/>
      <c r="AH30" s="1142"/>
      <c r="AI30" s="1142"/>
      <c r="AJ30" s="1142"/>
      <c r="AK30" s="1142"/>
      <c r="AL30" s="1144" t="s">
        <v>1131</v>
      </c>
      <c r="AM30" s="1144" t="s">
        <v>58</v>
      </c>
      <c r="AN30" s="1135">
        <f>SUMIFS(Table915[Count of EnergyRating],Table915[MainSpaceHeatingFuel],AL30,Table915[EnergyRating (group)],AM30,Table915[CountyName (group)],AN$4)</f>
        <v>7</v>
      </c>
      <c r="AO30" s="1129">
        <f>SUMIFS(Table915[Count of EnergyRating],Table915[MainSpaceHeatingFuel],AL30,Table915[EnergyRating (group)],AM30,Table915[CountyName (group)],AO$4)</f>
        <v>54</v>
      </c>
      <c r="AP30" s="1129">
        <f>SUMIFS(Table915[Count of EnergyRating],Table915[MainSpaceHeatingFuel],AL30,Table915[EnergyRating (group)],AM30,Table915[CountyName (group)],AP$4)</f>
        <v>17</v>
      </c>
      <c r="AQ30" s="1129">
        <f>SUMIFS(Table915[Count of EnergyRating],Table915[MainSpaceHeatingFuel],AL30,Table915[EnergyRating (group)],AM30,Table915[CountyName (group)],AQ$4)</f>
        <v>29</v>
      </c>
      <c r="AR30" s="1129">
        <f>SUMIFS(Table915[Count of EnergyRating],Table915[MainSpaceHeatingFuel],AL30,Table915[EnergyRating (group)],AM30,Table915[CountyName (group)],AR$4)</f>
        <v>28</v>
      </c>
      <c r="AS30" s="1129">
        <f>SUMIFS(Table915[Count of EnergyRating],Table915[MainSpaceHeatingFuel],AL30,Table915[EnergyRating (group)],AM30,Table915[CountyName (group)],AS$4)</f>
        <v>4</v>
      </c>
      <c r="AT30" s="1129">
        <f>SUMIFS(Table915[Count of EnergyRating],Table915[MainSpaceHeatingFuel],AL30,Table915[EnergyRating (group)],AM30,Table915[CountyName (group)],AT$4)</f>
        <v>40</v>
      </c>
      <c r="AU30" s="1129">
        <f>SUMIFS(Table915[Count of EnergyRating],Table915[MainSpaceHeatingFuel],AL30,Table915[EnergyRating (group)],AM30,Table915[CountyName (group)],AU$4)</f>
        <v>17</v>
      </c>
      <c r="AV30" s="1129">
        <f>SUMIFS(Table915[Count of EnergyRating],Table915[MainSpaceHeatingFuel],AL30,Table915[EnergyRating (group)],AM30,Table915[CountyName (group)],AV$4)</f>
        <v>33</v>
      </c>
      <c r="AW30" s="1129">
        <f>SUMIFS(Table915[Count of EnergyRating],Table915[MainSpaceHeatingFuel],AL30,Table915[EnergyRating (group)],AM30,Table915[CountyName (group)],AW$4)</f>
        <v>61</v>
      </c>
      <c r="AX30" s="1129">
        <f>SUMIFS(Table915[Count of EnergyRating],Table915[MainSpaceHeatingFuel],AL30,Table915[EnergyRating (group)],AM30,Table915[CountyName (group)],AX$4)</f>
        <v>144</v>
      </c>
      <c r="AY30" s="1129">
        <f>SUMIFS(Table915[Count of EnergyRating],Table915[MainSpaceHeatingFuel],AL30,Table915[EnergyRating (group)],AM30,Table915[CountyName (group)],AY$4)</f>
        <v>66</v>
      </c>
      <c r="AZ30" s="1129">
        <f>SUMIFS(Table915[Count of EnergyRating],Table915[MainSpaceHeatingFuel],AL30,Table915[EnergyRating (group)],AM30,Table915[CountyName (group)],AZ$4)</f>
        <v>161</v>
      </c>
      <c r="BA30" s="1129">
        <f>SUMIFS(Table915[Count of EnergyRating],Table915[MainSpaceHeatingFuel],AL30,Table915[EnergyRating (group)],AM30,Table915[CountyName (group)],BA$4)</f>
        <v>122</v>
      </c>
      <c r="BB30" s="1129">
        <f>SUMIFS(Table915[Count of EnergyRating],Table915[MainSpaceHeatingFuel],AL30,Table915[EnergyRating (group)],AM30,Table915[CountyName (group)],BB$4)</f>
        <v>82</v>
      </c>
      <c r="BC30" s="1129">
        <f>SUMIFS(Table915[Count of EnergyRating],Table915[MainSpaceHeatingFuel],AL30,Table915[EnergyRating (group)],AM30,Table915[CountyName (group)],BC$4)</f>
        <v>44</v>
      </c>
      <c r="BD30" s="1129">
        <f>SUMIFS(Table915[Count of EnergyRating],Table915[MainSpaceHeatingFuel],AL30,Table915[EnergyRating (group)],AM30,Table915[CountyName (group)],BD$4)</f>
        <v>40</v>
      </c>
      <c r="BE30" s="1129">
        <f>SUMIFS(Table915[Count of EnergyRating],Table915[MainSpaceHeatingFuel],AL30,Table915[EnergyRating (group)],AM30,Table915[CountyName (group)],BE$4)</f>
        <v>68</v>
      </c>
      <c r="BF30" s="1129">
        <f>SUMIFS(Table915[Count of EnergyRating],Table915[MainSpaceHeatingFuel],AL30,Table915[EnergyRating (group)],AM30,Table915[CountyName (group)],BF$4)</f>
        <v>33</v>
      </c>
      <c r="BG30" s="1129">
        <f>SUMIFS(Table915[Count of EnergyRating],Table915[MainSpaceHeatingFuel],AL30,Table915[EnergyRating (group)],AM30,Table915[CountyName (group)],BG$4)</f>
        <v>13</v>
      </c>
      <c r="BH30" s="1129">
        <f>SUMIFS(Table915[Count of EnergyRating],Table915[MainSpaceHeatingFuel],AL30,Table915[EnergyRating (group)],AM30,Table915[CountyName (group)],BH$4)</f>
        <v>17</v>
      </c>
      <c r="BI30" s="1129">
        <f>SUMIFS(Table915[Count of EnergyRating],Table915[MainSpaceHeatingFuel],AL30,Table915[EnergyRating (group)],AM30,Table915[CountyName (group)],BI$4)</f>
        <v>14</v>
      </c>
      <c r="BJ30" s="1129">
        <f>SUMIFS(Table915[Count of EnergyRating],Table915[MainSpaceHeatingFuel],AL30,Table915[EnergyRating (group)],AM30,Table915[CountyName (group)],BJ$4)</f>
        <v>78</v>
      </c>
      <c r="BK30" s="1135">
        <f>SUMIFS(Table915[Count of EnergyRating],Table915[MainSpaceHeatingFuel],AL30,Table915[EnergyRating (group)],AM30,Table915[CountyName (group)],BK$4)</f>
        <v>1</v>
      </c>
      <c r="BL30" s="1129">
        <f>SUMIFS(Table915[Count of EnergyRating],Table915[MainSpaceHeatingFuel],AL30,Table915[EnergyRating (group)],AM30,Table915[CountyName (group)],BL$4)</f>
        <v>53</v>
      </c>
      <c r="BM30" s="1129">
        <f>SUMIFS(Table915[Count of EnergyRating],Table915[MainSpaceHeatingFuel],AL30,Table915[EnergyRating (group)],AM30,Table915[CountyName (group)],BM$4)</f>
        <v>0</v>
      </c>
    </row>
    <row r="31" spans="2:67" s="1129" customFormat="1" ht="13.5" thickBot="1">
      <c r="B31" s="1138" t="s">
        <v>1075</v>
      </c>
      <c r="C31" s="1138" t="s">
        <v>1120</v>
      </c>
      <c r="D31" s="1138" t="s">
        <v>1094</v>
      </c>
      <c r="E31" s="1147">
        <f>SUM(E25:E30)</f>
        <v>0.14937860444158368</v>
      </c>
      <c r="F31" s="1147">
        <f t="shared" ref="F31" si="46">SUM(F25:F30)</f>
        <v>4.9653863681189208</v>
      </c>
      <c r="G31" s="1147">
        <f t="shared" ref="G31" si="47">SUM(G25:G30)</f>
        <v>0.63188360412600408</v>
      </c>
      <c r="H31" s="1147">
        <f t="shared" ref="H31" si="48">SUM(H25:H30)</f>
        <v>0.20721048683522536</v>
      </c>
      <c r="I31" s="1147">
        <f t="shared" ref="I31" si="49">SUM(I25:I30)</f>
        <v>0.19068032395904652</v>
      </c>
      <c r="J31" s="1147">
        <f t="shared" ref="J31" si="50">SUM(J25:J30)</f>
        <v>7.8625172961431511E-2</v>
      </c>
      <c r="K31" s="1147">
        <f t="shared" ref="K31" si="51">SUM(K25:K30)</f>
        <v>0.40237205955368655</v>
      </c>
      <c r="L31" s="1147">
        <f t="shared" ref="L31" si="52">SUM(L25:L30)</f>
        <v>0.44898506084807899</v>
      </c>
      <c r="M31" s="1147">
        <f t="shared" ref="M31" si="53">SUM(M25:M30)</f>
        <v>0.16961998863634781</v>
      </c>
      <c r="N31" s="1147">
        <f t="shared" ref="N31" si="54">SUM(N25:N30)</f>
        <v>0.20316442878165497</v>
      </c>
      <c r="O31" s="1147">
        <f t="shared" ref="O31" si="55">SUM(O25:O30)</f>
        <v>0.30456780712894449</v>
      </c>
      <c r="P31" s="1147">
        <f t="shared" ref="P31" si="56">SUM(P25:P30)</f>
        <v>0.3837820711392339</v>
      </c>
      <c r="Q31" s="1147">
        <f t="shared" ref="Q31" si="57">SUM(Q25:Q30)</f>
        <v>0.25045591689961177</v>
      </c>
      <c r="R31" s="1147">
        <f t="shared" ref="R31" si="58">SUM(R25:R30)</f>
        <v>1.5148775546030873</v>
      </c>
      <c r="S31" s="1147">
        <f t="shared" ref="S31" si="59">SUM(S25:S30)</f>
        <v>0.25986039811176559</v>
      </c>
      <c r="T31" s="1147">
        <f t="shared" ref="T31" si="60">SUM(T25:T30)</f>
        <v>0.52506405330462491</v>
      </c>
      <c r="U31" s="1147">
        <f t="shared" ref="U31" si="61">SUM(U25:U30)</f>
        <v>0.36368616784809149</v>
      </c>
      <c r="V31" s="1147">
        <f t="shared" ref="V31" si="62">SUM(V25:V30)</f>
        <v>0.36062143082051534</v>
      </c>
      <c r="W31" s="1147">
        <f t="shared" ref="W31" si="63">SUM(W25:W30)</f>
        <v>0.45703746859630462</v>
      </c>
      <c r="X31" s="1147">
        <f t="shared" ref="X31" si="64">SUM(X25:X30)</f>
        <v>4.5353098515595741E-2</v>
      </c>
      <c r="Y31" s="1147">
        <f t="shared" ref="Y31" si="65">SUM(Y25:Y30)</f>
        <v>0.2073970067288656</v>
      </c>
      <c r="Z31" s="1147">
        <f t="shared" ref="Z31" si="66">SUM(Z25:Z30)</f>
        <v>8.8995565138838509E-2</v>
      </c>
      <c r="AA31" s="1147">
        <f t="shared" ref="AA31" si="67">SUM(AA25:AA30)</f>
        <v>0.1472614238430775</v>
      </c>
      <c r="AB31" s="1147">
        <f t="shared" ref="AB31" si="68">SUM(AB25:AB30)</f>
        <v>0.12766947736107173</v>
      </c>
      <c r="AC31" s="1147">
        <f t="shared" ref="AC31" si="69">SUM(AC25:AC30)</f>
        <v>0.26308875810275412</v>
      </c>
      <c r="AD31" s="1147">
        <f t="shared" ref="AD31" si="70">SUM(AD25:AD30)</f>
        <v>0.10965010697407072</v>
      </c>
      <c r="AE31" s="1147">
        <f t="shared" ref="AE31" si="71">SUM(AE25:AE30)</f>
        <v>12.856674403378431</v>
      </c>
      <c r="AF31" s="1153"/>
      <c r="AG31" s="1142"/>
      <c r="AH31" s="1142"/>
      <c r="AI31" s="1142"/>
      <c r="AJ31" s="1142"/>
      <c r="AK31" s="1142"/>
      <c r="AL31" s="1144" t="s">
        <v>1131</v>
      </c>
      <c r="AM31" s="1144" t="s">
        <v>60</v>
      </c>
      <c r="AN31" s="1135">
        <f>SUMIFS(Table915[Count of EnergyRating],Table915[MainSpaceHeatingFuel],AL31,Table915[EnergyRating (group)],AM31,Table915[CountyName (group)],AN$4)</f>
        <v>19</v>
      </c>
      <c r="AO31" s="1129">
        <f>SUMIFS(Table915[Count of EnergyRating],Table915[MainSpaceHeatingFuel],AL31,Table915[EnergyRating (group)],AM31,Table915[CountyName (group)],AO$4)</f>
        <v>84</v>
      </c>
      <c r="AP31" s="1129">
        <f>SUMIFS(Table915[Count of EnergyRating],Table915[MainSpaceHeatingFuel],AL31,Table915[EnergyRating (group)],AM31,Table915[CountyName (group)],AP$4)</f>
        <v>29</v>
      </c>
      <c r="AQ31" s="1129">
        <f>SUMIFS(Table915[Count of EnergyRating],Table915[MainSpaceHeatingFuel],AL31,Table915[EnergyRating (group)],AM31,Table915[CountyName (group)],AQ$4)</f>
        <v>17</v>
      </c>
      <c r="AR31" s="1129">
        <f>SUMIFS(Table915[Count of EnergyRating],Table915[MainSpaceHeatingFuel],AL31,Table915[EnergyRating (group)],AM31,Table915[CountyName (group)],AR$4)</f>
        <v>51</v>
      </c>
      <c r="AS31" s="1129">
        <f>SUMIFS(Table915[Count of EnergyRating],Table915[MainSpaceHeatingFuel],AL31,Table915[EnergyRating (group)],AM31,Table915[CountyName (group)],AS$4)</f>
        <v>1</v>
      </c>
      <c r="AT31" s="1129">
        <f>SUMIFS(Table915[Count of EnergyRating],Table915[MainSpaceHeatingFuel],AL31,Table915[EnergyRating (group)],AM31,Table915[CountyName (group)],AT$4)</f>
        <v>51</v>
      </c>
      <c r="AU31" s="1129">
        <f>SUMIFS(Table915[Count of EnergyRating],Table915[MainSpaceHeatingFuel],AL31,Table915[EnergyRating (group)],AM31,Table915[CountyName (group)],AU$4)</f>
        <v>61</v>
      </c>
      <c r="AV31" s="1129">
        <f>SUMIFS(Table915[Count of EnergyRating],Table915[MainSpaceHeatingFuel],AL31,Table915[EnergyRating (group)],AM31,Table915[CountyName (group)],AV$4)</f>
        <v>125</v>
      </c>
      <c r="AW31" s="1129">
        <f>SUMIFS(Table915[Count of EnergyRating],Table915[MainSpaceHeatingFuel],AL31,Table915[EnergyRating (group)],AM31,Table915[CountyName (group)],AW$4)</f>
        <v>204</v>
      </c>
      <c r="AX31" s="1129">
        <f>SUMIFS(Table915[Count of EnergyRating],Table915[MainSpaceHeatingFuel],AL31,Table915[EnergyRating (group)],AM31,Table915[CountyName (group)],AX$4)</f>
        <v>142</v>
      </c>
      <c r="AY31" s="1129">
        <f>SUMIFS(Table915[Count of EnergyRating],Table915[MainSpaceHeatingFuel],AL31,Table915[EnergyRating (group)],AM31,Table915[CountyName (group)],AY$4)</f>
        <v>92</v>
      </c>
      <c r="AZ31" s="1129">
        <f>SUMIFS(Table915[Count of EnergyRating],Table915[MainSpaceHeatingFuel],AL31,Table915[EnergyRating (group)],AM31,Table915[CountyName (group)],AZ$4)</f>
        <v>153</v>
      </c>
      <c r="BA31" s="1129">
        <f>SUMIFS(Table915[Count of EnergyRating],Table915[MainSpaceHeatingFuel],AL31,Table915[EnergyRating (group)],AM31,Table915[CountyName (group)],BA$4)</f>
        <v>188</v>
      </c>
      <c r="BB31" s="1129">
        <f>SUMIFS(Table915[Count of EnergyRating],Table915[MainSpaceHeatingFuel],AL31,Table915[EnergyRating (group)],AM31,Table915[CountyName (group)],BB$4)</f>
        <v>99</v>
      </c>
      <c r="BC31" s="1129">
        <f>SUMIFS(Table915[Count of EnergyRating],Table915[MainSpaceHeatingFuel],AL31,Table915[EnergyRating (group)],AM31,Table915[CountyName (group)],BC$4)</f>
        <v>89</v>
      </c>
      <c r="BD31" s="1129">
        <f>SUMIFS(Table915[Count of EnergyRating],Table915[MainSpaceHeatingFuel],AL31,Table915[EnergyRating (group)],AM31,Table915[CountyName (group)],BD$4)</f>
        <v>54</v>
      </c>
      <c r="BE31" s="1129">
        <f>SUMIFS(Table915[Count of EnergyRating],Table915[MainSpaceHeatingFuel],AL31,Table915[EnergyRating (group)],AM31,Table915[CountyName (group)],BE$4)</f>
        <v>108</v>
      </c>
      <c r="BF31" s="1129">
        <f>SUMIFS(Table915[Count of EnergyRating],Table915[MainSpaceHeatingFuel],AL31,Table915[EnergyRating (group)],AM31,Table915[CountyName (group)],BF$4)</f>
        <v>230</v>
      </c>
      <c r="BG31" s="1129">
        <f>SUMIFS(Table915[Count of EnergyRating],Table915[MainSpaceHeatingFuel],AL31,Table915[EnergyRating (group)],AM31,Table915[CountyName (group)],BG$4)</f>
        <v>17</v>
      </c>
      <c r="BH31" s="1129">
        <f>SUMIFS(Table915[Count of EnergyRating],Table915[MainSpaceHeatingFuel],AL31,Table915[EnergyRating (group)],AM31,Table915[CountyName (group)],BH$4)</f>
        <v>8</v>
      </c>
      <c r="BI31" s="1129">
        <f>SUMIFS(Table915[Count of EnergyRating],Table915[MainSpaceHeatingFuel],AL31,Table915[EnergyRating (group)],AM31,Table915[CountyName (group)],BI$4)</f>
        <v>72</v>
      </c>
      <c r="BJ31" s="1129">
        <f>SUMIFS(Table915[Count of EnergyRating],Table915[MainSpaceHeatingFuel],AL31,Table915[EnergyRating (group)],AM31,Table915[CountyName (group)],BJ$4)</f>
        <v>160</v>
      </c>
      <c r="BK31" s="1135">
        <f>SUMIFS(Table915[Count of EnergyRating],Table915[MainSpaceHeatingFuel],AL31,Table915[EnergyRating (group)],AM31,Table915[CountyName (group)],BK$4)</f>
        <v>4</v>
      </c>
      <c r="BL31" s="1129">
        <f>SUMIFS(Table915[Count of EnergyRating],Table915[MainSpaceHeatingFuel],AL31,Table915[EnergyRating (group)],AM31,Table915[CountyName (group)],BL$4)</f>
        <v>127</v>
      </c>
      <c r="BM31" s="1129">
        <f>SUMIFS(Table915[Count of EnergyRating],Table915[MainSpaceHeatingFuel],AL31,Table915[EnergyRating (group)],AM31,Table915[CountyName (group)],BM$4)</f>
        <v>0</v>
      </c>
    </row>
    <row r="32" spans="2:67" ht="13.5" thickBot="1">
      <c r="B32" s="1165"/>
      <c r="C32" s="1165" t="s">
        <v>1121</v>
      </c>
      <c r="D32" s="1165" t="s">
        <v>1094</v>
      </c>
      <c r="E32" s="1166">
        <f t="shared" ref="E32:AD32" si="72">G190</f>
        <v>0.12629617001049123</v>
      </c>
      <c r="F32" s="1166">
        <f t="shared" si="72"/>
        <v>4.1981198261961348</v>
      </c>
      <c r="G32" s="1166">
        <f t="shared" si="72"/>
        <v>0.53424303561992514</v>
      </c>
      <c r="H32" s="1166">
        <f t="shared" si="72"/>
        <v>0.17519169476196519</v>
      </c>
      <c r="I32" s="1166">
        <f t="shared" si="72"/>
        <v>0.16121582272382864</v>
      </c>
      <c r="J32" s="1166">
        <f t="shared" si="72"/>
        <v>6.6475773077157768E-2</v>
      </c>
      <c r="K32" s="1166">
        <f t="shared" si="72"/>
        <v>0.34019631011305157</v>
      </c>
      <c r="L32" s="1166">
        <f t="shared" si="72"/>
        <v>0.37960652925509769</v>
      </c>
      <c r="M32" s="1166">
        <f t="shared" si="72"/>
        <v>0.14340979420765199</v>
      </c>
      <c r="N32" s="1166">
        <f t="shared" si="72"/>
        <v>0.17177084585447738</v>
      </c>
      <c r="O32" s="1166">
        <f t="shared" si="72"/>
        <v>0.25750506702532594</v>
      </c>
      <c r="P32" s="1166">
        <f t="shared" si="72"/>
        <v>0.32447890301809568</v>
      </c>
      <c r="Q32" s="1166">
        <f t="shared" si="72"/>
        <v>0.21175470998095144</v>
      </c>
      <c r="R32" s="1166">
        <f t="shared" si="72"/>
        <v>1.28079408625114</v>
      </c>
      <c r="S32" s="1166">
        <f t="shared" si="72"/>
        <v>0.21970598226971574</v>
      </c>
      <c r="T32" s="1166">
        <f t="shared" si="72"/>
        <v>0.44392956535145045</v>
      </c>
      <c r="U32" s="1166">
        <f t="shared" si="72"/>
        <v>0.30748827957466246</v>
      </c>
      <c r="V32" s="1166">
        <f t="shared" si="72"/>
        <v>0.30489711499577804</v>
      </c>
      <c r="W32" s="1166">
        <f t="shared" si="72"/>
        <v>0.3864146545670557</v>
      </c>
      <c r="X32" s="1166">
        <f t="shared" si="72"/>
        <v>3.8345000356916625E-2</v>
      </c>
      <c r="Y32" s="1166">
        <f t="shared" si="72"/>
        <v>0.17534939303666519</v>
      </c>
      <c r="Z32" s="1166">
        <f t="shared" si="72"/>
        <v>7.5243700843047767E-2</v>
      </c>
      <c r="AA32" s="1166">
        <f t="shared" si="72"/>
        <v>0.12450614257107689</v>
      </c>
      <c r="AB32" s="1166">
        <f t="shared" si="72"/>
        <v>0.10794160300413047</v>
      </c>
      <c r="AC32" s="1166">
        <f t="shared" si="72"/>
        <v>0.22243548629608659</v>
      </c>
      <c r="AD32" s="1166">
        <f t="shared" si="72"/>
        <v>9.2706640310603244E-2</v>
      </c>
      <c r="AE32" s="1175">
        <f t="shared" si="4"/>
        <v>10.870022131272481</v>
      </c>
      <c r="AF32" s="1153"/>
      <c r="AG32" s="1142"/>
      <c r="AH32" s="1142"/>
      <c r="AL32" s="1144" t="s">
        <v>1131</v>
      </c>
      <c r="AM32" s="1144" t="s">
        <v>62</v>
      </c>
      <c r="AN32" s="1135">
        <f>SUMIFS(Table915[Count of EnergyRating],Table915[MainSpaceHeatingFuel],AL32,Table915[EnergyRating (group)],AM32,Table915[CountyName (group)],AN$4)</f>
        <v>15</v>
      </c>
      <c r="AO32" s="1129">
        <f>SUMIFS(Table915[Count of EnergyRating],Table915[MainSpaceHeatingFuel],AL32,Table915[EnergyRating (group)],AM32,Table915[CountyName (group)],AO$4)</f>
        <v>75</v>
      </c>
      <c r="AP32" s="1129">
        <f>SUMIFS(Table915[Count of EnergyRating],Table915[MainSpaceHeatingFuel],AL32,Table915[EnergyRating (group)],AM32,Table915[CountyName (group)],AP$4)</f>
        <v>15</v>
      </c>
      <c r="AQ32" s="1129">
        <f>SUMIFS(Table915[Count of EnergyRating],Table915[MainSpaceHeatingFuel],AL32,Table915[EnergyRating (group)],AM32,Table915[CountyName (group)],AQ$4)</f>
        <v>10</v>
      </c>
      <c r="AR32" s="1129">
        <f>SUMIFS(Table915[Count of EnergyRating],Table915[MainSpaceHeatingFuel],AL32,Table915[EnergyRating (group)],AM32,Table915[CountyName (group)],AR$4)</f>
        <v>46</v>
      </c>
      <c r="AS32" s="1129">
        <f>SUMIFS(Table915[Count of EnergyRating],Table915[MainSpaceHeatingFuel],AL32,Table915[EnergyRating (group)],AM32,Table915[CountyName (group)],AS$4)</f>
        <v>1</v>
      </c>
      <c r="AT32" s="1129">
        <f>SUMIFS(Table915[Count of EnergyRating],Table915[MainSpaceHeatingFuel],AL32,Table915[EnergyRating (group)],AM32,Table915[CountyName (group)],AT$4)</f>
        <v>25</v>
      </c>
      <c r="AU32" s="1129">
        <f>SUMIFS(Table915[Count of EnergyRating],Table915[MainSpaceHeatingFuel],AL32,Table915[EnergyRating (group)],AM32,Table915[CountyName (group)],AU$4)</f>
        <v>33</v>
      </c>
      <c r="AV32" s="1129">
        <f>SUMIFS(Table915[Count of EnergyRating],Table915[MainSpaceHeatingFuel],AL32,Table915[EnergyRating (group)],AM32,Table915[CountyName (group)],AV$4)</f>
        <v>77</v>
      </c>
      <c r="AW32" s="1129">
        <f>SUMIFS(Table915[Count of EnergyRating],Table915[MainSpaceHeatingFuel],AL32,Table915[EnergyRating (group)],AM32,Table915[CountyName (group)],AW$4)</f>
        <v>84</v>
      </c>
      <c r="AX32" s="1129">
        <f>SUMIFS(Table915[Count of EnergyRating],Table915[MainSpaceHeatingFuel],AL32,Table915[EnergyRating (group)],AM32,Table915[CountyName (group)],AX$4)</f>
        <v>53</v>
      </c>
      <c r="AY32" s="1129">
        <f>SUMIFS(Table915[Count of EnergyRating],Table915[MainSpaceHeatingFuel],AL32,Table915[EnergyRating (group)],AM32,Table915[CountyName (group)],AY$4)</f>
        <v>34</v>
      </c>
      <c r="AZ32" s="1129">
        <f>SUMIFS(Table915[Count of EnergyRating],Table915[MainSpaceHeatingFuel],AL32,Table915[EnergyRating (group)],AM32,Table915[CountyName (group)],AZ$4)</f>
        <v>87</v>
      </c>
      <c r="BA32" s="1129">
        <f>SUMIFS(Table915[Count of EnergyRating],Table915[MainSpaceHeatingFuel],AL32,Table915[EnergyRating (group)],AM32,Table915[CountyName (group)],BA$4)</f>
        <v>73</v>
      </c>
      <c r="BB32" s="1129">
        <f>SUMIFS(Table915[Count of EnergyRating],Table915[MainSpaceHeatingFuel],AL32,Table915[EnergyRating (group)],AM32,Table915[CountyName (group)],BB$4)</f>
        <v>76</v>
      </c>
      <c r="BC32" s="1129">
        <f>SUMIFS(Table915[Count of EnergyRating],Table915[MainSpaceHeatingFuel],AL32,Table915[EnergyRating (group)],AM32,Table915[CountyName (group)],BC$4)</f>
        <v>59</v>
      </c>
      <c r="BD32" s="1129">
        <f>SUMIFS(Table915[Count of EnergyRating],Table915[MainSpaceHeatingFuel],AL32,Table915[EnergyRating (group)],AM32,Table915[CountyName (group)],BD$4)</f>
        <v>22</v>
      </c>
      <c r="BE32" s="1129">
        <f>SUMIFS(Table915[Count of EnergyRating],Table915[MainSpaceHeatingFuel],AL32,Table915[EnergyRating (group)],AM32,Table915[CountyName (group)],BE$4)</f>
        <v>30</v>
      </c>
      <c r="BF32" s="1129">
        <f>SUMIFS(Table915[Count of EnergyRating],Table915[MainSpaceHeatingFuel],AL32,Table915[EnergyRating (group)],AM32,Table915[CountyName (group)],BF$4)</f>
        <v>233</v>
      </c>
      <c r="BG32" s="1129">
        <f>SUMIFS(Table915[Count of EnergyRating],Table915[MainSpaceHeatingFuel],AL32,Table915[EnergyRating (group)],AM32,Table915[CountyName (group)],BG$4)</f>
        <v>33</v>
      </c>
      <c r="BH32" s="1129">
        <f>SUMIFS(Table915[Count of EnergyRating],Table915[MainSpaceHeatingFuel],AL32,Table915[EnergyRating (group)],AM32,Table915[CountyName (group)],BH$4)</f>
        <v>16</v>
      </c>
      <c r="BI32" s="1129">
        <f>SUMIFS(Table915[Count of EnergyRating],Table915[MainSpaceHeatingFuel],AL32,Table915[EnergyRating (group)],AM32,Table915[CountyName (group)],BI$4)</f>
        <v>36</v>
      </c>
      <c r="BJ32" s="1129">
        <f>SUMIFS(Table915[Count of EnergyRating],Table915[MainSpaceHeatingFuel],AL32,Table915[EnergyRating (group)],AM32,Table915[CountyName (group)],BJ$4)</f>
        <v>55</v>
      </c>
      <c r="BK32" s="1135">
        <f>SUMIFS(Table915[Count of EnergyRating],Table915[MainSpaceHeatingFuel],AL32,Table915[EnergyRating (group)],AM32,Table915[CountyName (group)],BK$4)</f>
        <v>3</v>
      </c>
      <c r="BL32" s="1129">
        <f>SUMIFS(Table915[Count of EnergyRating],Table915[MainSpaceHeatingFuel],AL32,Table915[EnergyRating (group)],AM32,Table915[CountyName (group)],BL$4)</f>
        <v>54</v>
      </c>
      <c r="BM32" s="1129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37"/>
      <c r="C33" s="1137" t="s">
        <v>1122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F33" s="1153"/>
      <c r="AG33" s="1142"/>
      <c r="AH33" s="1142"/>
      <c r="AL33" s="1144" t="s">
        <v>1131</v>
      </c>
      <c r="AM33" s="1144" t="s">
        <v>64</v>
      </c>
      <c r="AN33" s="1135">
        <f>SUMIFS(Table915[Count of EnergyRating],Table915[MainSpaceHeatingFuel],AL33,Table915[EnergyRating (group)],AM33,Table915[CountyName (group)],AN$4)</f>
        <v>17</v>
      </c>
      <c r="AO33" s="1129">
        <f>SUMIFS(Table915[Count of EnergyRating],Table915[MainSpaceHeatingFuel],AL33,Table915[EnergyRating (group)],AM33,Table915[CountyName (group)],AO$4)</f>
        <v>662</v>
      </c>
      <c r="AP33" s="1129">
        <f>SUMIFS(Table915[Count of EnergyRating],Table915[MainSpaceHeatingFuel],AL33,Table915[EnergyRating (group)],AM33,Table915[CountyName (group)],AP$4)</f>
        <v>58</v>
      </c>
      <c r="AQ33" s="1129">
        <f>SUMIFS(Table915[Count of EnergyRating],Table915[MainSpaceHeatingFuel],AL33,Table915[EnergyRating (group)],AM33,Table915[CountyName (group)],AQ$4)</f>
        <v>31</v>
      </c>
      <c r="AR33" s="1129">
        <f>SUMIFS(Table915[Count of EnergyRating],Table915[MainSpaceHeatingFuel],AL33,Table915[EnergyRating (group)],AM33,Table915[CountyName (group)],AR$4)</f>
        <v>27</v>
      </c>
      <c r="AS33" s="1129">
        <f>SUMIFS(Table915[Count of EnergyRating],Table915[MainSpaceHeatingFuel],AL33,Table915[EnergyRating (group)],AM33,Table915[CountyName (group)],AS$4)</f>
        <v>1</v>
      </c>
      <c r="AT33" s="1129">
        <f>SUMIFS(Table915[Count of EnergyRating],Table915[MainSpaceHeatingFuel],AL33,Table915[EnergyRating (group)],AM33,Table915[CountyName (group)],AT$4)</f>
        <v>115</v>
      </c>
      <c r="AU33" s="1129">
        <f>SUMIFS(Table915[Count of EnergyRating],Table915[MainSpaceHeatingFuel],AL33,Table915[EnergyRating (group)],AM33,Table915[CountyName (group)],AU$4)</f>
        <v>45</v>
      </c>
      <c r="AV33" s="1129">
        <f>SUMIFS(Table915[Count of EnergyRating],Table915[MainSpaceHeatingFuel],AL33,Table915[EnergyRating (group)],AM33,Table915[CountyName (group)],AV$4)</f>
        <v>20</v>
      </c>
      <c r="AW33" s="1129">
        <f>SUMIFS(Table915[Count of EnergyRating],Table915[MainSpaceHeatingFuel],AL33,Table915[EnergyRating (group)],AM33,Table915[CountyName (group)],AW$4)</f>
        <v>102</v>
      </c>
      <c r="AX33" s="1129">
        <f>SUMIFS(Table915[Count of EnergyRating],Table915[MainSpaceHeatingFuel],AL33,Table915[EnergyRating (group)],AM33,Table915[CountyName (group)],AX$4)</f>
        <v>90</v>
      </c>
      <c r="AY33" s="1129">
        <f>SUMIFS(Table915[Count of EnergyRating],Table915[MainSpaceHeatingFuel],AL33,Table915[EnergyRating (group)],AM33,Table915[CountyName (group)],AY$4)</f>
        <v>87</v>
      </c>
      <c r="AZ33" s="1129">
        <f>SUMIFS(Table915[Count of EnergyRating],Table915[MainSpaceHeatingFuel],AL33,Table915[EnergyRating (group)],AM33,Table915[CountyName (group)],AZ$4)</f>
        <v>37</v>
      </c>
      <c r="BA33" s="1129">
        <f>SUMIFS(Table915[Count of EnergyRating],Table915[MainSpaceHeatingFuel],AL33,Table915[EnergyRating (group)],AM33,Table915[CountyName (group)],BA$4)</f>
        <v>198</v>
      </c>
      <c r="BB33" s="1129">
        <f>SUMIFS(Table915[Count of EnergyRating],Table915[MainSpaceHeatingFuel],AL33,Table915[EnergyRating (group)],AM33,Table915[CountyName (group)],BB$4)</f>
        <v>60</v>
      </c>
      <c r="BC33" s="1129">
        <f>SUMIFS(Table915[Count of EnergyRating],Table915[MainSpaceHeatingFuel],AL33,Table915[EnergyRating (group)],AM33,Table915[CountyName (group)],BC$4)</f>
        <v>139</v>
      </c>
      <c r="BD33" s="1129">
        <f>SUMIFS(Table915[Count of EnergyRating],Table915[MainSpaceHeatingFuel],AL33,Table915[EnergyRating (group)],AM33,Table915[CountyName (group)],BD$4)</f>
        <v>45</v>
      </c>
      <c r="BE33" s="1129">
        <f>SUMIFS(Table915[Count of EnergyRating],Table915[MainSpaceHeatingFuel],AL33,Table915[EnergyRating (group)],AM33,Table915[CountyName (group)],BE$4)</f>
        <v>82</v>
      </c>
      <c r="BF33" s="1129">
        <f>SUMIFS(Table915[Count of EnergyRating],Table915[MainSpaceHeatingFuel],AL33,Table915[EnergyRating (group)],AM33,Table915[CountyName (group)],BF$4)</f>
        <v>108</v>
      </c>
      <c r="BG33" s="1129">
        <f>SUMIFS(Table915[Count of EnergyRating],Table915[MainSpaceHeatingFuel],AL33,Table915[EnergyRating (group)],AM33,Table915[CountyName (group)],BG$4)</f>
        <v>23</v>
      </c>
      <c r="BH33" s="1129">
        <f>SUMIFS(Table915[Count of EnergyRating],Table915[MainSpaceHeatingFuel],AL33,Table915[EnergyRating (group)],AM33,Table915[CountyName (group)],BH$4)</f>
        <v>12</v>
      </c>
      <c r="BI33" s="1129">
        <f>SUMIFS(Table915[Count of EnergyRating],Table915[MainSpaceHeatingFuel],AL33,Table915[EnergyRating (group)],AM33,Table915[CountyName (group)],BI$4)</f>
        <v>13</v>
      </c>
      <c r="BJ33" s="1129">
        <f>SUMIFS(Table915[Count of EnergyRating],Table915[MainSpaceHeatingFuel],AL33,Table915[EnergyRating (group)],AM33,Table915[CountyName (group)],BJ$4)</f>
        <v>93</v>
      </c>
      <c r="BK33" s="1135">
        <f>SUMIFS(Table915[Count of EnergyRating],Table915[MainSpaceHeatingFuel],AL33,Table915[EnergyRating (group)],AM33,Table915[CountyName (group)],BK$4)</f>
        <v>8</v>
      </c>
      <c r="BL33" s="1129">
        <f>SUMIFS(Table915[Count of EnergyRating],Table915[MainSpaceHeatingFuel],AL33,Table915[EnergyRating (group)],AM33,Table915[CountyName (group)],BL$4)</f>
        <v>37</v>
      </c>
      <c r="BM33" s="1129">
        <f>SUMIFS(Table915[Count of EnergyRating],Table915[MainSpaceHeatingFuel],AL33,Table915[EnergyRating (group)],AM33,Table915[CountyName (group)],BM$4)</f>
        <v>19</v>
      </c>
      <c r="BO33"/>
    </row>
    <row r="34" spans="1:67">
      <c r="B34" s="1134" t="s">
        <v>1259</v>
      </c>
      <c r="C34" s="1134" t="s">
        <v>1135</v>
      </c>
      <c r="D34" s="1134" t="s">
        <v>1094</v>
      </c>
      <c r="E34" s="1145">
        <f t="shared" ref="E34:N39" si="73">IFERROR(G192*((SUM(AN$35:AN$38)/SUM(AN$35:AN$43))/(SUM(G$192)/SUM(G$192:G$197))),G192)</f>
        <v>3.606363930349757E-6</v>
      </c>
      <c r="F34" s="1145">
        <f t="shared" si="73"/>
        <v>1.3732263287145955E-4</v>
      </c>
      <c r="G34" s="1145">
        <f t="shared" si="73"/>
        <v>2.769052954075047E-5</v>
      </c>
      <c r="H34" s="1145">
        <f t="shared" si="73"/>
        <v>4.3013960183596364E-6</v>
      </c>
      <c r="I34" s="1145">
        <f t="shared" si="73"/>
        <v>4.1180140191708732E-6</v>
      </c>
      <c r="J34" s="1145">
        <f t="shared" si="73"/>
        <v>1.6292865606151352E-6</v>
      </c>
      <c r="K34" s="1145">
        <f t="shared" si="73"/>
        <v>1.3475142443957346E-5</v>
      </c>
      <c r="L34" s="1145">
        <f t="shared" si="73"/>
        <v>2.4395614989527707E-5</v>
      </c>
      <c r="M34" s="1145">
        <f t="shared" si="73"/>
        <v>1.9006532483153882E-6</v>
      </c>
      <c r="N34" s="1145">
        <f t="shared" si="73"/>
        <v>3.3751769821509519E-6</v>
      </c>
      <c r="O34" s="1145">
        <f t="shared" ref="O34:X39" si="74">IFERROR(Q192*((SUM(AX$35:AX$38)/SUM(AX$35:AX$43))/(SUM(Q$192)/SUM(Q$192:Q$197))),Q192)</f>
        <v>5.2850776469204987E-6</v>
      </c>
      <c r="P34" s="1145">
        <f t="shared" si="74"/>
        <v>1.3508533508296672E-5</v>
      </c>
      <c r="Q34" s="1145">
        <f t="shared" si="74"/>
        <v>3.9058029208799465E-6</v>
      </c>
      <c r="R34" s="1145">
        <f t="shared" si="74"/>
        <v>4.7379996756984488E-5</v>
      </c>
      <c r="S34" s="1145">
        <f t="shared" si="74"/>
        <v>5.1645974245193172E-6</v>
      </c>
      <c r="T34" s="1145">
        <f t="shared" si="74"/>
        <v>1.0171175377699401E-5</v>
      </c>
      <c r="U34" s="1145">
        <f t="shared" si="74"/>
        <v>4.4013081615445549E-6</v>
      </c>
      <c r="V34" s="1145">
        <f t="shared" si="74"/>
        <v>8.5580405216634902E-6</v>
      </c>
      <c r="W34" s="1145">
        <f t="shared" si="74"/>
        <v>0</v>
      </c>
      <c r="X34" s="1145">
        <f t="shared" si="74"/>
        <v>6.5349380628482166E-7</v>
      </c>
      <c r="Y34" s="1145">
        <f t="shared" ref="Y34:AD39" si="75">IFERROR(AA192*((SUM(BH$35:BH$38)/SUM(BH$35:BH$43))/(SUM(AA$192)/SUM(AA$192:AA$197))),AA192)</f>
        <v>3.3223097607288487E-6</v>
      </c>
      <c r="Z34" s="1145">
        <f t="shared" si="75"/>
        <v>8.405145375781499E-7</v>
      </c>
      <c r="AA34" s="1145">
        <f t="shared" si="75"/>
        <v>2.6221714415639009E-6</v>
      </c>
      <c r="AB34" s="1145">
        <f t="shared" si="75"/>
        <v>2.9482775119125506E-6</v>
      </c>
      <c r="AC34" s="1145">
        <f t="shared" si="75"/>
        <v>3.6251743263482719E-6</v>
      </c>
      <c r="AD34" s="1145">
        <f t="shared" si="75"/>
        <v>2.752611797254508E-6</v>
      </c>
      <c r="AE34" s="1172">
        <f t="shared" si="4"/>
        <v>3.3695389610483614E-4</v>
      </c>
      <c r="AF34" s="1153"/>
      <c r="AG34" s="1142"/>
      <c r="AH34" s="1142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  <c r="BO34"/>
    </row>
    <row r="35" spans="1:67" s="1128" customFormat="1" ht="15">
      <c r="A35" s="1129"/>
      <c r="B35" s="1136" t="s">
        <v>56</v>
      </c>
      <c r="C35" s="1136" t="s">
        <v>1135</v>
      </c>
      <c r="D35" s="1136" t="s">
        <v>1094</v>
      </c>
      <c r="E35" s="1146">
        <f t="shared" si="73"/>
        <v>9.5773583984666E-6</v>
      </c>
      <c r="F35" s="1146">
        <f t="shared" si="73"/>
        <v>2.3985002105210838E-4</v>
      </c>
      <c r="G35" s="1146">
        <f t="shared" si="73"/>
        <v>3.4424159892856382E-5</v>
      </c>
      <c r="H35" s="1146">
        <f t="shared" si="73"/>
        <v>1.2248434278065274E-5</v>
      </c>
      <c r="I35" s="1146">
        <f t="shared" si="73"/>
        <v>1.2185954587493125E-5</v>
      </c>
      <c r="J35" s="1146">
        <f t="shared" si="73"/>
        <v>4.6683645449583722E-6</v>
      </c>
      <c r="K35" s="1146">
        <f t="shared" si="73"/>
        <v>2.5984855300112704E-5</v>
      </c>
      <c r="L35" s="1146">
        <f t="shared" si="73"/>
        <v>2.7218222899953214E-5</v>
      </c>
      <c r="M35" s="1146">
        <f t="shared" si="73"/>
        <v>8.9121290047901407E-6</v>
      </c>
      <c r="N35" s="1146">
        <f t="shared" si="73"/>
        <v>1.227136667768545E-5</v>
      </c>
      <c r="O35" s="1146">
        <f t="shared" si="74"/>
        <v>1.6806267031838422E-5</v>
      </c>
      <c r="P35" s="1146">
        <f t="shared" si="74"/>
        <v>1.9122483974611361E-5</v>
      </c>
      <c r="Q35" s="1146">
        <f t="shared" si="74"/>
        <v>1.3777871399977738E-5</v>
      </c>
      <c r="R35" s="1146">
        <f t="shared" si="74"/>
        <v>9.1044820727358733E-5</v>
      </c>
      <c r="S35" s="1146">
        <f t="shared" si="74"/>
        <v>1.3993292882428482E-5</v>
      </c>
      <c r="T35" s="1146">
        <f t="shared" si="74"/>
        <v>3.1508065393776762E-5</v>
      </c>
      <c r="U35" s="1146">
        <f t="shared" si="74"/>
        <v>1.9948258584345328E-5</v>
      </c>
      <c r="V35" s="1146">
        <f t="shared" si="74"/>
        <v>2.0696871363777827E-5</v>
      </c>
      <c r="W35" s="1146">
        <f t="shared" si="74"/>
        <v>0</v>
      </c>
      <c r="X35" s="1146">
        <f t="shared" si="74"/>
        <v>3.075819405542502E-6</v>
      </c>
      <c r="Y35" s="1146">
        <f t="shared" si="75"/>
        <v>1.2613348073827102E-5</v>
      </c>
      <c r="Z35" s="1146">
        <f t="shared" si="75"/>
        <v>6.6544144074470958E-6</v>
      </c>
      <c r="AA35" s="1146">
        <f t="shared" si="75"/>
        <v>8.3933383453407896E-6</v>
      </c>
      <c r="AB35" s="1146">
        <f t="shared" si="75"/>
        <v>9.10526490243029E-6</v>
      </c>
      <c r="AC35" s="1146">
        <f t="shared" si="75"/>
        <v>1.8569540299487223E-5</v>
      </c>
      <c r="AD35" s="1146">
        <f t="shared" si="75"/>
        <v>6.0632600716618137E-6</v>
      </c>
      <c r="AE35" s="1173">
        <f t="shared" si="4"/>
        <v>6.7871378350034127E-4</v>
      </c>
      <c r="AF35" s="1153"/>
      <c r="AG35" s="1142"/>
      <c r="AH35" s="1137" t="s">
        <v>1157</v>
      </c>
      <c r="AI35" s="1137" t="s">
        <v>1160</v>
      </c>
      <c r="AJ35" s="1159" t="s">
        <v>1159</v>
      </c>
      <c r="AK35" s="1142"/>
      <c r="AL35" s="1144" t="s">
        <v>398</v>
      </c>
      <c r="AM35" s="1144" t="s">
        <v>48</v>
      </c>
      <c r="AN35" s="1135">
        <f>SUMIFS(Table915[Count of EnergyRating],Table915[MainSpaceHeatingFuel],AL35,Table915[EnergyRating (group)],AM35,Table915[CountyName (group)],AN$4)</f>
        <v>0</v>
      </c>
      <c r="AO35" s="1129">
        <f>SUMIFS(Table915[Count of EnergyRating],Table915[MainSpaceHeatingFuel],AL35,Table915[EnergyRating (group)],AM35,Table915[CountyName (group)],AO$4)</f>
        <v>0</v>
      </c>
      <c r="AP35" s="1129">
        <f>SUMIFS(Table915[Count of EnergyRating],Table915[MainSpaceHeatingFuel],AL35,Table915[EnergyRating (group)],AM35,Table915[CountyName (group)],AP$4)</f>
        <v>0</v>
      </c>
      <c r="AQ35" s="1129">
        <f>SUMIFS(Table915[Count of EnergyRating],Table915[MainSpaceHeatingFuel],AL35,Table915[EnergyRating (group)],AM35,Table915[CountyName (group)],AQ$4)</f>
        <v>0</v>
      </c>
      <c r="AR35" s="1129">
        <f>SUMIFS(Table915[Count of EnergyRating],Table915[MainSpaceHeatingFuel],AL35,Table915[EnergyRating (group)],AM35,Table915[CountyName (group)],AR$4)</f>
        <v>0</v>
      </c>
      <c r="AS35" s="1129">
        <f>SUMIFS(Table915[Count of EnergyRating],Table915[MainSpaceHeatingFuel],AL35,Table915[EnergyRating (group)],AM35,Table915[CountyName (group)],AS$4)</f>
        <v>0</v>
      </c>
      <c r="AT35" s="1129">
        <f>SUMIFS(Table915[Count of EnergyRating],Table915[MainSpaceHeatingFuel],AL35,Table915[EnergyRating (group)],AM35,Table915[CountyName (group)],AT$4)</f>
        <v>0</v>
      </c>
      <c r="AU35" s="1129">
        <f>SUMIFS(Table915[Count of EnergyRating],Table915[MainSpaceHeatingFuel],AL35,Table915[EnergyRating (group)],AM35,Table915[CountyName (group)],AU$4)</f>
        <v>0</v>
      </c>
      <c r="AV35" s="1129">
        <f>SUMIFS(Table915[Count of EnergyRating],Table915[MainSpaceHeatingFuel],AL35,Table915[EnergyRating (group)],AM35,Table915[CountyName (group)],AV$4)</f>
        <v>0</v>
      </c>
      <c r="AW35" s="1129">
        <f>SUMIFS(Table915[Count of EnergyRating],Table915[MainSpaceHeatingFuel],AL35,Table915[EnergyRating (group)],AM35,Table915[CountyName (group)],AW$4)</f>
        <v>0</v>
      </c>
      <c r="AX35" s="1129">
        <f>SUMIFS(Table915[Count of EnergyRating],Table915[MainSpaceHeatingFuel],AL35,Table915[EnergyRating (group)],AM35,Table915[CountyName (group)],AX$4)</f>
        <v>0</v>
      </c>
      <c r="AY35" s="1129">
        <f>SUMIFS(Table915[Count of EnergyRating],Table915[MainSpaceHeatingFuel],AL35,Table915[EnergyRating (group)],AM35,Table915[CountyName (group)],AY$4)</f>
        <v>0</v>
      </c>
      <c r="AZ35" s="1129">
        <f>SUMIFS(Table915[Count of EnergyRating],Table915[MainSpaceHeatingFuel],AL35,Table915[EnergyRating (group)],AM35,Table915[CountyName (group)],AZ$4)</f>
        <v>0</v>
      </c>
      <c r="BA35" s="1129">
        <f>SUMIFS(Table915[Count of EnergyRating],Table915[MainSpaceHeatingFuel],AL35,Table915[EnergyRating (group)],AM35,Table915[CountyName (group)],BA$4)</f>
        <v>0</v>
      </c>
      <c r="BB35" s="1129">
        <f>SUMIFS(Table915[Count of EnergyRating],Table915[MainSpaceHeatingFuel],AL35,Table915[EnergyRating (group)],AM35,Table915[CountyName (group)],BB$4)</f>
        <v>0</v>
      </c>
      <c r="BC35" s="1129">
        <f>SUMIFS(Table915[Count of EnergyRating],Table915[MainSpaceHeatingFuel],AL35,Table915[EnergyRating (group)],AM35,Table915[CountyName (group)],BC$4)</f>
        <v>0</v>
      </c>
      <c r="BD35" s="1129">
        <f>SUMIFS(Table915[Count of EnergyRating],Table915[MainSpaceHeatingFuel],AL35,Table915[EnergyRating (group)],AM35,Table915[CountyName (group)],BD$4)</f>
        <v>0</v>
      </c>
      <c r="BE35" s="1129">
        <f>SUMIFS(Table915[Count of EnergyRating],Table915[MainSpaceHeatingFuel],AL35,Table915[EnergyRating (group)],AM35,Table915[CountyName (group)],BE$4)</f>
        <v>0</v>
      </c>
      <c r="BF35" s="1129">
        <f>SUMIFS(Table915[Count of EnergyRating],Table915[MainSpaceHeatingFuel],AL35,Table915[EnergyRating (group)],AM35,Table915[CountyName (group)],BF$4)</f>
        <v>0</v>
      </c>
      <c r="BG35" s="1129">
        <f>SUMIFS(Table915[Count of EnergyRating],Table915[MainSpaceHeatingFuel],AL35,Table915[EnergyRating (group)],AM35,Table915[CountyName (group)],BG$4)</f>
        <v>0</v>
      </c>
      <c r="BH35" s="1129">
        <f>SUMIFS(Table915[Count of EnergyRating],Table915[MainSpaceHeatingFuel],AL35,Table915[EnergyRating (group)],AM35,Table915[CountyName (group)],BH$4)</f>
        <v>0</v>
      </c>
      <c r="BI35" s="1129">
        <f>SUMIFS(Table915[Count of EnergyRating],Table915[MainSpaceHeatingFuel],AL35,Table915[EnergyRating (group)],AM35,Table915[CountyName (group)],BI$4)</f>
        <v>0</v>
      </c>
      <c r="BJ35" s="1129">
        <f>SUMIFS(Table915[Count of EnergyRating],Table915[MainSpaceHeatingFuel],AL35,Table915[EnergyRating (group)],AM35,Table915[CountyName (group)],BJ$4)</f>
        <v>0</v>
      </c>
      <c r="BK35" s="1135">
        <f>SUMIFS(Table915[Count of EnergyRating],Table915[MainSpaceHeatingFuel],AL35,Table915[EnergyRating (group)],AM35,Table915[CountyName (group)],BK$4)</f>
        <v>0</v>
      </c>
      <c r="BL35" s="1129">
        <f>SUMIFS(Table915[Count of EnergyRating],Table915[MainSpaceHeatingFuel],AL35,Table915[EnergyRating (group)],AM35,Table915[CountyName (group)],BL$4)</f>
        <v>0</v>
      </c>
      <c r="BM35" s="1129">
        <f>SUMIFS(Table915[Count of EnergyRating],Table915[MainSpaceHeatingFuel],AL35,Table915[EnergyRating (group)],AM35,Table915[CountyName (group)],BM$4)</f>
        <v>0</v>
      </c>
    </row>
    <row r="36" spans="1:67" ht="15">
      <c r="A36" s="1129"/>
      <c r="B36" s="1134" t="s">
        <v>58</v>
      </c>
      <c r="C36" s="1134" t="s">
        <v>1135</v>
      </c>
      <c r="D36" s="1134" t="s">
        <v>1094</v>
      </c>
      <c r="E36" s="1145">
        <f t="shared" si="73"/>
        <v>5.0253290433814566E-6</v>
      </c>
      <c r="F36" s="1145">
        <f t="shared" si="73"/>
        <v>1.7574992824195891E-4</v>
      </c>
      <c r="G36" s="1145">
        <f t="shared" si="73"/>
        <v>1.9345699681376245E-5</v>
      </c>
      <c r="H36" s="1145">
        <f t="shared" si="73"/>
        <v>7.137104506590868E-6</v>
      </c>
      <c r="I36" s="1145">
        <f t="shared" si="73"/>
        <v>4.5163520187983369E-6</v>
      </c>
      <c r="J36" s="1145">
        <f t="shared" si="73"/>
        <v>2.8842252244344354E-6</v>
      </c>
      <c r="K36" s="1145">
        <f t="shared" si="73"/>
        <v>1.0313435574822897E-5</v>
      </c>
      <c r="L36" s="1145">
        <f t="shared" si="73"/>
        <v>8.1355567349310709E-6</v>
      </c>
      <c r="M36" s="1145">
        <f t="shared" si="73"/>
        <v>4.2030603286017954E-6</v>
      </c>
      <c r="N36" s="1145">
        <f t="shared" si="73"/>
        <v>6.8560502564406429E-6</v>
      </c>
      <c r="O36" s="1145">
        <f t="shared" si="74"/>
        <v>1.2154568211286625E-5</v>
      </c>
      <c r="P36" s="1145">
        <f t="shared" si="74"/>
        <v>1.1654063884440039E-5</v>
      </c>
      <c r="Q36" s="1145">
        <f t="shared" si="74"/>
        <v>1.0721360436424079E-5</v>
      </c>
      <c r="R36" s="1145">
        <f t="shared" si="74"/>
        <v>4.1549154535994967E-5</v>
      </c>
      <c r="S36" s="1145">
        <f t="shared" si="74"/>
        <v>9.6862520660840548E-6</v>
      </c>
      <c r="T36" s="1145">
        <f t="shared" si="74"/>
        <v>1.9525176555937347E-5</v>
      </c>
      <c r="U36" s="1145">
        <f t="shared" si="74"/>
        <v>1.3144295972396351E-5</v>
      </c>
      <c r="V36" s="1145">
        <f t="shared" si="74"/>
        <v>1.3410140865103731E-5</v>
      </c>
      <c r="W36" s="1145">
        <f t="shared" si="74"/>
        <v>0</v>
      </c>
      <c r="X36" s="1145">
        <f t="shared" si="74"/>
        <v>1.1310469724160374E-6</v>
      </c>
      <c r="Y36" s="1145">
        <f t="shared" si="75"/>
        <v>7.5938703221736324E-6</v>
      </c>
      <c r="Z36" s="1145">
        <f t="shared" si="75"/>
        <v>2.2459597087848803E-6</v>
      </c>
      <c r="AA36" s="1145">
        <f t="shared" si="75"/>
        <v>5.1004835521104143E-6</v>
      </c>
      <c r="AB36" s="1145">
        <f t="shared" si="75"/>
        <v>3.1211635547171642E-6</v>
      </c>
      <c r="AC36" s="1145">
        <f t="shared" si="75"/>
        <v>8.455700946948992E-6</v>
      </c>
      <c r="AD36" s="1145">
        <f t="shared" si="75"/>
        <v>4.0668739373547609E-6</v>
      </c>
      <c r="AE36" s="1172">
        <f t="shared" si="4"/>
        <v>4.0772685313350982E-4</v>
      </c>
      <c r="AF36" s="1153"/>
      <c r="AG36" s="58" t="s">
        <v>1163</v>
      </c>
      <c r="AH36" s="1158">
        <f>SUM(E34:AD39)</f>
        <v>1.803845931740199E-3</v>
      </c>
      <c r="AI36" s="1140">
        <f>'SHWLP-Att'!S8</f>
        <v>1.8703337799503099E-3</v>
      </c>
      <c r="AJ36" s="1160">
        <f>(AI36-AH36)/AI36</f>
        <v>3.5548653894214188E-2</v>
      </c>
      <c r="AL36" s="1144" t="s">
        <v>398</v>
      </c>
      <c r="AM36" s="1144" t="s">
        <v>50</v>
      </c>
      <c r="AN36" s="1135">
        <f>SUMIFS(Table915[Count of EnergyRating],Table915[MainSpaceHeatingFuel],AL36,Table915[EnergyRating (group)],AM36,Table915[CountyName (group)],AN$4)</f>
        <v>0</v>
      </c>
      <c r="AO36" s="1129">
        <f>SUMIFS(Table915[Count of EnergyRating],Table915[MainSpaceHeatingFuel],AL36,Table915[EnergyRating (group)],AM36,Table915[CountyName (group)],AO$4)</f>
        <v>0</v>
      </c>
      <c r="AP36" s="1129">
        <f>SUMIFS(Table915[Count of EnergyRating],Table915[MainSpaceHeatingFuel],AL36,Table915[EnergyRating (group)],AM36,Table915[CountyName (group)],AP$4)</f>
        <v>0</v>
      </c>
      <c r="AQ36" s="1129">
        <f>SUMIFS(Table915[Count of EnergyRating],Table915[MainSpaceHeatingFuel],AL36,Table915[EnergyRating (group)],AM36,Table915[CountyName (group)],AQ$4)</f>
        <v>0</v>
      </c>
      <c r="AR36" s="1129">
        <f>SUMIFS(Table915[Count of EnergyRating],Table915[MainSpaceHeatingFuel],AL36,Table915[EnergyRating (group)],AM36,Table915[CountyName (group)],AR$4)</f>
        <v>0</v>
      </c>
      <c r="AS36" s="1129">
        <f>SUMIFS(Table915[Count of EnergyRating],Table915[MainSpaceHeatingFuel],AL36,Table915[EnergyRating (group)],AM36,Table915[CountyName (group)],AS$4)</f>
        <v>0</v>
      </c>
      <c r="AT36" s="1129">
        <f>SUMIFS(Table915[Count of EnergyRating],Table915[MainSpaceHeatingFuel],AL36,Table915[EnergyRating (group)],AM36,Table915[CountyName (group)],AT$4)</f>
        <v>0</v>
      </c>
      <c r="AU36" s="1129">
        <f>SUMIFS(Table915[Count of EnergyRating],Table915[MainSpaceHeatingFuel],AL36,Table915[EnergyRating (group)],AM36,Table915[CountyName (group)],AU$4)</f>
        <v>0</v>
      </c>
      <c r="AV36" s="1129">
        <f>SUMIFS(Table915[Count of EnergyRating],Table915[MainSpaceHeatingFuel],AL36,Table915[EnergyRating (group)],AM36,Table915[CountyName (group)],AV$4)</f>
        <v>0</v>
      </c>
      <c r="AW36" s="1129">
        <f>SUMIFS(Table915[Count of EnergyRating],Table915[MainSpaceHeatingFuel],AL36,Table915[EnergyRating (group)],AM36,Table915[CountyName (group)],AW$4)</f>
        <v>0</v>
      </c>
      <c r="AX36" s="1129">
        <f>SUMIFS(Table915[Count of EnergyRating],Table915[MainSpaceHeatingFuel],AL36,Table915[EnergyRating (group)],AM36,Table915[CountyName (group)],AX$4)</f>
        <v>0</v>
      </c>
      <c r="AY36" s="1129">
        <f>SUMIFS(Table915[Count of EnergyRating],Table915[MainSpaceHeatingFuel],AL36,Table915[EnergyRating (group)],AM36,Table915[CountyName (group)],AY$4)</f>
        <v>0</v>
      </c>
      <c r="AZ36" s="1129">
        <f>SUMIFS(Table915[Count of EnergyRating],Table915[MainSpaceHeatingFuel],AL36,Table915[EnergyRating (group)],AM36,Table915[CountyName (group)],AZ$4)</f>
        <v>0</v>
      </c>
      <c r="BA36" s="1129">
        <f>SUMIFS(Table915[Count of EnergyRating],Table915[MainSpaceHeatingFuel],AL36,Table915[EnergyRating (group)],AM36,Table915[CountyName (group)],BA$4)</f>
        <v>0</v>
      </c>
      <c r="BB36" s="1129">
        <f>SUMIFS(Table915[Count of EnergyRating],Table915[MainSpaceHeatingFuel],AL36,Table915[EnergyRating (group)],AM36,Table915[CountyName (group)],BB$4)</f>
        <v>0</v>
      </c>
      <c r="BC36" s="1129">
        <f>SUMIFS(Table915[Count of EnergyRating],Table915[MainSpaceHeatingFuel],AL36,Table915[EnergyRating (group)],AM36,Table915[CountyName (group)],BC$4)</f>
        <v>0</v>
      </c>
      <c r="BD36" s="1129">
        <f>SUMIFS(Table915[Count of EnergyRating],Table915[MainSpaceHeatingFuel],AL36,Table915[EnergyRating (group)],AM36,Table915[CountyName (group)],BD$4)</f>
        <v>0</v>
      </c>
      <c r="BE36" s="1129">
        <f>SUMIFS(Table915[Count of EnergyRating],Table915[MainSpaceHeatingFuel],AL36,Table915[EnergyRating (group)],AM36,Table915[CountyName (group)],BE$4)</f>
        <v>0</v>
      </c>
      <c r="BF36" s="1129">
        <f>SUMIFS(Table915[Count of EnergyRating],Table915[MainSpaceHeatingFuel],AL36,Table915[EnergyRating (group)],AM36,Table915[CountyName (group)],BF$4)</f>
        <v>0</v>
      </c>
      <c r="BG36" s="1129">
        <f>SUMIFS(Table915[Count of EnergyRating],Table915[MainSpaceHeatingFuel],AL36,Table915[EnergyRating (group)],AM36,Table915[CountyName (group)],BG$4)</f>
        <v>0</v>
      </c>
      <c r="BH36" s="1129">
        <f>SUMIFS(Table915[Count of EnergyRating],Table915[MainSpaceHeatingFuel],AL36,Table915[EnergyRating (group)],AM36,Table915[CountyName (group)],BH$4)</f>
        <v>0</v>
      </c>
      <c r="BI36" s="1129">
        <f>SUMIFS(Table915[Count of EnergyRating],Table915[MainSpaceHeatingFuel],AL36,Table915[EnergyRating (group)],AM36,Table915[CountyName (group)],BI$4)</f>
        <v>0</v>
      </c>
      <c r="BJ36" s="1129">
        <f>SUMIFS(Table915[Count of EnergyRating],Table915[MainSpaceHeatingFuel],AL36,Table915[EnergyRating (group)],AM36,Table915[CountyName (group)],BJ$4)</f>
        <v>0</v>
      </c>
      <c r="BK36" s="1135">
        <f>SUMIFS(Table915[Count of EnergyRating],Table915[MainSpaceHeatingFuel],AL36,Table915[EnergyRating (group)],AM36,Table915[CountyName (group)],BK$4)</f>
        <v>0</v>
      </c>
      <c r="BL36" s="1129">
        <f>SUMIFS(Table915[Count of EnergyRating],Table915[MainSpaceHeatingFuel],AL36,Table915[EnergyRating (group)],AM36,Table915[CountyName (group)],BL$4)</f>
        <v>0</v>
      </c>
      <c r="BM36" s="1129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29"/>
      <c r="B37" s="1136" t="s">
        <v>60</v>
      </c>
      <c r="C37" s="1136" t="s">
        <v>1135</v>
      </c>
      <c r="D37" s="1136" t="s">
        <v>1094</v>
      </c>
      <c r="E37" s="1146">
        <f t="shared" si="73"/>
        <v>1.7818341206449488E-6</v>
      </c>
      <c r="F37" s="1146">
        <f t="shared" si="73"/>
        <v>9.1304890315666398E-5</v>
      </c>
      <c r="G37" s="1146">
        <f t="shared" si="73"/>
        <v>6.0331455869532101E-6</v>
      </c>
      <c r="H37" s="1146">
        <f t="shared" si="73"/>
        <v>3.3340875848791764E-6</v>
      </c>
      <c r="I37" s="1146">
        <f t="shared" si="73"/>
        <v>3.5414756517988869E-6</v>
      </c>
      <c r="J37" s="1146">
        <f t="shared" si="73"/>
        <v>1.1840924638454826E-6</v>
      </c>
      <c r="K37" s="1146">
        <f t="shared" si="73"/>
        <v>4.1464778874145862E-6</v>
      </c>
      <c r="L37" s="1146">
        <f t="shared" si="73"/>
        <v>2.8489403639786194E-6</v>
      </c>
      <c r="M37" s="1146">
        <f t="shared" si="73"/>
        <v>4.9552348993385583E-6</v>
      </c>
      <c r="N37" s="1146">
        <f t="shared" si="73"/>
        <v>3.3840492408088203E-6</v>
      </c>
      <c r="O37" s="1146">
        <f t="shared" si="74"/>
        <v>5.3173729621135169E-6</v>
      </c>
      <c r="P37" s="1146">
        <f t="shared" si="74"/>
        <v>6.2659836522551587E-6</v>
      </c>
      <c r="Q37" s="1146">
        <f t="shared" si="74"/>
        <v>4.616195863978854E-6</v>
      </c>
      <c r="R37" s="1146">
        <f t="shared" si="74"/>
        <v>2.0535435973012621E-5</v>
      </c>
      <c r="S37" s="1146">
        <f t="shared" si="74"/>
        <v>4.9422650799655567E-6</v>
      </c>
      <c r="T37" s="1146">
        <f t="shared" si="74"/>
        <v>8.1919385509593086E-6</v>
      </c>
      <c r="U37" s="1146">
        <f t="shared" si="74"/>
        <v>7.3977334077317332E-6</v>
      </c>
      <c r="V37" s="1146">
        <f t="shared" si="74"/>
        <v>5.0453151522983213E-6</v>
      </c>
      <c r="W37" s="1146">
        <f t="shared" si="74"/>
        <v>0</v>
      </c>
      <c r="X37" s="1146">
        <f t="shared" si="74"/>
        <v>7.1004615490562349E-7</v>
      </c>
      <c r="Y37" s="1146">
        <f t="shared" si="75"/>
        <v>2.9113754640737919E-6</v>
      </c>
      <c r="Z37" s="1146">
        <f t="shared" si="75"/>
        <v>1.5706542558056427E-6</v>
      </c>
      <c r="AA37" s="1146">
        <f t="shared" si="75"/>
        <v>2.7567244198551327E-6</v>
      </c>
      <c r="AB37" s="1146">
        <f t="shared" si="75"/>
        <v>1.650399433609436E-6</v>
      </c>
      <c r="AC37" s="1146">
        <f t="shared" si="75"/>
        <v>3.7710574903813452E-6</v>
      </c>
      <c r="AD37" s="1146">
        <f t="shared" si="75"/>
        <v>1.5997242604600183E-6</v>
      </c>
      <c r="AE37" s="1173">
        <f t="shared" si="4"/>
        <v>1.9979645023673475E-4</v>
      </c>
      <c r="AF37" s="1153"/>
      <c r="AG37" s="58" t="s">
        <v>1107</v>
      </c>
      <c r="AH37" s="1158">
        <f>SUM(E41:AD41)</f>
        <v>5.6450248051366772E-3</v>
      </c>
      <c r="AI37" s="1140">
        <f>'SHWLP-Att'!S34</f>
        <v>5.6450248051366754E-3</v>
      </c>
      <c r="AJ37" s="1160">
        <f>(AI37-AH37)/AI37</f>
        <v>-3.0730130262639415E-16</v>
      </c>
      <c r="AL37" s="1144" t="s">
        <v>398</v>
      </c>
      <c r="AM37" s="1144" t="s">
        <v>52</v>
      </c>
      <c r="AN37" s="1135">
        <f>SUMIFS(Table915[Count of EnergyRating],Table915[MainSpaceHeatingFuel],AL37,Table915[EnergyRating (group)],AM37,Table915[CountyName (group)],AN$4)</f>
        <v>0</v>
      </c>
      <c r="AO37" s="1129">
        <f>SUMIFS(Table915[Count of EnergyRating],Table915[MainSpaceHeatingFuel],AL37,Table915[EnergyRating (group)],AM37,Table915[CountyName (group)],AO$4)</f>
        <v>0</v>
      </c>
      <c r="AP37" s="1129">
        <f>SUMIFS(Table915[Count of EnergyRating],Table915[MainSpaceHeatingFuel],AL37,Table915[EnergyRating (group)],AM37,Table915[CountyName (group)],AP$4)</f>
        <v>0</v>
      </c>
      <c r="AQ37" s="1129">
        <f>SUMIFS(Table915[Count of EnergyRating],Table915[MainSpaceHeatingFuel],AL37,Table915[EnergyRating (group)],AM37,Table915[CountyName (group)],AQ$4)</f>
        <v>0</v>
      </c>
      <c r="AR37" s="1129">
        <f>SUMIFS(Table915[Count of EnergyRating],Table915[MainSpaceHeatingFuel],AL37,Table915[EnergyRating (group)],AM37,Table915[CountyName (group)],AR$4)</f>
        <v>0</v>
      </c>
      <c r="AS37" s="1129">
        <f>SUMIFS(Table915[Count of EnergyRating],Table915[MainSpaceHeatingFuel],AL37,Table915[EnergyRating (group)],AM37,Table915[CountyName (group)],AS$4)</f>
        <v>0</v>
      </c>
      <c r="AT37" s="1129">
        <f>SUMIFS(Table915[Count of EnergyRating],Table915[MainSpaceHeatingFuel],AL37,Table915[EnergyRating (group)],AM37,Table915[CountyName (group)],AT$4)</f>
        <v>0</v>
      </c>
      <c r="AU37" s="1129">
        <f>SUMIFS(Table915[Count of EnergyRating],Table915[MainSpaceHeatingFuel],AL37,Table915[EnergyRating (group)],AM37,Table915[CountyName (group)],AU$4)</f>
        <v>0</v>
      </c>
      <c r="AV37" s="1129">
        <f>SUMIFS(Table915[Count of EnergyRating],Table915[MainSpaceHeatingFuel],AL37,Table915[EnergyRating (group)],AM37,Table915[CountyName (group)],AV$4)</f>
        <v>0</v>
      </c>
      <c r="AW37" s="1129">
        <f>SUMIFS(Table915[Count of EnergyRating],Table915[MainSpaceHeatingFuel],AL37,Table915[EnergyRating (group)],AM37,Table915[CountyName (group)],AW$4)</f>
        <v>0</v>
      </c>
      <c r="AX37" s="1129">
        <f>SUMIFS(Table915[Count of EnergyRating],Table915[MainSpaceHeatingFuel],AL37,Table915[EnergyRating (group)],AM37,Table915[CountyName (group)],AX$4)</f>
        <v>0</v>
      </c>
      <c r="AY37" s="1129">
        <f>SUMIFS(Table915[Count of EnergyRating],Table915[MainSpaceHeatingFuel],AL37,Table915[EnergyRating (group)],AM37,Table915[CountyName (group)],AY$4)</f>
        <v>0</v>
      </c>
      <c r="AZ37" s="1129">
        <f>SUMIFS(Table915[Count of EnergyRating],Table915[MainSpaceHeatingFuel],AL37,Table915[EnergyRating (group)],AM37,Table915[CountyName (group)],AZ$4)</f>
        <v>0</v>
      </c>
      <c r="BA37" s="1129">
        <f>SUMIFS(Table915[Count of EnergyRating],Table915[MainSpaceHeatingFuel],AL37,Table915[EnergyRating (group)],AM37,Table915[CountyName (group)],BA$4)</f>
        <v>0</v>
      </c>
      <c r="BB37" s="1129">
        <f>SUMIFS(Table915[Count of EnergyRating],Table915[MainSpaceHeatingFuel],AL37,Table915[EnergyRating (group)],AM37,Table915[CountyName (group)],BB$4)</f>
        <v>0</v>
      </c>
      <c r="BC37" s="1129">
        <f>SUMIFS(Table915[Count of EnergyRating],Table915[MainSpaceHeatingFuel],AL37,Table915[EnergyRating (group)],AM37,Table915[CountyName (group)],BC$4)</f>
        <v>0</v>
      </c>
      <c r="BD37" s="1129">
        <f>SUMIFS(Table915[Count of EnergyRating],Table915[MainSpaceHeatingFuel],AL37,Table915[EnergyRating (group)],AM37,Table915[CountyName (group)],BD$4)</f>
        <v>0</v>
      </c>
      <c r="BE37" s="1129">
        <f>SUMIFS(Table915[Count of EnergyRating],Table915[MainSpaceHeatingFuel],AL37,Table915[EnergyRating (group)],AM37,Table915[CountyName (group)],BE$4)</f>
        <v>0</v>
      </c>
      <c r="BF37" s="1129">
        <f>SUMIFS(Table915[Count of EnergyRating],Table915[MainSpaceHeatingFuel],AL37,Table915[EnergyRating (group)],AM37,Table915[CountyName (group)],BF$4)</f>
        <v>0</v>
      </c>
      <c r="BG37" s="1129">
        <f>SUMIFS(Table915[Count of EnergyRating],Table915[MainSpaceHeatingFuel],AL37,Table915[EnergyRating (group)],AM37,Table915[CountyName (group)],BG$4)</f>
        <v>0</v>
      </c>
      <c r="BH37" s="1129">
        <f>SUMIFS(Table915[Count of EnergyRating],Table915[MainSpaceHeatingFuel],AL37,Table915[EnergyRating (group)],AM37,Table915[CountyName (group)],BH$4)</f>
        <v>0</v>
      </c>
      <c r="BI37" s="1129">
        <f>SUMIFS(Table915[Count of EnergyRating],Table915[MainSpaceHeatingFuel],AL37,Table915[EnergyRating (group)],AM37,Table915[CountyName (group)],BI$4)</f>
        <v>0</v>
      </c>
      <c r="BJ37" s="1129">
        <f>SUMIFS(Table915[Count of EnergyRating],Table915[MainSpaceHeatingFuel],AL37,Table915[EnergyRating (group)],AM37,Table915[CountyName (group)],BJ$4)</f>
        <v>0</v>
      </c>
      <c r="BK37" s="1135">
        <f>SUMIFS(Table915[Count of EnergyRating],Table915[MainSpaceHeatingFuel],AL37,Table915[EnergyRating (group)],AM37,Table915[CountyName (group)],BK$4)</f>
        <v>0</v>
      </c>
      <c r="BL37" s="1129">
        <f>SUMIFS(Table915[Count of EnergyRating],Table915[MainSpaceHeatingFuel],AL37,Table915[EnergyRating (group)],AM37,Table915[CountyName (group)],BL$4)</f>
        <v>0</v>
      </c>
      <c r="BM37" s="1129">
        <f>SUMIFS(Table915[Count of EnergyRating],Table915[MainSpaceHeatingFuel],AL37,Table915[EnergyRating (group)],AM37,Table915[CountyName (group)],BM$4)</f>
        <v>0</v>
      </c>
      <c r="BO37"/>
    </row>
    <row r="38" spans="1:67">
      <c r="B38" s="1134" t="s">
        <v>62</v>
      </c>
      <c r="C38" s="1134" t="s">
        <v>1135</v>
      </c>
      <c r="D38" s="1134" t="s">
        <v>1094</v>
      </c>
      <c r="E38" s="1145">
        <f t="shared" si="73"/>
        <v>8.978773498562437E-7</v>
      </c>
      <c r="F38" s="1145">
        <f t="shared" si="73"/>
        <v>4.2265871190142293E-5</v>
      </c>
      <c r="G38" s="1145">
        <f t="shared" si="73"/>
        <v>2.1314178569966084E-6</v>
      </c>
      <c r="H38" s="1145">
        <f t="shared" si="73"/>
        <v>1.5193310513373464E-6</v>
      </c>
      <c r="I38" s="1145">
        <f t="shared" si="73"/>
        <v>1.5960365300433475E-6</v>
      </c>
      <c r="J38" s="1145">
        <f t="shared" si="73"/>
        <v>5.6004373289989041E-7</v>
      </c>
      <c r="K38" s="1145">
        <f t="shared" si="73"/>
        <v>1.8680644959323019E-6</v>
      </c>
      <c r="L38" s="1145">
        <f t="shared" si="73"/>
        <v>1.3982988138162779E-6</v>
      </c>
      <c r="M38" s="1145">
        <f t="shared" si="73"/>
        <v>2.3932827250715209E-6</v>
      </c>
      <c r="N38" s="1145">
        <f t="shared" si="73"/>
        <v>1.5286856100188361E-6</v>
      </c>
      <c r="O38" s="1145">
        <f t="shared" si="74"/>
        <v>2.1694560878607936E-6</v>
      </c>
      <c r="P38" s="1145">
        <f t="shared" si="74"/>
        <v>2.5213719078795657E-6</v>
      </c>
      <c r="Q38" s="1145">
        <f t="shared" si="74"/>
        <v>1.7207606709980748E-6</v>
      </c>
      <c r="R38" s="1145">
        <f t="shared" si="74"/>
        <v>9.0434900727305569E-6</v>
      </c>
      <c r="S38" s="1145">
        <f t="shared" si="74"/>
        <v>1.8946573412052208E-6</v>
      </c>
      <c r="T38" s="1145">
        <f t="shared" si="74"/>
        <v>3.3789765879924033E-6</v>
      </c>
      <c r="U38" s="1145">
        <f t="shared" si="74"/>
        <v>3.5707586212141078E-6</v>
      </c>
      <c r="V38" s="1145">
        <f t="shared" si="74"/>
        <v>2.2286316086588023E-6</v>
      </c>
      <c r="W38" s="1145">
        <f t="shared" si="74"/>
        <v>0</v>
      </c>
      <c r="X38" s="1145">
        <f t="shared" si="74"/>
        <v>5.2782192046081753E-7</v>
      </c>
      <c r="Y38" s="1145">
        <f t="shared" si="75"/>
        <v>1.5399334554253035E-6</v>
      </c>
      <c r="Z38" s="1145">
        <f t="shared" si="75"/>
        <v>8.3085333821602844E-7</v>
      </c>
      <c r="AA38" s="1145">
        <f t="shared" si="75"/>
        <v>1.1519558022522103E-6</v>
      </c>
      <c r="AB38" s="1145">
        <f t="shared" si="75"/>
        <v>7.4099566406954259E-7</v>
      </c>
      <c r="AC38" s="1145">
        <f t="shared" si="75"/>
        <v>1.7024090911753566E-6</v>
      </c>
      <c r="AD38" s="1145">
        <f t="shared" si="75"/>
        <v>7.1050423557216083E-7</v>
      </c>
      <c r="AE38" s="1172">
        <f t="shared" si="4"/>
        <v>8.9891485761825604E-5</v>
      </c>
      <c r="AF38" s="1153"/>
      <c r="AG38" s="1142"/>
      <c r="AH38" s="1142"/>
      <c r="AL38" s="1144" t="s">
        <v>398</v>
      </c>
      <c r="AM38" s="1144" t="s">
        <v>54</v>
      </c>
      <c r="AN38" s="1135">
        <f>SUMIFS(Table915[Count of EnergyRating],Table915[MainSpaceHeatingFuel],AL38,Table915[EnergyRating (group)],AM38,Table915[CountyName (group)],AN$4)</f>
        <v>0</v>
      </c>
      <c r="AO38" s="1129">
        <f>SUMIFS(Table915[Count of EnergyRating],Table915[MainSpaceHeatingFuel],AL38,Table915[EnergyRating (group)],AM38,Table915[CountyName (group)],AO$4)</f>
        <v>0</v>
      </c>
      <c r="AP38" s="1129">
        <f>SUMIFS(Table915[Count of EnergyRating],Table915[MainSpaceHeatingFuel],AL38,Table915[EnergyRating (group)],AM38,Table915[CountyName (group)],AP$4)</f>
        <v>0</v>
      </c>
      <c r="AQ38" s="1129">
        <f>SUMIFS(Table915[Count of EnergyRating],Table915[MainSpaceHeatingFuel],AL38,Table915[EnergyRating (group)],AM38,Table915[CountyName (group)],AQ$4)</f>
        <v>0</v>
      </c>
      <c r="AR38" s="1129">
        <f>SUMIFS(Table915[Count of EnergyRating],Table915[MainSpaceHeatingFuel],AL38,Table915[EnergyRating (group)],AM38,Table915[CountyName (group)],AR$4)</f>
        <v>0</v>
      </c>
      <c r="AS38" s="1129">
        <f>SUMIFS(Table915[Count of EnergyRating],Table915[MainSpaceHeatingFuel],AL38,Table915[EnergyRating (group)],AM38,Table915[CountyName (group)],AS$4)</f>
        <v>0</v>
      </c>
      <c r="AT38" s="1129">
        <f>SUMIFS(Table915[Count of EnergyRating],Table915[MainSpaceHeatingFuel],AL38,Table915[EnergyRating (group)],AM38,Table915[CountyName (group)],AT$4)</f>
        <v>0</v>
      </c>
      <c r="AU38" s="1129">
        <f>SUMIFS(Table915[Count of EnergyRating],Table915[MainSpaceHeatingFuel],AL38,Table915[EnergyRating (group)],AM38,Table915[CountyName (group)],AU$4)</f>
        <v>0</v>
      </c>
      <c r="AV38" s="1129">
        <f>SUMIFS(Table915[Count of EnergyRating],Table915[MainSpaceHeatingFuel],AL38,Table915[EnergyRating (group)],AM38,Table915[CountyName (group)],AV$4)</f>
        <v>0</v>
      </c>
      <c r="AW38" s="1129">
        <f>SUMIFS(Table915[Count of EnergyRating],Table915[MainSpaceHeatingFuel],AL38,Table915[EnergyRating (group)],AM38,Table915[CountyName (group)],AW$4)</f>
        <v>0</v>
      </c>
      <c r="AX38" s="1129">
        <f>SUMIFS(Table915[Count of EnergyRating],Table915[MainSpaceHeatingFuel],AL38,Table915[EnergyRating (group)],AM38,Table915[CountyName (group)],AX$4)</f>
        <v>0</v>
      </c>
      <c r="AY38" s="1129">
        <f>SUMIFS(Table915[Count of EnergyRating],Table915[MainSpaceHeatingFuel],AL38,Table915[EnergyRating (group)],AM38,Table915[CountyName (group)],AY$4)</f>
        <v>0</v>
      </c>
      <c r="AZ38" s="1129">
        <f>SUMIFS(Table915[Count of EnergyRating],Table915[MainSpaceHeatingFuel],AL38,Table915[EnergyRating (group)],AM38,Table915[CountyName (group)],AZ$4)</f>
        <v>0</v>
      </c>
      <c r="BA38" s="1129">
        <f>SUMIFS(Table915[Count of EnergyRating],Table915[MainSpaceHeatingFuel],AL38,Table915[EnergyRating (group)],AM38,Table915[CountyName (group)],BA$4)</f>
        <v>0</v>
      </c>
      <c r="BB38" s="1129">
        <f>SUMIFS(Table915[Count of EnergyRating],Table915[MainSpaceHeatingFuel],AL38,Table915[EnergyRating (group)],AM38,Table915[CountyName (group)],BB$4)</f>
        <v>0</v>
      </c>
      <c r="BC38" s="1129">
        <f>SUMIFS(Table915[Count of EnergyRating],Table915[MainSpaceHeatingFuel],AL38,Table915[EnergyRating (group)],AM38,Table915[CountyName (group)],BC$4)</f>
        <v>0</v>
      </c>
      <c r="BD38" s="1129">
        <f>SUMIFS(Table915[Count of EnergyRating],Table915[MainSpaceHeatingFuel],AL38,Table915[EnergyRating (group)],AM38,Table915[CountyName (group)],BD$4)</f>
        <v>0</v>
      </c>
      <c r="BE38" s="1129">
        <f>SUMIFS(Table915[Count of EnergyRating],Table915[MainSpaceHeatingFuel],AL38,Table915[EnergyRating (group)],AM38,Table915[CountyName (group)],BE$4)</f>
        <v>0</v>
      </c>
      <c r="BF38" s="1129">
        <f>SUMIFS(Table915[Count of EnergyRating],Table915[MainSpaceHeatingFuel],AL38,Table915[EnergyRating (group)],AM38,Table915[CountyName (group)],BF$4)</f>
        <v>0</v>
      </c>
      <c r="BG38" s="1129">
        <f>SUMIFS(Table915[Count of EnergyRating],Table915[MainSpaceHeatingFuel],AL38,Table915[EnergyRating (group)],AM38,Table915[CountyName (group)],BG$4)</f>
        <v>0</v>
      </c>
      <c r="BH38" s="1129">
        <f>SUMIFS(Table915[Count of EnergyRating],Table915[MainSpaceHeatingFuel],AL38,Table915[EnergyRating (group)],AM38,Table915[CountyName (group)],BH$4)</f>
        <v>0</v>
      </c>
      <c r="BI38" s="1129">
        <f>SUMIFS(Table915[Count of EnergyRating],Table915[MainSpaceHeatingFuel],AL38,Table915[EnergyRating (group)],AM38,Table915[CountyName (group)],BI$4)</f>
        <v>0</v>
      </c>
      <c r="BJ38" s="1129">
        <f>SUMIFS(Table915[Count of EnergyRating],Table915[MainSpaceHeatingFuel],AL38,Table915[EnergyRating (group)],AM38,Table915[CountyName (group)],BJ$4)</f>
        <v>0</v>
      </c>
      <c r="BK38" s="1135">
        <f>SUMIFS(Table915[Count of EnergyRating],Table915[MainSpaceHeatingFuel],AL38,Table915[EnergyRating (group)],AM38,Table915[CountyName (group)],BK$4)</f>
        <v>0</v>
      </c>
      <c r="BL38" s="1129">
        <f>SUMIFS(Table915[Count of EnergyRating],Table915[MainSpaceHeatingFuel],AL38,Table915[EnergyRating (group)],AM38,Table915[CountyName (group)],BL$4)</f>
        <v>0</v>
      </c>
      <c r="BM38" s="1129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38" t="s">
        <v>64</v>
      </c>
      <c r="C39" s="1138" t="s">
        <v>1135</v>
      </c>
      <c r="D39" s="1138" t="s">
        <v>1094</v>
      </c>
      <c r="E39" s="1147">
        <f t="shared" si="73"/>
        <v>8.4219503358608903E-7</v>
      </c>
      <c r="F39" s="1147">
        <f t="shared" si="73"/>
        <v>3.584974159472791E-5</v>
      </c>
      <c r="G39" s="1147">
        <f t="shared" si="73"/>
        <v>2.2987605813062595E-6</v>
      </c>
      <c r="H39" s="1147">
        <f t="shared" si="73"/>
        <v>1.6037383319671988E-6</v>
      </c>
      <c r="I39" s="1147">
        <f t="shared" si="73"/>
        <v>1.7815218565078446E-6</v>
      </c>
      <c r="J39" s="1147">
        <f t="shared" si="73"/>
        <v>5.1203998436561406E-7</v>
      </c>
      <c r="K39" s="1147">
        <f t="shared" si="73"/>
        <v>2.747383557825122E-6</v>
      </c>
      <c r="L39" s="1147">
        <f t="shared" si="73"/>
        <v>1.3197847092971819E-6</v>
      </c>
      <c r="M39" s="1147">
        <f t="shared" si="73"/>
        <v>2.311227317354783E-6</v>
      </c>
      <c r="N39" s="1147">
        <f t="shared" si="73"/>
        <v>2.1401598540263704E-6</v>
      </c>
      <c r="O39" s="1147">
        <f t="shared" si="74"/>
        <v>2.57447469206401E-6</v>
      </c>
      <c r="P39" s="1147">
        <f t="shared" si="74"/>
        <v>2.75853065169002E-6</v>
      </c>
      <c r="Q39" s="1147">
        <f t="shared" si="74"/>
        <v>1.693259929680754E-6</v>
      </c>
      <c r="R39" s="1147">
        <f t="shared" si="74"/>
        <v>1.0824983022526097E-5</v>
      </c>
      <c r="S39" s="1147">
        <f t="shared" si="74"/>
        <v>2.1223099674740651E-6</v>
      </c>
      <c r="T39" s="1147">
        <f t="shared" si="74"/>
        <v>3.6087311508336219E-6</v>
      </c>
      <c r="U39" s="1147">
        <f t="shared" si="74"/>
        <v>4.4451471218530979E-6</v>
      </c>
      <c r="V39" s="1147">
        <f t="shared" si="74"/>
        <v>2.5226575761491607E-6</v>
      </c>
      <c r="W39" s="1147">
        <f t="shared" si="74"/>
        <v>0</v>
      </c>
      <c r="X39" s="1147">
        <f t="shared" si="74"/>
        <v>4.995457461504165E-7</v>
      </c>
      <c r="Y39" s="1147">
        <f t="shared" si="75"/>
        <v>2.190388808098586E-6</v>
      </c>
      <c r="Z39" s="1147">
        <f t="shared" si="75"/>
        <v>8.0429638219999102E-7</v>
      </c>
      <c r="AA39" s="1147">
        <f t="shared" si="75"/>
        <v>1.3982859738029975E-6</v>
      </c>
      <c r="AB39" s="1147">
        <f t="shared" si="75"/>
        <v>1.006706230478318E-6</v>
      </c>
      <c r="AC39" s="1147">
        <f t="shared" si="75"/>
        <v>2.1491405548171168E-6</v>
      </c>
      <c r="AD39" s="1147">
        <f t="shared" si="75"/>
        <v>7.5845237416905512E-7</v>
      </c>
      <c r="AE39" s="1174">
        <f t="shared" si="4"/>
        <v>9.0763463002951691E-5</v>
      </c>
      <c r="AF39" s="1153"/>
      <c r="AG39" s="1142"/>
      <c r="AH39" s="1142"/>
      <c r="AL39" s="1144" t="s">
        <v>398</v>
      </c>
      <c r="AM39" s="1144" t="s">
        <v>56</v>
      </c>
      <c r="AN39" s="1135">
        <f>SUMIFS(Table915[Count of EnergyRating],Table915[MainSpaceHeatingFuel],AL39,Table915[EnergyRating (group)],AM39,Table915[CountyName (group)],AN$4)</f>
        <v>0</v>
      </c>
      <c r="AO39" s="1129">
        <f>SUMIFS(Table915[Count of EnergyRating],Table915[MainSpaceHeatingFuel],AL39,Table915[EnergyRating (group)],AM39,Table915[CountyName (group)],AO$4)</f>
        <v>0</v>
      </c>
      <c r="AP39" s="1129">
        <f>SUMIFS(Table915[Count of EnergyRating],Table915[MainSpaceHeatingFuel],AL39,Table915[EnergyRating (group)],AM39,Table915[CountyName (group)],AP$4)</f>
        <v>0</v>
      </c>
      <c r="AQ39" s="1129">
        <f>SUMIFS(Table915[Count of EnergyRating],Table915[MainSpaceHeatingFuel],AL39,Table915[EnergyRating (group)],AM39,Table915[CountyName (group)],AQ$4)</f>
        <v>0</v>
      </c>
      <c r="AR39" s="1129">
        <f>SUMIFS(Table915[Count of EnergyRating],Table915[MainSpaceHeatingFuel],AL39,Table915[EnergyRating (group)],AM39,Table915[CountyName (group)],AR$4)</f>
        <v>0</v>
      </c>
      <c r="AS39" s="1129">
        <f>SUMIFS(Table915[Count of EnergyRating],Table915[MainSpaceHeatingFuel],AL39,Table915[EnergyRating (group)],AM39,Table915[CountyName (group)],AS$4)</f>
        <v>0</v>
      </c>
      <c r="AT39" s="1129">
        <f>SUMIFS(Table915[Count of EnergyRating],Table915[MainSpaceHeatingFuel],AL39,Table915[EnergyRating (group)],AM39,Table915[CountyName (group)],AT$4)</f>
        <v>0</v>
      </c>
      <c r="AU39" s="1129">
        <f>SUMIFS(Table915[Count of EnergyRating],Table915[MainSpaceHeatingFuel],AL39,Table915[EnergyRating (group)],AM39,Table915[CountyName (group)],AU$4)</f>
        <v>0</v>
      </c>
      <c r="AV39" s="1129">
        <f>SUMIFS(Table915[Count of EnergyRating],Table915[MainSpaceHeatingFuel],AL39,Table915[EnergyRating (group)],AM39,Table915[CountyName (group)],AV$4)</f>
        <v>0</v>
      </c>
      <c r="AW39" s="1129">
        <f>SUMIFS(Table915[Count of EnergyRating],Table915[MainSpaceHeatingFuel],AL39,Table915[EnergyRating (group)],AM39,Table915[CountyName (group)],AW$4)</f>
        <v>0</v>
      </c>
      <c r="AX39" s="1129">
        <f>SUMIFS(Table915[Count of EnergyRating],Table915[MainSpaceHeatingFuel],AL39,Table915[EnergyRating (group)],AM39,Table915[CountyName (group)],AX$4)</f>
        <v>0</v>
      </c>
      <c r="AY39" s="1129">
        <f>SUMIFS(Table915[Count of EnergyRating],Table915[MainSpaceHeatingFuel],AL39,Table915[EnergyRating (group)],AM39,Table915[CountyName (group)],AY$4)</f>
        <v>0</v>
      </c>
      <c r="AZ39" s="1129">
        <f>SUMIFS(Table915[Count of EnergyRating],Table915[MainSpaceHeatingFuel],AL39,Table915[EnergyRating (group)],AM39,Table915[CountyName (group)],AZ$4)</f>
        <v>0</v>
      </c>
      <c r="BA39" s="1129">
        <f>SUMIFS(Table915[Count of EnergyRating],Table915[MainSpaceHeatingFuel],AL39,Table915[EnergyRating (group)],AM39,Table915[CountyName (group)],BA$4)</f>
        <v>0</v>
      </c>
      <c r="BB39" s="1129">
        <f>SUMIFS(Table915[Count of EnergyRating],Table915[MainSpaceHeatingFuel],AL39,Table915[EnergyRating (group)],AM39,Table915[CountyName (group)],BB$4)</f>
        <v>0</v>
      </c>
      <c r="BC39" s="1129">
        <f>SUMIFS(Table915[Count of EnergyRating],Table915[MainSpaceHeatingFuel],AL39,Table915[EnergyRating (group)],AM39,Table915[CountyName (group)],BC$4)</f>
        <v>0</v>
      </c>
      <c r="BD39" s="1129">
        <f>SUMIFS(Table915[Count of EnergyRating],Table915[MainSpaceHeatingFuel],AL39,Table915[EnergyRating (group)],AM39,Table915[CountyName (group)],BD$4)</f>
        <v>0</v>
      </c>
      <c r="BE39" s="1129">
        <f>SUMIFS(Table915[Count of EnergyRating],Table915[MainSpaceHeatingFuel],AL39,Table915[EnergyRating (group)],AM39,Table915[CountyName (group)],BE$4)</f>
        <v>0</v>
      </c>
      <c r="BF39" s="1129">
        <f>SUMIFS(Table915[Count of EnergyRating],Table915[MainSpaceHeatingFuel],AL39,Table915[EnergyRating (group)],AM39,Table915[CountyName (group)],BF$4)</f>
        <v>0</v>
      </c>
      <c r="BG39" s="1129">
        <f>SUMIFS(Table915[Count of EnergyRating],Table915[MainSpaceHeatingFuel],AL39,Table915[EnergyRating (group)],AM39,Table915[CountyName (group)],BG$4)</f>
        <v>0</v>
      </c>
      <c r="BH39" s="1129">
        <f>SUMIFS(Table915[Count of EnergyRating],Table915[MainSpaceHeatingFuel],AL39,Table915[EnergyRating (group)],AM39,Table915[CountyName (group)],BH$4)</f>
        <v>0</v>
      </c>
      <c r="BI39" s="1129">
        <f>SUMIFS(Table915[Count of EnergyRating],Table915[MainSpaceHeatingFuel],AL39,Table915[EnergyRating (group)],AM39,Table915[CountyName (group)],BI$4)</f>
        <v>0</v>
      </c>
      <c r="BJ39" s="1129">
        <f>SUMIFS(Table915[Count of EnergyRating],Table915[MainSpaceHeatingFuel],AL39,Table915[EnergyRating (group)],AM39,Table915[CountyName (group)],BJ$4)</f>
        <v>0</v>
      </c>
      <c r="BK39" s="1135">
        <f>SUMIFS(Table915[Count of EnergyRating],Table915[MainSpaceHeatingFuel],AL39,Table915[EnergyRating (group)],AM39,Table915[CountyName (group)],BK$4)</f>
        <v>0</v>
      </c>
      <c r="BL39" s="1129">
        <f>SUMIFS(Table915[Count of EnergyRating],Table915[MainSpaceHeatingFuel],AL39,Table915[EnergyRating (group)],AM39,Table915[CountyName (group)],BL$4)</f>
        <v>0</v>
      </c>
      <c r="BM39" s="1129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38" t="s">
        <v>1075</v>
      </c>
      <c r="C40" s="1138" t="s">
        <v>1135</v>
      </c>
      <c r="D40" s="1138" t="s">
        <v>1094</v>
      </c>
      <c r="E40" s="1147">
        <f>SUM(E34:E39)</f>
        <v>2.1730957876285096E-5</v>
      </c>
      <c r="F40" s="1147">
        <f t="shared" ref="F40" si="76">SUM(F34:F39)</f>
        <v>7.2234308526606338E-4</v>
      </c>
      <c r="G40" s="1147">
        <f t="shared" ref="G40" si="77">SUM(G34:G39)</f>
        <v>9.192371314023917E-5</v>
      </c>
      <c r="H40" s="1147">
        <f t="shared" ref="H40" si="78">SUM(H34:H39)</f>
        <v>3.0144091771199501E-5</v>
      </c>
      <c r="I40" s="1147">
        <f t="shared" ref="I40" si="79">SUM(I34:I39)</f>
        <v>2.7739354663812414E-5</v>
      </c>
      <c r="J40" s="1147">
        <f t="shared" ref="J40" si="80">SUM(J34:J39)</f>
        <v>1.1438052511118929E-5</v>
      </c>
      <c r="K40" s="1147">
        <f t="shared" ref="K40" si="81">SUM(K34:K39)</f>
        <v>5.8535359260064956E-5</v>
      </c>
      <c r="L40" s="1147">
        <f t="shared" ref="L40" si="82">SUM(L34:L39)</f>
        <v>6.5316418511504067E-5</v>
      </c>
      <c r="M40" s="1147">
        <f t="shared" ref="M40" si="83">SUM(M34:M39)</f>
        <v>2.4675587523472185E-5</v>
      </c>
      <c r="N40" s="1147">
        <f t="shared" ref="N40" si="84">SUM(N34:N39)</f>
        <v>2.9555488621131072E-5</v>
      </c>
      <c r="O40" s="1147">
        <f t="shared" ref="O40" si="85">SUM(O34:O39)</f>
        <v>4.4307216632083868E-5</v>
      </c>
      <c r="P40" s="1147">
        <f t="shared" ref="P40" si="86">SUM(P34:P39)</f>
        <v>5.5830967579172809E-5</v>
      </c>
      <c r="Q40" s="1147">
        <f t="shared" ref="Q40" si="87">SUM(Q34:Q39)</f>
        <v>3.6435251221939443E-5</v>
      </c>
      <c r="R40" s="1147">
        <f t="shared" ref="R40" si="88">SUM(R34:R39)</f>
        <v>2.2037788108860746E-4</v>
      </c>
      <c r="S40" s="1147">
        <f t="shared" ref="S40" si="89">SUM(S34:S39)</f>
        <v>3.7803374761676699E-5</v>
      </c>
      <c r="T40" s="1147">
        <f t="shared" ref="T40" si="90">SUM(T34:T39)</f>
        <v>7.6384063617198863E-5</v>
      </c>
      <c r="U40" s="1147">
        <f t="shared" ref="U40" si="91">SUM(U34:U39)</f>
        <v>5.2907501869085176E-5</v>
      </c>
      <c r="V40" s="1147">
        <f t="shared" ref="V40" si="92">SUM(V34:V39)</f>
        <v>5.2461657087651324E-5</v>
      </c>
      <c r="W40" s="1147">
        <f t="shared" ref="W40" si="93">SUM(W34:W39)</f>
        <v>0</v>
      </c>
      <c r="X40" s="1147">
        <f t="shared" ref="X40" si="94">SUM(X34:X39)</f>
        <v>6.5977740057602182E-6</v>
      </c>
      <c r="Y40" s="1147">
        <f t="shared" ref="Y40" si="95">SUM(Y34:Y39)</f>
        <v>3.0171225884327268E-5</v>
      </c>
      <c r="Z40" s="1147">
        <f t="shared" ref="Z40" si="96">SUM(Z34:Z39)</f>
        <v>1.2946692630031789E-5</v>
      </c>
      <c r="AA40" s="1147">
        <f t="shared" ref="AA40" si="97">SUM(AA34:AA39)</f>
        <v>2.1422959534925446E-5</v>
      </c>
      <c r="AB40" s="1147">
        <f t="shared" ref="AB40" si="98">SUM(AB34:AB39)</f>
        <v>1.85728072972173E-5</v>
      </c>
      <c r="AC40" s="1147">
        <f t="shared" ref="AC40" si="99">SUM(AC34:AC39)</f>
        <v>3.8273022709158309E-5</v>
      </c>
      <c r="AD40" s="1147">
        <f t="shared" ref="AD40" si="100">SUM(AD34:AD39)</f>
        <v>1.5951426676472318E-5</v>
      </c>
      <c r="AE40" s="1147">
        <f t="shared" ref="AE40" si="101">SUM(AE34:AE39)</f>
        <v>1.8038459317401992E-3</v>
      </c>
      <c r="AF40" s="1153"/>
      <c r="AG40" s="1142"/>
      <c r="AH40" s="1142"/>
      <c r="AL40" s="1144" t="s">
        <v>398</v>
      </c>
      <c r="AM40" s="1144" t="s">
        <v>58</v>
      </c>
      <c r="AN40" s="1135">
        <f>SUMIFS(Table915[Count of EnergyRating],Table915[MainSpaceHeatingFuel],AL40,Table915[EnergyRating (group)],AM40,Table915[CountyName (group)],AN$4)</f>
        <v>0</v>
      </c>
      <c r="AO40" s="1129">
        <f>SUMIFS(Table915[Count of EnergyRating],Table915[MainSpaceHeatingFuel],AL40,Table915[EnergyRating (group)],AM40,Table915[CountyName (group)],AO$4)</f>
        <v>0</v>
      </c>
      <c r="AP40" s="1129">
        <f>SUMIFS(Table915[Count of EnergyRating],Table915[MainSpaceHeatingFuel],AL40,Table915[EnergyRating (group)],AM40,Table915[CountyName (group)],AP$4)</f>
        <v>0</v>
      </c>
      <c r="AQ40" s="1129">
        <f>SUMIFS(Table915[Count of EnergyRating],Table915[MainSpaceHeatingFuel],AL40,Table915[EnergyRating (group)],AM40,Table915[CountyName (group)],AQ$4)</f>
        <v>0</v>
      </c>
      <c r="AR40" s="1129">
        <f>SUMIFS(Table915[Count of EnergyRating],Table915[MainSpaceHeatingFuel],AL40,Table915[EnergyRating (group)],AM40,Table915[CountyName (group)],AR$4)</f>
        <v>0</v>
      </c>
      <c r="AS40" s="1129">
        <f>SUMIFS(Table915[Count of EnergyRating],Table915[MainSpaceHeatingFuel],AL40,Table915[EnergyRating (group)],AM40,Table915[CountyName (group)],AS$4)</f>
        <v>0</v>
      </c>
      <c r="AT40" s="1129">
        <f>SUMIFS(Table915[Count of EnergyRating],Table915[MainSpaceHeatingFuel],AL40,Table915[EnergyRating (group)],AM40,Table915[CountyName (group)],AT$4)</f>
        <v>0</v>
      </c>
      <c r="AU40" s="1129">
        <f>SUMIFS(Table915[Count of EnergyRating],Table915[MainSpaceHeatingFuel],AL40,Table915[EnergyRating (group)],AM40,Table915[CountyName (group)],AU$4)</f>
        <v>0</v>
      </c>
      <c r="AV40" s="1129">
        <f>SUMIFS(Table915[Count of EnergyRating],Table915[MainSpaceHeatingFuel],AL40,Table915[EnergyRating (group)],AM40,Table915[CountyName (group)],AV$4)</f>
        <v>0</v>
      </c>
      <c r="AW40" s="1129">
        <f>SUMIFS(Table915[Count of EnergyRating],Table915[MainSpaceHeatingFuel],AL40,Table915[EnergyRating (group)],AM40,Table915[CountyName (group)],AW$4)</f>
        <v>0</v>
      </c>
      <c r="AX40" s="1129">
        <f>SUMIFS(Table915[Count of EnergyRating],Table915[MainSpaceHeatingFuel],AL40,Table915[EnergyRating (group)],AM40,Table915[CountyName (group)],AX$4)</f>
        <v>0</v>
      </c>
      <c r="AY40" s="1129">
        <f>SUMIFS(Table915[Count of EnergyRating],Table915[MainSpaceHeatingFuel],AL40,Table915[EnergyRating (group)],AM40,Table915[CountyName (group)],AY$4)</f>
        <v>0</v>
      </c>
      <c r="AZ40" s="1129">
        <f>SUMIFS(Table915[Count of EnergyRating],Table915[MainSpaceHeatingFuel],AL40,Table915[EnergyRating (group)],AM40,Table915[CountyName (group)],AZ$4)</f>
        <v>0</v>
      </c>
      <c r="BA40" s="1129">
        <f>SUMIFS(Table915[Count of EnergyRating],Table915[MainSpaceHeatingFuel],AL40,Table915[EnergyRating (group)],AM40,Table915[CountyName (group)],BA$4)</f>
        <v>0</v>
      </c>
      <c r="BB40" s="1129">
        <f>SUMIFS(Table915[Count of EnergyRating],Table915[MainSpaceHeatingFuel],AL40,Table915[EnergyRating (group)],AM40,Table915[CountyName (group)],BB$4)</f>
        <v>0</v>
      </c>
      <c r="BC40" s="1129">
        <f>SUMIFS(Table915[Count of EnergyRating],Table915[MainSpaceHeatingFuel],AL40,Table915[EnergyRating (group)],AM40,Table915[CountyName (group)],BC$4)</f>
        <v>0</v>
      </c>
      <c r="BD40" s="1129">
        <f>SUMIFS(Table915[Count of EnergyRating],Table915[MainSpaceHeatingFuel],AL40,Table915[EnergyRating (group)],AM40,Table915[CountyName (group)],BD$4)</f>
        <v>0</v>
      </c>
      <c r="BE40" s="1129">
        <f>SUMIFS(Table915[Count of EnergyRating],Table915[MainSpaceHeatingFuel],AL40,Table915[EnergyRating (group)],AM40,Table915[CountyName (group)],BE$4)</f>
        <v>0</v>
      </c>
      <c r="BF40" s="1129">
        <f>SUMIFS(Table915[Count of EnergyRating],Table915[MainSpaceHeatingFuel],AL40,Table915[EnergyRating (group)],AM40,Table915[CountyName (group)],BF$4)</f>
        <v>0</v>
      </c>
      <c r="BG40" s="1129">
        <f>SUMIFS(Table915[Count of EnergyRating],Table915[MainSpaceHeatingFuel],AL40,Table915[EnergyRating (group)],AM40,Table915[CountyName (group)],BG$4)</f>
        <v>0</v>
      </c>
      <c r="BH40" s="1129">
        <f>SUMIFS(Table915[Count of EnergyRating],Table915[MainSpaceHeatingFuel],AL40,Table915[EnergyRating (group)],AM40,Table915[CountyName (group)],BH$4)</f>
        <v>0</v>
      </c>
      <c r="BI40" s="1129">
        <f>SUMIFS(Table915[Count of EnergyRating],Table915[MainSpaceHeatingFuel],AL40,Table915[EnergyRating (group)],AM40,Table915[CountyName (group)],BI$4)</f>
        <v>0</v>
      </c>
      <c r="BJ40" s="1129">
        <f>SUMIFS(Table915[Count of EnergyRating],Table915[MainSpaceHeatingFuel],AL40,Table915[EnergyRating (group)],AM40,Table915[CountyName (group)],BJ$4)</f>
        <v>0</v>
      </c>
      <c r="BK40" s="1135">
        <f>SUMIFS(Table915[Count of EnergyRating],Table915[MainSpaceHeatingFuel],AL40,Table915[EnergyRating (group)],AM40,Table915[CountyName (group)],BK$4)</f>
        <v>0</v>
      </c>
      <c r="BL40" s="1129">
        <f>SUMIFS(Table915[Count of EnergyRating],Table915[MainSpaceHeatingFuel],AL40,Table915[EnergyRating (group)],AM40,Table915[CountyName (group)],BL$4)</f>
        <v>0</v>
      </c>
      <c r="BM40" s="1129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65"/>
      <c r="C41" s="1165" t="s">
        <v>1136</v>
      </c>
      <c r="D41" s="1165" t="s">
        <v>1094</v>
      </c>
      <c r="E41" s="1166">
        <f t="shared" ref="E41:AD41" si="102">G198</f>
        <v>6.5588184080313543E-5</v>
      </c>
      <c r="F41" s="1166">
        <f t="shared" si="102"/>
        <v>2.1801694851783181E-3</v>
      </c>
      <c r="G41" s="1166">
        <f t="shared" si="102"/>
        <v>2.7744333467083314E-4</v>
      </c>
      <c r="H41" s="1166">
        <f t="shared" si="102"/>
        <v>9.0980630089062699E-5</v>
      </c>
      <c r="I41" s="1166">
        <f t="shared" si="102"/>
        <v>8.3722673906828015E-5</v>
      </c>
      <c r="J41" s="1166">
        <f t="shared" si="102"/>
        <v>3.4522228513371344E-5</v>
      </c>
      <c r="K41" s="1166">
        <f t="shared" si="102"/>
        <v>1.7667090149515037E-4</v>
      </c>
      <c r="L41" s="1166">
        <f t="shared" si="102"/>
        <v>1.9713743430861019E-4</v>
      </c>
      <c r="M41" s="1166">
        <f t="shared" si="102"/>
        <v>7.4475639131653954E-5</v>
      </c>
      <c r="N41" s="1166">
        <f t="shared" si="102"/>
        <v>8.9204113288619651E-5</v>
      </c>
      <c r="O41" s="1166">
        <f t="shared" si="102"/>
        <v>1.3372764776847619E-4</v>
      </c>
      <c r="P41" s="1166">
        <f t="shared" si="102"/>
        <v>1.6850853054024682E-4</v>
      </c>
      <c r="Q41" s="1166">
        <f t="shared" si="102"/>
        <v>1.0996855167461013E-4</v>
      </c>
      <c r="R41" s="1166">
        <f t="shared" si="102"/>
        <v>6.6514256363465812E-4</v>
      </c>
      <c r="S41" s="1166">
        <f t="shared" si="102"/>
        <v>1.1409780999261652E-4</v>
      </c>
      <c r="T41" s="1166">
        <f t="shared" si="102"/>
        <v>2.3054170248033531E-4</v>
      </c>
      <c r="U41" s="1166">
        <f t="shared" si="102"/>
        <v>1.5968495229591354E-4</v>
      </c>
      <c r="V41" s="1166">
        <f t="shared" si="102"/>
        <v>1.5833930753591692E-4</v>
      </c>
      <c r="W41" s="1166">
        <f t="shared" si="102"/>
        <v>2.0067303302205851E-4</v>
      </c>
      <c r="X41" s="1166">
        <f t="shared" si="102"/>
        <v>1.991334291261739E-5</v>
      </c>
      <c r="Y41" s="1166">
        <f t="shared" si="102"/>
        <v>9.1062526028340288E-5</v>
      </c>
      <c r="Z41" s="1166">
        <f t="shared" si="102"/>
        <v>3.9075592722787316E-5</v>
      </c>
      <c r="AA41" s="1166">
        <f t="shared" si="102"/>
        <v>6.4658586221602812E-5</v>
      </c>
      <c r="AB41" s="1166">
        <f t="shared" si="102"/>
        <v>5.6056282048544595E-5</v>
      </c>
      <c r="AC41" s="1166">
        <f t="shared" si="102"/>
        <v>1.1551529725699435E-4</v>
      </c>
      <c r="AD41" s="1166">
        <f t="shared" si="102"/>
        <v>4.8144454338197007E-5</v>
      </c>
      <c r="AE41" s="1175">
        <f t="shared" si="4"/>
        <v>5.6450248051366772E-3</v>
      </c>
      <c r="AF41" s="1153"/>
      <c r="AG41" s="1142"/>
      <c r="AH41" s="1142"/>
      <c r="AL41" s="1144" t="s">
        <v>398</v>
      </c>
      <c r="AM41" s="1144" t="s">
        <v>60</v>
      </c>
      <c r="AN41" s="1135">
        <f>SUMIFS(Table915[Count of EnergyRating],Table915[MainSpaceHeatingFuel],AL41,Table915[EnergyRating (group)],AM41,Table915[CountyName (group)],AN$4)</f>
        <v>0</v>
      </c>
      <c r="AO41" s="1129">
        <f>SUMIFS(Table915[Count of EnergyRating],Table915[MainSpaceHeatingFuel],AL41,Table915[EnergyRating (group)],AM41,Table915[CountyName (group)],AO$4)</f>
        <v>0</v>
      </c>
      <c r="AP41" s="1129">
        <f>SUMIFS(Table915[Count of EnergyRating],Table915[MainSpaceHeatingFuel],AL41,Table915[EnergyRating (group)],AM41,Table915[CountyName (group)],AP$4)</f>
        <v>0</v>
      </c>
      <c r="AQ41" s="1129">
        <f>SUMIFS(Table915[Count of EnergyRating],Table915[MainSpaceHeatingFuel],AL41,Table915[EnergyRating (group)],AM41,Table915[CountyName (group)],AQ$4)</f>
        <v>0</v>
      </c>
      <c r="AR41" s="1129">
        <f>SUMIFS(Table915[Count of EnergyRating],Table915[MainSpaceHeatingFuel],AL41,Table915[EnergyRating (group)],AM41,Table915[CountyName (group)],AR$4)</f>
        <v>0</v>
      </c>
      <c r="AS41" s="1129">
        <f>SUMIFS(Table915[Count of EnergyRating],Table915[MainSpaceHeatingFuel],AL41,Table915[EnergyRating (group)],AM41,Table915[CountyName (group)],AS$4)</f>
        <v>0</v>
      </c>
      <c r="AT41" s="1129">
        <f>SUMIFS(Table915[Count of EnergyRating],Table915[MainSpaceHeatingFuel],AL41,Table915[EnergyRating (group)],AM41,Table915[CountyName (group)],AT$4)</f>
        <v>0</v>
      </c>
      <c r="AU41" s="1129">
        <f>SUMIFS(Table915[Count of EnergyRating],Table915[MainSpaceHeatingFuel],AL41,Table915[EnergyRating (group)],AM41,Table915[CountyName (group)],AU$4)</f>
        <v>0</v>
      </c>
      <c r="AV41" s="1129">
        <f>SUMIFS(Table915[Count of EnergyRating],Table915[MainSpaceHeatingFuel],AL41,Table915[EnergyRating (group)],AM41,Table915[CountyName (group)],AV$4)</f>
        <v>0</v>
      </c>
      <c r="AW41" s="1129">
        <f>SUMIFS(Table915[Count of EnergyRating],Table915[MainSpaceHeatingFuel],AL41,Table915[EnergyRating (group)],AM41,Table915[CountyName (group)],AW$4)</f>
        <v>0</v>
      </c>
      <c r="AX41" s="1129">
        <f>SUMIFS(Table915[Count of EnergyRating],Table915[MainSpaceHeatingFuel],AL41,Table915[EnergyRating (group)],AM41,Table915[CountyName (group)],AX$4)</f>
        <v>0</v>
      </c>
      <c r="AY41" s="1129">
        <f>SUMIFS(Table915[Count of EnergyRating],Table915[MainSpaceHeatingFuel],AL41,Table915[EnergyRating (group)],AM41,Table915[CountyName (group)],AY$4)</f>
        <v>0</v>
      </c>
      <c r="AZ41" s="1129">
        <f>SUMIFS(Table915[Count of EnergyRating],Table915[MainSpaceHeatingFuel],AL41,Table915[EnergyRating (group)],AM41,Table915[CountyName (group)],AZ$4)</f>
        <v>0</v>
      </c>
      <c r="BA41" s="1129">
        <f>SUMIFS(Table915[Count of EnergyRating],Table915[MainSpaceHeatingFuel],AL41,Table915[EnergyRating (group)],AM41,Table915[CountyName (group)],BA$4)</f>
        <v>0</v>
      </c>
      <c r="BB41" s="1129">
        <f>SUMIFS(Table915[Count of EnergyRating],Table915[MainSpaceHeatingFuel],AL41,Table915[EnergyRating (group)],AM41,Table915[CountyName (group)],BB$4)</f>
        <v>0</v>
      </c>
      <c r="BC41" s="1129">
        <f>SUMIFS(Table915[Count of EnergyRating],Table915[MainSpaceHeatingFuel],AL41,Table915[EnergyRating (group)],AM41,Table915[CountyName (group)],BC$4)</f>
        <v>0</v>
      </c>
      <c r="BD41" s="1129">
        <f>SUMIFS(Table915[Count of EnergyRating],Table915[MainSpaceHeatingFuel],AL41,Table915[EnergyRating (group)],AM41,Table915[CountyName (group)],BD$4)</f>
        <v>0</v>
      </c>
      <c r="BE41" s="1129">
        <f>SUMIFS(Table915[Count of EnergyRating],Table915[MainSpaceHeatingFuel],AL41,Table915[EnergyRating (group)],AM41,Table915[CountyName (group)],BE$4)</f>
        <v>0</v>
      </c>
      <c r="BF41" s="1129">
        <f>SUMIFS(Table915[Count of EnergyRating],Table915[MainSpaceHeatingFuel],AL41,Table915[EnergyRating (group)],AM41,Table915[CountyName (group)],BF$4)</f>
        <v>0</v>
      </c>
      <c r="BG41" s="1129">
        <f>SUMIFS(Table915[Count of EnergyRating],Table915[MainSpaceHeatingFuel],AL41,Table915[EnergyRating (group)],AM41,Table915[CountyName (group)],BG$4)</f>
        <v>0</v>
      </c>
      <c r="BH41" s="1129">
        <f>SUMIFS(Table915[Count of EnergyRating],Table915[MainSpaceHeatingFuel],AL41,Table915[EnergyRating (group)],AM41,Table915[CountyName (group)],BH$4)</f>
        <v>0</v>
      </c>
      <c r="BI41" s="1129">
        <f>SUMIFS(Table915[Count of EnergyRating],Table915[MainSpaceHeatingFuel],AL41,Table915[EnergyRating (group)],AM41,Table915[CountyName (group)],BI$4)</f>
        <v>0</v>
      </c>
      <c r="BJ41" s="1129">
        <f>SUMIFS(Table915[Count of EnergyRating],Table915[MainSpaceHeatingFuel],AL41,Table915[EnergyRating (group)],AM41,Table915[CountyName (group)],BJ$4)</f>
        <v>0</v>
      </c>
      <c r="BK41" s="1135">
        <f>SUMIFS(Table915[Count of EnergyRating],Table915[MainSpaceHeatingFuel],AL41,Table915[EnergyRating (group)],AM41,Table915[CountyName (group)],BK$4)</f>
        <v>0</v>
      </c>
      <c r="BL41" s="1129">
        <f>SUMIFS(Table915[Count of EnergyRating],Table915[MainSpaceHeatingFuel],AL41,Table915[EnergyRating (group)],AM41,Table915[CountyName (group)],BL$4)</f>
        <v>0</v>
      </c>
      <c r="BM41" s="1129">
        <f>SUMIFS(Table915[Count of EnergyRating],Table915[MainSpaceHeatingFuel],AL41,Table915[EnergyRating (group)],AM41,Table915[CountyName (group)],BM$4)</f>
        <v>0</v>
      </c>
      <c r="BO41"/>
    </row>
    <row r="42" spans="1:67" s="1128" customFormat="1" ht="15">
      <c r="B42" s="1137"/>
      <c r="C42" s="1137" t="s">
        <v>1123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F42" s="1153"/>
      <c r="AG42" s="1142"/>
      <c r="AH42" s="1142"/>
      <c r="AI42" s="1142"/>
      <c r="AJ42" s="1142"/>
      <c r="AK42" s="1142"/>
      <c r="AL42" s="1144" t="s">
        <v>398</v>
      </c>
      <c r="AM42" s="1144" t="s">
        <v>62</v>
      </c>
      <c r="AN42" s="1135">
        <f>SUMIFS(Table915[Count of EnergyRating],Table915[MainSpaceHeatingFuel],AL42,Table915[EnergyRating (group)],AM42,Table915[CountyName (group)],AN$4)</f>
        <v>0</v>
      </c>
      <c r="AO42" s="1129">
        <f>SUMIFS(Table915[Count of EnergyRating],Table915[MainSpaceHeatingFuel],AL42,Table915[EnergyRating (group)],AM42,Table915[CountyName (group)],AO$4)</f>
        <v>0</v>
      </c>
      <c r="AP42" s="1129">
        <f>SUMIFS(Table915[Count of EnergyRating],Table915[MainSpaceHeatingFuel],AL42,Table915[EnergyRating (group)],AM42,Table915[CountyName (group)],AP$4)</f>
        <v>0</v>
      </c>
      <c r="AQ42" s="1129">
        <f>SUMIFS(Table915[Count of EnergyRating],Table915[MainSpaceHeatingFuel],AL42,Table915[EnergyRating (group)],AM42,Table915[CountyName (group)],AQ$4)</f>
        <v>0</v>
      </c>
      <c r="AR42" s="1129">
        <f>SUMIFS(Table915[Count of EnergyRating],Table915[MainSpaceHeatingFuel],AL42,Table915[EnergyRating (group)],AM42,Table915[CountyName (group)],AR$4)</f>
        <v>0</v>
      </c>
      <c r="AS42" s="1129">
        <f>SUMIFS(Table915[Count of EnergyRating],Table915[MainSpaceHeatingFuel],AL42,Table915[EnergyRating (group)],AM42,Table915[CountyName (group)],AS$4)</f>
        <v>0</v>
      </c>
      <c r="AT42" s="1129">
        <f>SUMIFS(Table915[Count of EnergyRating],Table915[MainSpaceHeatingFuel],AL42,Table915[EnergyRating (group)],AM42,Table915[CountyName (group)],AT$4)</f>
        <v>0</v>
      </c>
      <c r="AU42" s="1129">
        <f>SUMIFS(Table915[Count of EnergyRating],Table915[MainSpaceHeatingFuel],AL42,Table915[EnergyRating (group)],AM42,Table915[CountyName (group)],AU$4)</f>
        <v>0</v>
      </c>
      <c r="AV42" s="1129">
        <f>SUMIFS(Table915[Count of EnergyRating],Table915[MainSpaceHeatingFuel],AL42,Table915[EnergyRating (group)],AM42,Table915[CountyName (group)],AV$4)</f>
        <v>0</v>
      </c>
      <c r="AW42" s="1129">
        <f>SUMIFS(Table915[Count of EnergyRating],Table915[MainSpaceHeatingFuel],AL42,Table915[EnergyRating (group)],AM42,Table915[CountyName (group)],AW$4)</f>
        <v>0</v>
      </c>
      <c r="AX42" s="1129">
        <f>SUMIFS(Table915[Count of EnergyRating],Table915[MainSpaceHeatingFuel],AL42,Table915[EnergyRating (group)],AM42,Table915[CountyName (group)],AX$4)</f>
        <v>0</v>
      </c>
      <c r="AY42" s="1129">
        <f>SUMIFS(Table915[Count of EnergyRating],Table915[MainSpaceHeatingFuel],AL42,Table915[EnergyRating (group)],AM42,Table915[CountyName (group)],AY$4)</f>
        <v>0</v>
      </c>
      <c r="AZ42" s="1129">
        <f>SUMIFS(Table915[Count of EnergyRating],Table915[MainSpaceHeatingFuel],AL42,Table915[EnergyRating (group)],AM42,Table915[CountyName (group)],AZ$4)</f>
        <v>0</v>
      </c>
      <c r="BA42" s="1129">
        <f>SUMIFS(Table915[Count of EnergyRating],Table915[MainSpaceHeatingFuel],AL42,Table915[EnergyRating (group)],AM42,Table915[CountyName (group)],BA$4)</f>
        <v>0</v>
      </c>
      <c r="BB42" s="1129">
        <f>SUMIFS(Table915[Count of EnergyRating],Table915[MainSpaceHeatingFuel],AL42,Table915[EnergyRating (group)],AM42,Table915[CountyName (group)],BB$4)</f>
        <v>0</v>
      </c>
      <c r="BC42" s="1129">
        <f>SUMIFS(Table915[Count of EnergyRating],Table915[MainSpaceHeatingFuel],AL42,Table915[EnergyRating (group)],AM42,Table915[CountyName (group)],BC$4)</f>
        <v>0</v>
      </c>
      <c r="BD42" s="1129">
        <f>SUMIFS(Table915[Count of EnergyRating],Table915[MainSpaceHeatingFuel],AL42,Table915[EnergyRating (group)],AM42,Table915[CountyName (group)],BD$4)</f>
        <v>0</v>
      </c>
      <c r="BE42" s="1129">
        <f>SUMIFS(Table915[Count of EnergyRating],Table915[MainSpaceHeatingFuel],AL42,Table915[EnergyRating (group)],AM42,Table915[CountyName (group)],BE$4)</f>
        <v>0</v>
      </c>
      <c r="BF42" s="1129">
        <f>SUMIFS(Table915[Count of EnergyRating],Table915[MainSpaceHeatingFuel],AL42,Table915[EnergyRating (group)],AM42,Table915[CountyName (group)],BF$4)</f>
        <v>1</v>
      </c>
      <c r="BG42" s="1129">
        <f>SUMIFS(Table915[Count of EnergyRating],Table915[MainSpaceHeatingFuel],AL42,Table915[EnergyRating (group)],AM42,Table915[CountyName (group)],BG$4)</f>
        <v>0</v>
      </c>
      <c r="BH42" s="1129">
        <f>SUMIFS(Table915[Count of EnergyRating],Table915[MainSpaceHeatingFuel],AL42,Table915[EnergyRating (group)],AM42,Table915[CountyName (group)],BH$4)</f>
        <v>0</v>
      </c>
      <c r="BI42" s="1129">
        <f>SUMIFS(Table915[Count of EnergyRating],Table915[MainSpaceHeatingFuel],AL42,Table915[EnergyRating (group)],AM42,Table915[CountyName (group)],BI$4)</f>
        <v>0</v>
      </c>
      <c r="BJ42" s="1129">
        <f>SUMIFS(Table915[Count of EnergyRating],Table915[MainSpaceHeatingFuel],AL42,Table915[EnergyRating (group)],AM42,Table915[CountyName (group)],BJ$4)</f>
        <v>0</v>
      </c>
      <c r="BK42" s="1135">
        <f>SUMIFS(Table915[Count of EnergyRating],Table915[MainSpaceHeatingFuel],AL42,Table915[EnergyRating (group)],AM42,Table915[CountyName (group)],BK$4)</f>
        <v>0</v>
      </c>
      <c r="BL42" s="1129">
        <f>SUMIFS(Table915[Count of EnergyRating],Table915[MainSpaceHeatingFuel],AL42,Table915[EnergyRating (group)],AM42,Table915[CountyName (group)],BL$4)</f>
        <v>0</v>
      </c>
      <c r="BM42" s="1129">
        <f>SUMIFS(Table915[Count of EnergyRating],Table915[MainSpaceHeatingFuel],AL42,Table915[EnergyRating (group)],AM42,Table915[CountyName (group)],BM$4)</f>
        <v>0</v>
      </c>
    </row>
    <row r="43" spans="1:67" ht="15">
      <c r="B43" s="1134" t="s">
        <v>1259</v>
      </c>
      <c r="C43" s="1134" t="s">
        <v>1137</v>
      </c>
      <c r="D43" s="1134" t="s">
        <v>1094</v>
      </c>
      <c r="E43" s="1145">
        <f t="shared" ref="E43:AD43" si="103">IFERROR(G200*((SUM(AN$45:AN$48)/SUM(AN$45:AN$53))/(SUM(G$200)/SUM(G$200:G$205))),0)</f>
        <v>0</v>
      </c>
      <c r="F43" s="1145">
        <f t="shared" si="103"/>
        <v>0</v>
      </c>
      <c r="G43" s="1145">
        <f t="shared" si="103"/>
        <v>0</v>
      </c>
      <c r="H43" s="1145">
        <f t="shared" si="103"/>
        <v>0</v>
      </c>
      <c r="I43" s="1145">
        <f t="shared" si="103"/>
        <v>0</v>
      </c>
      <c r="J43" s="1145">
        <f t="shared" si="103"/>
        <v>0</v>
      </c>
      <c r="K43" s="1145">
        <f t="shared" si="103"/>
        <v>0</v>
      </c>
      <c r="L43" s="1145">
        <f t="shared" si="103"/>
        <v>0</v>
      </c>
      <c r="M43" s="1145">
        <f t="shared" si="103"/>
        <v>0</v>
      </c>
      <c r="N43" s="1145">
        <f t="shared" si="103"/>
        <v>0</v>
      </c>
      <c r="O43" s="1145">
        <f t="shared" si="103"/>
        <v>0</v>
      </c>
      <c r="P43" s="1145">
        <f t="shared" si="103"/>
        <v>0</v>
      </c>
      <c r="Q43" s="1145">
        <f t="shared" si="103"/>
        <v>0</v>
      </c>
      <c r="R43" s="1145">
        <f t="shared" si="103"/>
        <v>0</v>
      </c>
      <c r="S43" s="1145">
        <f t="shared" si="103"/>
        <v>0</v>
      </c>
      <c r="T43" s="1145">
        <f t="shared" si="103"/>
        <v>0</v>
      </c>
      <c r="U43" s="1145">
        <f t="shared" si="103"/>
        <v>0</v>
      </c>
      <c r="V43" s="1145">
        <f t="shared" si="103"/>
        <v>0</v>
      </c>
      <c r="W43" s="1145">
        <f t="shared" si="103"/>
        <v>0</v>
      </c>
      <c r="X43" s="1145">
        <f t="shared" si="103"/>
        <v>0</v>
      </c>
      <c r="Y43" s="1145">
        <f t="shared" si="103"/>
        <v>0</v>
      </c>
      <c r="Z43" s="1145">
        <f t="shared" si="103"/>
        <v>0</v>
      </c>
      <c r="AA43" s="1145">
        <f t="shared" si="103"/>
        <v>0</v>
      </c>
      <c r="AB43" s="1145">
        <f t="shared" si="103"/>
        <v>0</v>
      </c>
      <c r="AC43" s="1145">
        <f t="shared" si="103"/>
        <v>0</v>
      </c>
      <c r="AD43" s="1145">
        <f t="shared" si="103"/>
        <v>0</v>
      </c>
      <c r="AE43" s="1172">
        <f t="shared" si="4"/>
        <v>0</v>
      </c>
      <c r="AF43" s="1153"/>
      <c r="AG43" s="1142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SUMIFS(Table915[Count of EnergyRating],Table915[MainSpaceHeatingFuel],AL43,Table915[EnergyRating (group)],AM43,Table915[CountyName (group)],AN$4)</f>
        <v>0</v>
      </c>
      <c r="AO43" s="1129">
        <f>SUMIFS(Table915[Count of EnergyRating],Table915[MainSpaceHeatingFuel],AL43,Table915[EnergyRating (group)],AM43,Table915[CountyName (group)],AO$4)</f>
        <v>0</v>
      </c>
      <c r="AP43" s="1129">
        <f>SUMIFS(Table915[Count of EnergyRating],Table915[MainSpaceHeatingFuel],AL43,Table915[EnergyRating (group)],AM43,Table915[CountyName (group)],AP$4)</f>
        <v>0</v>
      </c>
      <c r="AQ43" s="1129">
        <f>SUMIFS(Table915[Count of EnergyRating],Table915[MainSpaceHeatingFuel],AL43,Table915[EnergyRating (group)],AM43,Table915[CountyName (group)],AQ$4)</f>
        <v>0</v>
      </c>
      <c r="AR43" s="1129">
        <f>SUMIFS(Table915[Count of EnergyRating],Table915[MainSpaceHeatingFuel],AL43,Table915[EnergyRating (group)],AM43,Table915[CountyName (group)],AR$4)</f>
        <v>0</v>
      </c>
      <c r="AS43" s="1129">
        <f>SUMIFS(Table915[Count of EnergyRating],Table915[MainSpaceHeatingFuel],AL43,Table915[EnergyRating (group)],AM43,Table915[CountyName (group)],AS$4)</f>
        <v>0</v>
      </c>
      <c r="AT43" s="1129">
        <f>SUMIFS(Table915[Count of EnergyRating],Table915[MainSpaceHeatingFuel],AL43,Table915[EnergyRating (group)],AM43,Table915[CountyName (group)],AT$4)</f>
        <v>0</v>
      </c>
      <c r="AU43" s="1129">
        <f>SUMIFS(Table915[Count of EnergyRating],Table915[MainSpaceHeatingFuel],AL43,Table915[EnergyRating (group)],AM43,Table915[CountyName (group)],AU$4)</f>
        <v>0</v>
      </c>
      <c r="AV43" s="1129">
        <f>SUMIFS(Table915[Count of EnergyRating],Table915[MainSpaceHeatingFuel],AL43,Table915[EnergyRating (group)],AM43,Table915[CountyName (group)],AV$4)</f>
        <v>0</v>
      </c>
      <c r="AW43" s="1129">
        <f>SUMIFS(Table915[Count of EnergyRating],Table915[MainSpaceHeatingFuel],AL43,Table915[EnergyRating (group)],AM43,Table915[CountyName (group)],AW$4)</f>
        <v>0</v>
      </c>
      <c r="AX43" s="1129">
        <f>SUMIFS(Table915[Count of EnergyRating],Table915[MainSpaceHeatingFuel],AL43,Table915[EnergyRating (group)],AM43,Table915[CountyName (group)],AX$4)</f>
        <v>0</v>
      </c>
      <c r="AY43" s="1129">
        <f>SUMIFS(Table915[Count of EnergyRating],Table915[MainSpaceHeatingFuel],AL43,Table915[EnergyRating (group)],AM43,Table915[CountyName (group)],AY$4)</f>
        <v>0</v>
      </c>
      <c r="AZ43" s="1129">
        <f>SUMIFS(Table915[Count of EnergyRating],Table915[MainSpaceHeatingFuel],AL43,Table915[EnergyRating (group)],AM43,Table915[CountyName (group)],AZ$4)</f>
        <v>0</v>
      </c>
      <c r="BA43" s="1129">
        <f>SUMIFS(Table915[Count of EnergyRating],Table915[MainSpaceHeatingFuel],AL43,Table915[EnergyRating (group)],AM43,Table915[CountyName (group)],BA$4)</f>
        <v>0</v>
      </c>
      <c r="BB43" s="1129">
        <f>SUMIFS(Table915[Count of EnergyRating],Table915[MainSpaceHeatingFuel],AL43,Table915[EnergyRating (group)],AM43,Table915[CountyName (group)],BB$4)</f>
        <v>0</v>
      </c>
      <c r="BC43" s="1129">
        <f>SUMIFS(Table915[Count of EnergyRating],Table915[MainSpaceHeatingFuel],AL43,Table915[EnergyRating (group)],AM43,Table915[CountyName (group)],BC$4)</f>
        <v>0</v>
      </c>
      <c r="BD43" s="1129">
        <f>SUMIFS(Table915[Count of EnergyRating],Table915[MainSpaceHeatingFuel],AL43,Table915[EnergyRating (group)],AM43,Table915[CountyName (group)],BD$4)</f>
        <v>0</v>
      </c>
      <c r="BE43" s="1129">
        <f>SUMIFS(Table915[Count of EnergyRating],Table915[MainSpaceHeatingFuel],AL43,Table915[EnergyRating (group)],AM43,Table915[CountyName (group)],BE$4)</f>
        <v>0</v>
      </c>
      <c r="BF43" s="1129">
        <f>SUMIFS(Table915[Count of EnergyRating],Table915[MainSpaceHeatingFuel],AL43,Table915[EnergyRating (group)],AM43,Table915[CountyName (group)],BF$4)</f>
        <v>0</v>
      </c>
      <c r="BG43" s="1129">
        <f>SUMIFS(Table915[Count of EnergyRating],Table915[MainSpaceHeatingFuel],AL43,Table915[EnergyRating (group)],AM43,Table915[CountyName (group)],BG$4)</f>
        <v>0</v>
      </c>
      <c r="BH43" s="1129">
        <f>SUMIFS(Table915[Count of EnergyRating],Table915[MainSpaceHeatingFuel],AL43,Table915[EnergyRating (group)],AM43,Table915[CountyName (group)],BH$4)</f>
        <v>0</v>
      </c>
      <c r="BI43" s="1129">
        <f>SUMIFS(Table915[Count of EnergyRating],Table915[MainSpaceHeatingFuel],AL43,Table915[EnergyRating (group)],AM43,Table915[CountyName (group)],BI$4)</f>
        <v>0</v>
      </c>
      <c r="BJ43" s="1129">
        <f>SUMIFS(Table915[Count of EnergyRating],Table915[MainSpaceHeatingFuel],AL43,Table915[EnergyRating (group)],AM43,Table915[CountyName (group)],BJ$4)</f>
        <v>0</v>
      </c>
      <c r="BK43" s="1135">
        <f>SUMIFS(Table915[Count of EnergyRating],Table915[MainSpaceHeatingFuel],AL43,Table915[EnergyRating (group)],AM43,Table915[CountyName (group)],BK$4)</f>
        <v>0</v>
      </c>
      <c r="BL43" s="1129">
        <f>SUMIFS(Table915[Count of EnergyRating],Table915[MainSpaceHeatingFuel],AL43,Table915[EnergyRating (group)],AM43,Table915[CountyName (group)],BL$4)</f>
        <v>0</v>
      </c>
      <c r="BM43" s="1129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36" t="s">
        <v>56</v>
      </c>
      <c r="C44" s="1136" t="s">
        <v>1137</v>
      </c>
      <c r="D44" s="1136" t="s">
        <v>1094</v>
      </c>
      <c r="E44" s="1146">
        <f t="shared" ref="E44:AD44" si="104">IFERROR(G201*((SUM(AN$49)/SUM(AN$45:AN$53))/(SUM(G201)/SUM(G$200:G$205))),0)</f>
        <v>0</v>
      </c>
      <c r="F44" s="1146">
        <f t="shared" si="104"/>
        <v>0</v>
      </c>
      <c r="G44" s="1146">
        <f t="shared" si="104"/>
        <v>0</v>
      </c>
      <c r="H44" s="1146">
        <f t="shared" si="104"/>
        <v>0</v>
      </c>
      <c r="I44" s="1146">
        <f t="shared" si="104"/>
        <v>0</v>
      </c>
      <c r="J44" s="1146">
        <f t="shared" si="104"/>
        <v>0</v>
      </c>
      <c r="K44" s="1146">
        <f t="shared" si="104"/>
        <v>0</v>
      </c>
      <c r="L44" s="1146">
        <f t="shared" si="104"/>
        <v>0</v>
      </c>
      <c r="M44" s="1146">
        <f t="shared" si="104"/>
        <v>0</v>
      </c>
      <c r="N44" s="1146">
        <f t="shared" si="104"/>
        <v>0</v>
      </c>
      <c r="O44" s="1146">
        <f t="shared" si="104"/>
        <v>0</v>
      </c>
      <c r="P44" s="1146">
        <f t="shared" si="104"/>
        <v>0</v>
      </c>
      <c r="Q44" s="1146">
        <f t="shared" si="104"/>
        <v>0</v>
      </c>
      <c r="R44" s="1146">
        <f t="shared" si="104"/>
        <v>0</v>
      </c>
      <c r="S44" s="1146">
        <f t="shared" si="104"/>
        <v>0</v>
      </c>
      <c r="T44" s="1146">
        <f t="shared" si="104"/>
        <v>0</v>
      </c>
      <c r="U44" s="1146">
        <f t="shared" si="104"/>
        <v>0</v>
      </c>
      <c r="V44" s="1146">
        <f t="shared" si="104"/>
        <v>0</v>
      </c>
      <c r="W44" s="1146">
        <f t="shared" si="104"/>
        <v>0</v>
      </c>
      <c r="X44" s="1146">
        <f t="shared" si="104"/>
        <v>0</v>
      </c>
      <c r="Y44" s="1146">
        <f t="shared" si="104"/>
        <v>0</v>
      </c>
      <c r="Z44" s="1146">
        <f t="shared" si="104"/>
        <v>0</v>
      </c>
      <c r="AA44" s="1146">
        <f t="shared" si="104"/>
        <v>0</v>
      </c>
      <c r="AB44" s="1146">
        <f t="shared" si="104"/>
        <v>0</v>
      </c>
      <c r="AC44" s="1146">
        <f t="shared" si="104"/>
        <v>0</v>
      </c>
      <c r="AD44" s="1146">
        <f t="shared" si="104"/>
        <v>0</v>
      </c>
      <c r="AE44" s="1173">
        <f t="shared" si="4"/>
        <v>0</v>
      </c>
      <c r="AF44" s="1153"/>
      <c r="AG44" s="58" t="s">
        <v>1163</v>
      </c>
      <c r="AH44" s="1158">
        <f>SUM(E43:AD48)</f>
        <v>0</v>
      </c>
      <c r="AI44" s="1140">
        <f>'SHWLP-Att'!S9</f>
        <v>0</v>
      </c>
      <c r="AJ44" s="1160" t="str">
        <f>IFERROR((AI44-AH44)/AI44,"N/A")</f>
        <v>N/A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  <c r="BO44"/>
    </row>
    <row r="45" spans="1:67" ht="15">
      <c r="B45" s="1134" t="s">
        <v>58</v>
      </c>
      <c r="C45" s="1134" t="s">
        <v>1137</v>
      </c>
      <c r="D45" s="1134" t="s">
        <v>1094</v>
      </c>
      <c r="E45" s="1145">
        <f t="shared" ref="E45:AD45" si="105">IFERROR(G202*((SUM(AN$50)/SUM(AN$45:AN$53))/(SUM(G202)/SUM(G$200:G$205))),0)</f>
        <v>0</v>
      </c>
      <c r="F45" s="1145">
        <f t="shared" si="105"/>
        <v>0</v>
      </c>
      <c r="G45" s="1145">
        <f t="shared" si="105"/>
        <v>0</v>
      </c>
      <c r="H45" s="1145">
        <f t="shared" si="105"/>
        <v>0</v>
      </c>
      <c r="I45" s="1145">
        <f t="shared" si="105"/>
        <v>0</v>
      </c>
      <c r="J45" s="1145">
        <f t="shared" si="105"/>
        <v>0</v>
      </c>
      <c r="K45" s="1145">
        <f t="shared" si="105"/>
        <v>0</v>
      </c>
      <c r="L45" s="1145">
        <f t="shared" si="105"/>
        <v>0</v>
      </c>
      <c r="M45" s="1145">
        <f t="shared" si="105"/>
        <v>0</v>
      </c>
      <c r="N45" s="1145">
        <f t="shared" si="105"/>
        <v>0</v>
      </c>
      <c r="O45" s="1145">
        <f t="shared" si="105"/>
        <v>0</v>
      </c>
      <c r="P45" s="1145">
        <f t="shared" si="105"/>
        <v>0</v>
      </c>
      <c r="Q45" s="1145">
        <f t="shared" si="105"/>
        <v>0</v>
      </c>
      <c r="R45" s="1145">
        <f t="shared" si="105"/>
        <v>0</v>
      </c>
      <c r="S45" s="1145">
        <f t="shared" si="105"/>
        <v>0</v>
      </c>
      <c r="T45" s="1145">
        <f t="shared" si="105"/>
        <v>0</v>
      </c>
      <c r="U45" s="1145">
        <f t="shared" si="105"/>
        <v>0</v>
      </c>
      <c r="V45" s="1145">
        <f t="shared" si="105"/>
        <v>0</v>
      </c>
      <c r="W45" s="1145">
        <f t="shared" si="105"/>
        <v>0</v>
      </c>
      <c r="X45" s="1145">
        <f t="shared" si="105"/>
        <v>0</v>
      </c>
      <c r="Y45" s="1145">
        <f t="shared" si="105"/>
        <v>0</v>
      </c>
      <c r="Z45" s="1145">
        <f t="shared" si="105"/>
        <v>0</v>
      </c>
      <c r="AA45" s="1145">
        <f t="shared" si="105"/>
        <v>0</v>
      </c>
      <c r="AB45" s="1145">
        <f t="shared" si="105"/>
        <v>0</v>
      </c>
      <c r="AC45" s="1145">
        <f t="shared" si="105"/>
        <v>0</v>
      </c>
      <c r="AD45" s="1145">
        <f t="shared" si="105"/>
        <v>0</v>
      </c>
      <c r="AE45" s="1172">
        <f t="shared" si="4"/>
        <v>0</v>
      </c>
      <c r="AF45" s="1153"/>
      <c r="AG45" s="58" t="s">
        <v>1107</v>
      </c>
      <c r="AH45" s="1158">
        <f>SUM(E50:AD50)</f>
        <v>1.8816749350455582E-3</v>
      </c>
      <c r="AI45" s="1140">
        <f>'SHWLP-Att'!S35</f>
        <v>1.8816749350455584E-3</v>
      </c>
      <c r="AJ45" s="1160">
        <f>(AI45-AH45)/AI45</f>
        <v>1.1523798848489781E-16</v>
      </c>
      <c r="AL45" s="1144" t="s">
        <v>399</v>
      </c>
      <c r="AM45" s="1144" t="s">
        <v>48</v>
      </c>
      <c r="AN45" s="1135">
        <f>SUMIFS(Table915[Count of EnergyRating],Table915[MainSpaceHeatingFuel],AL45,Table915[EnergyRating (group)],AM45,Table915[CountyName (group)],AN$4)</f>
        <v>0</v>
      </c>
      <c r="AO45" s="1129">
        <f>SUMIFS(Table915[Count of EnergyRating],Table915[MainSpaceHeatingFuel],AL45,Table915[EnergyRating (group)],AM45,Table915[CountyName (group)],AO$4)</f>
        <v>0</v>
      </c>
      <c r="AP45" s="1129">
        <f>SUMIFS(Table915[Count of EnergyRating],Table915[MainSpaceHeatingFuel],AL45,Table915[EnergyRating (group)],AM45,Table915[CountyName (group)],AP$4)</f>
        <v>0</v>
      </c>
      <c r="AQ45" s="1129">
        <f>SUMIFS(Table915[Count of EnergyRating],Table915[MainSpaceHeatingFuel],AL45,Table915[EnergyRating (group)],AM45,Table915[CountyName (group)],AQ$4)</f>
        <v>0</v>
      </c>
      <c r="AR45" s="1129">
        <f>SUMIFS(Table915[Count of EnergyRating],Table915[MainSpaceHeatingFuel],AL45,Table915[EnergyRating (group)],AM45,Table915[CountyName (group)],AR$4)</f>
        <v>0</v>
      </c>
      <c r="AS45" s="1129">
        <f>SUMIFS(Table915[Count of EnergyRating],Table915[MainSpaceHeatingFuel],AL45,Table915[EnergyRating (group)],AM45,Table915[CountyName (group)],AS$4)</f>
        <v>0</v>
      </c>
      <c r="AT45" s="1129">
        <f>SUMIFS(Table915[Count of EnergyRating],Table915[MainSpaceHeatingFuel],AL45,Table915[EnergyRating (group)],AM45,Table915[CountyName (group)],AT$4)</f>
        <v>0</v>
      </c>
      <c r="AU45" s="1129">
        <f>SUMIFS(Table915[Count of EnergyRating],Table915[MainSpaceHeatingFuel],AL45,Table915[EnergyRating (group)],AM45,Table915[CountyName (group)],AU$4)</f>
        <v>0</v>
      </c>
      <c r="AV45" s="1129">
        <f>SUMIFS(Table915[Count of EnergyRating],Table915[MainSpaceHeatingFuel],AL45,Table915[EnergyRating (group)],AM45,Table915[CountyName (group)],AV$4)</f>
        <v>0</v>
      </c>
      <c r="AW45" s="1129">
        <f>SUMIFS(Table915[Count of EnergyRating],Table915[MainSpaceHeatingFuel],AL45,Table915[EnergyRating (group)],AM45,Table915[CountyName (group)],AW$4)</f>
        <v>0</v>
      </c>
      <c r="AX45" s="1129">
        <f>SUMIFS(Table915[Count of EnergyRating],Table915[MainSpaceHeatingFuel],AL45,Table915[EnergyRating (group)],AM45,Table915[CountyName (group)],AX$4)</f>
        <v>0</v>
      </c>
      <c r="AY45" s="1129">
        <f>SUMIFS(Table915[Count of EnergyRating],Table915[MainSpaceHeatingFuel],AL45,Table915[EnergyRating (group)],AM45,Table915[CountyName (group)],AY$4)</f>
        <v>0</v>
      </c>
      <c r="AZ45" s="1129">
        <f>SUMIFS(Table915[Count of EnergyRating],Table915[MainSpaceHeatingFuel],AL45,Table915[EnergyRating (group)],AM45,Table915[CountyName (group)],AZ$4)</f>
        <v>0</v>
      </c>
      <c r="BA45" s="1129">
        <f>SUMIFS(Table915[Count of EnergyRating],Table915[MainSpaceHeatingFuel],AL45,Table915[EnergyRating (group)],AM45,Table915[CountyName (group)],BA$4)</f>
        <v>0</v>
      </c>
      <c r="BB45" s="1129">
        <f>SUMIFS(Table915[Count of EnergyRating],Table915[MainSpaceHeatingFuel],AL45,Table915[EnergyRating (group)],AM45,Table915[CountyName (group)],BB$4)</f>
        <v>0</v>
      </c>
      <c r="BC45" s="1129">
        <f>SUMIFS(Table915[Count of EnergyRating],Table915[MainSpaceHeatingFuel],AL45,Table915[EnergyRating (group)],AM45,Table915[CountyName (group)],BC$4)</f>
        <v>0</v>
      </c>
      <c r="BD45" s="1129">
        <f>SUMIFS(Table915[Count of EnergyRating],Table915[MainSpaceHeatingFuel],AL45,Table915[EnergyRating (group)],AM45,Table915[CountyName (group)],BD$4)</f>
        <v>0</v>
      </c>
      <c r="BE45" s="1129">
        <f>SUMIFS(Table915[Count of EnergyRating],Table915[MainSpaceHeatingFuel],AL45,Table915[EnergyRating (group)],AM45,Table915[CountyName (group)],BE$4)</f>
        <v>0</v>
      </c>
      <c r="BF45" s="1129">
        <f>SUMIFS(Table915[Count of EnergyRating],Table915[MainSpaceHeatingFuel],AL45,Table915[EnergyRating (group)],AM45,Table915[CountyName (group)],BF$4)</f>
        <v>0</v>
      </c>
      <c r="BG45" s="1129">
        <f>SUMIFS(Table915[Count of EnergyRating],Table915[MainSpaceHeatingFuel],AL45,Table915[EnergyRating (group)],AM45,Table915[CountyName (group)],BG$4)</f>
        <v>0</v>
      </c>
      <c r="BH45" s="1129">
        <f>SUMIFS(Table915[Count of EnergyRating],Table915[MainSpaceHeatingFuel],AL45,Table915[EnergyRating (group)],AM45,Table915[CountyName (group)],BH$4)</f>
        <v>0</v>
      </c>
      <c r="BI45" s="1129">
        <f>SUMIFS(Table915[Count of EnergyRating],Table915[MainSpaceHeatingFuel],AL45,Table915[EnergyRating (group)],AM45,Table915[CountyName (group)],BI$4)</f>
        <v>0</v>
      </c>
      <c r="BJ45" s="1129">
        <f>SUMIFS(Table915[Count of EnergyRating],Table915[MainSpaceHeatingFuel],AL45,Table915[EnergyRating (group)],AM45,Table915[CountyName (group)],BJ$4)</f>
        <v>0</v>
      </c>
      <c r="BK45" s="1135">
        <f>SUMIFS(Table915[Count of EnergyRating],Table915[MainSpaceHeatingFuel],AL45,Table915[EnergyRating (group)],AM45,Table915[CountyName (group)],BK$4)</f>
        <v>0</v>
      </c>
      <c r="BL45" s="1129">
        <f>SUMIFS(Table915[Count of EnergyRating],Table915[MainSpaceHeatingFuel],AL45,Table915[EnergyRating (group)],AM45,Table915[CountyName (group)],BL$4)</f>
        <v>0</v>
      </c>
      <c r="BM45" s="1129">
        <f>SUMIFS(Table915[Count of EnergyRating],Table915[MainSpaceHeatingFuel],AL45,Table915[EnergyRating (group)],AM45,Table915[CountyName (group)],BM$4)</f>
        <v>0</v>
      </c>
      <c r="BO45"/>
    </row>
    <row r="46" spans="1:67">
      <c r="B46" s="1136" t="s">
        <v>60</v>
      </c>
      <c r="C46" s="1136" t="s">
        <v>1137</v>
      </c>
      <c r="D46" s="1136" t="s">
        <v>1094</v>
      </c>
      <c r="E46" s="1146">
        <f t="shared" ref="E46:AD46" si="106">IFERROR(G203*((SUM(AN$51)/SUM(AN$45:AN$53))/(SUM(G203)/SUM(G$200:G$205))),0)</f>
        <v>0</v>
      </c>
      <c r="F46" s="1146">
        <f t="shared" si="106"/>
        <v>0</v>
      </c>
      <c r="G46" s="1146">
        <f t="shared" si="106"/>
        <v>0</v>
      </c>
      <c r="H46" s="1146">
        <f t="shared" si="106"/>
        <v>0</v>
      </c>
      <c r="I46" s="1146">
        <f t="shared" si="106"/>
        <v>0</v>
      </c>
      <c r="J46" s="1146">
        <f t="shared" si="106"/>
        <v>0</v>
      </c>
      <c r="K46" s="1146">
        <f t="shared" si="106"/>
        <v>0</v>
      </c>
      <c r="L46" s="1146">
        <f t="shared" si="106"/>
        <v>0</v>
      </c>
      <c r="M46" s="1146">
        <f t="shared" si="106"/>
        <v>0</v>
      </c>
      <c r="N46" s="1146">
        <f t="shared" si="106"/>
        <v>0</v>
      </c>
      <c r="O46" s="1146">
        <f t="shared" si="106"/>
        <v>0</v>
      </c>
      <c r="P46" s="1146">
        <f t="shared" si="106"/>
        <v>0</v>
      </c>
      <c r="Q46" s="1146">
        <f t="shared" si="106"/>
        <v>0</v>
      </c>
      <c r="R46" s="1146">
        <f t="shared" si="106"/>
        <v>0</v>
      </c>
      <c r="S46" s="1146">
        <f t="shared" si="106"/>
        <v>0</v>
      </c>
      <c r="T46" s="1146">
        <f t="shared" si="106"/>
        <v>0</v>
      </c>
      <c r="U46" s="1146">
        <f t="shared" si="106"/>
        <v>0</v>
      </c>
      <c r="V46" s="1146">
        <f t="shared" si="106"/>
        <v>0</v>
      </c>
      <c r="W46" s="1146">
        <f t="shared" si="106"/>
        <v>0</v>
      </c>
      <c r="X46" s="1146">
        <f t="shared" si="106"/>
        <v>0</v>
      </c>
      <c r="Y46" s="1146">
        <f t="shared" si="106"/>
        <v>0</v>
      </c>
      <c r="Z46" s="1146">
        <f t="shared" si="106"/>
        <v>0</v>
      </c>
      <c r="AA46" s="1146">
        <f t="shared" si="106"/>
        <v>0</v>
      </c>
      <c r="AB46" s="1146">
        <f t="shared" si="106"/>
        <v>0</v>
      </c>
      <c r="AC46" s="1146">
        <f t="shared" si="106"/>
        <v>0</v>
      </c>
      <c r="AD46" s="1146">
        <f t="shared" si="106"/>
        <v>0</v>
      </c>
      <c r="AE46" s="1173">
        <f t="shared" si="4"/>
        <v>0</v>
      </c>
      <c r="AF46" s="1153"/>
      <c r="AG46" s="1142"/>
      <c r="AH46" s="1142"/>
      <c r="AL46" s="1144" t="s">
        <v>399</v>
      </c>
      <c r="AM46" s="1144" t="s">
        <v>50</v>
      </c>
      <c r="AN46" s="1135">
        <f>SUMIFS(Table915[Count of EnergyRating],Table915[MainSpaceHeatingFuel],AL46,Table915[EnergyRating (group)],AM46,Table915[CountyName (group)],AN$4)</f>
        <v>0</v>
      </c>
      <c r="AO46" s="1129">
        <f>SUMIFS(Table915[Count of EnergyRating],Table915[MainSpaceHeatingFuel],AL46,Table915[EnergyRating (group)],AM46,Table915[CountyName (group)],AO$4)</f>
        <v>0</v>
      </c>
      <c r="AP46" s="1129">
        <f>SUMIFS(Table915[Count of EnergyRating],Table915[MainSpaceHeatingFuel],AL46,Table915[EnergyRating (group)],AM46,Table915[CountyName (group)],AP$4)</f>
        <v>0</v>
      </c>
      <c r="AQ46" s="1129">
        <f>SUMIFS(Table915[Count of EnergyRating],Table915[MainSpaceHeatingFuel],AL46,Table915[EnergyRating (group)],AM46,Table915[CountyName (group)],AQ$4)</f>
        <v>0</v>
      </c>
      <c r="AR46" s="1129">
        <f>SUMIFS(Table915[Count of EnergyRating],Table915[MainSpaceHeatingFuel],AL46,Table915[EnergyRating (group)],AM46,Table915[CountyName (group)],AR$4)</f>
        <v>0</v>
      </c>
      <c r="AS46" s="1129">
        <f>SUMIFS(Table915[Count of EnergyRating],Table915[MainSpaceHeatingFuel],AL46,Table915[EnergyRating (group)],AM46,Table915[CountyName (group)],AS$4)</f>
        <v>0</v>
      </c>
      <c r="AT46" s="1129">
        <f>SUMIFS(Table915[Count of EnergyRating],Table915[MainSpaceHeatingFuel],AL46,Table915[EnergyRating (group)],AM46,Table915[CountyName (group)],AT$4)</f>
        <v>0</v>
      </c>
      <c r="AU46" s="1129">
        <f>SUMIFS(Table915[Count of EnergyRating],Table915[MainSpaceHeatingFuel],AL46,Table915[EnergyRating (group)],AM46,Table915[CountyName (group)],AU$4)</f>
        <v>0</v>
      </c>
      <c r="AV46" s="1129">
        <f>SUMIFS(Table915[Count of EnergyRating],Table915[MainSpaceHeatingFuel],AL46,Table915[EnergyRating (group)],AM46,Table915[CountyName (group)],AV$4)</f>
        <v>0</v>
      </c>
      <c r="AW46" s="1129">
        <f>SUMIFS(Table915[Count of EnergyRating],Table915[MainSpaceHeatingFuel],AL46,Table915[EnergyRating (group)],AM46,Table915[CountyName (group)],AW$4)</f>
        <v>0</v>
      </c>
      <c r="AX46" s="1129">
        <f>SUMIFS(Table915[Count of EnergyRating],Table915[MainSpaceHeatingFuel],AL46,Table915[EnergyRating (group)],AM46,Table915[CountyName (group)],AX$4)</f>
        <v>0</v>
      </c>
      <c r="AY46" s="1129">
        <f>SUMIFS(Table915[Count of EnergyRating],Table915[MainSpaceHeatingFuel],AL46,Table915[EnergyRating (group)],AM46,Table915[CountyName (group)],AY$4)</f>
        <v>0</v>
      </c>
      <c r="AZ46" s="1129">
        <f>SUMIFS(Table915[Count of EnergyRating],Table915[MainSpaceHeatingFuel],AL46,Table915[EnergyRating (group)],AM46,Table915[CountyName (group)],AZ$4)</f>
        <v>0</v>
      </c>
      <c r="BA46" s="1129">
        <f>SUMIFS(Table915[Count of EnergyRating],Table915[MainSpaceHeatingFuel],AL46,Table915[EnergyRating (group)],AM46,Table915[CountyName (group)],BA$4)</f>
        <v>0</v>
      </c>
      <c r="BB46" s="1129">
        <f>SUMIFS(Table915[Count of EnergyRating],Table915[MainSpaceHeatingFuel],AL46,Table915[EnergyRating (group)],AM46,Table915[CountyName (group)],BB$4)</f>
        <v>0</v>
      </c>
      <c r="BC46" s="1129">
        <f>SUMIFS(Table915[Count of EnergyRating],Table915[MainSpaceHeatingFuel],AL46,Table915[EnergyRating (group)],AM46,Table915[CountyName (group)],BC$4)</f>
        <v>0</v>
      </c>
      <c r="BD46" s="1129">
        <f>SUMIFS(Table915[Count of EnergyRating],Table915[MainSpaceHeatingFuel],AL46,Table915[EnergyRating (group)],AM46,Table915[CountyName (group)],BD$4)</f>
        <v>0</v>
      </c>
      <c r="BE46" s="1129">
        <f>SUMIFS(Table915[Count of EnergyRating],Table915[MainSpaceHeatingFuel],AL46,Table915[EnergyRating (group)],AM46,Table915[CountyName (group)],BE$4)</f>
        <v>0</v>
      </c>
      <c r="BF46" s="1129">
        <f>SUMIFS(Table915[Count of EnergyRating],Table915[MainSpaceHeatingFuel],AL46,Table915[EnergyRating (group)],AM46,Table915[CountyName (group)],BF$4)</f>
        <v>0</v>
      </c>
      <c r="BG46" s="1129">
        <f>SUMIFS(Table915[Count of EnergyRating],Table915[MainSpaceHeatingFuel],AL46,Table915[EnergyRating (group)],AM46,Table915[CountyName (group)],BG$4)</f>
        <v>0</v>
      </c>
      <c r="BH46" s="1129">
        <f>SUMIFS(Table915[Count of EnergyRating],Table915[MainSpaceHeatingFuel],AL46,Table915[EnergyRating (group)],AM46,Table915[CountyName (group)],BH$4)</f>
        <v>0</v>
      </c>
      <c r="BI46" s="1129">
        <f>SUMIFS(Table915[Count of EnergyRating],Table915[MainSpaceHeatingFuel],AL46,Table915[EnergyRating (group)],AM46,Table915[CountyName (group)],BI$4)</f>
        <v>0</v>
      </c>
      <c r="BJ46" s="1129">
        <f>SUMIFS(Table915[Count of EnergyRating],Table915[MainSpaceHeatingFuel],AL46,Table915[EnergyRating (group)],AM46,Table915[CountyName (group)],BJ$4)</f>
        <v>0</v>
      </c>
      <c r="BK46" s="1135">
        <f>SUMIFS(Table915[Count of EnergyRating],Table915[MainSpaceHeatingFuel],AL46,Table915[EnergyRating (group)],AM46,Table915[CountyName (group)],BK$4)</f>
        <v>0</v>
      </c>
      <c r="BL46" s="1129">
        <f>SUMIFS(Table915[Count of EnergyRating],Table915[MainSpaceHeatingFuel],AL46,Table915[EnergyRating (group)],AM46,Table915[CountyName (group)],BL$4)</f>
        <v>0</v>
      </c>
      <c r="BM46" s="1129">
        <f>SUMIFS(Table915[Count of EnergyRating],Table915[MainSpaceHeatingFuel],AL46,Table915[EnergyRating (group)],AM46,Table915[CountyName (group)],BM$4)</f>
        <v>0</v>
      </c>
      <c r="BO46"/>
    </row>
    <row r="47" spans="1:67">
      <c r="B47" s="1134" t="s">
        <v>62</v>
      </c>
      <c r="C47" s="1134" t="s">
        <v>1137</v>
      </c>
      <c r="D47" s="1134" t="s">
        <v>1094</v>
      </c>
      <c r="E47" s="1145">
        <f t="shared" ref="E47:AD47" si="107">IFERROR(G204*((SUM(AN$52)/SUM(AN$45:AN$53))/(SUM(G204)/SUM(G$200:G$205))),0)</f>
        <v>0</v>
      </c>
      <c r="F47" s="1145">
        <f t="shared" si="107"/>
        <v>0</v>
      </c>
      <c r="G47" s="1145">
        <f t="shared" si="107"/>
        <v>0</v>
      </c>
      <c r="H47" s="1145">
        <f t="shared" si="107"/>
        <v>0</v>
      </c>
      <c r="I47" s="1145">
        <f t="shared" si="107"/>
        <v>0</v>
      </c>
      <c r="J47" s="1145">
        <f t="shared" si="107"/>
        <v>0</v>
      </c>
      <c r="K47" s="1145">
        <f t="shared" si="107"/>
        <v>0</v>
      </c>
      <c r="L47" s="1145">
        <f t="shared" si="107"/>
        <v>0</v>
      </c>
      <c r="M47" s="1145">
        <f t="shared" si="107"/>
        <v>0</v>
      </c>
      <c r="N47" s="1145">
        <f t="shared" si="107"/>
        <v>0</v>
      </c>
      <c r="O47" s="1145">
        <f t="shared" si="107"/>
        <v>0</v>
      </c>
      <c r="P47" s="1145">
        <f t="shared" si="107"/>
        <v>0</v>
      </c>
      <c r="Q47" s="1145">
        <f t="shared" si="107"/>
        <v>0</v>
      </c>
      <c r="R47" s="1145">
        <f t="shared" si="107"/>
        <v>0</v>
      </c>
      <c r="S47" s="1145">
        <f t="shared" si="107"/>
        <v>0</v>
      </c>
      <c r="T47" s="1145">
        <f t="shared" si="107"/>
        <v>0</v>
      </c>
      <c r="U47" s="1145">
        <f t="shared" si="107"/>
        <v>0</v>
      </c>
      <c r="V47" s="1145">
        <f t="shared" si="107"/>
        <v>0</v>
      </c>
      <c r="W47" s="1145">
        <f t="shared" si="107"/>
        <v>0</v>
      </c>
      <c r="X47" s="1145">
        <f t="shared" si="107"/>
        <v>0</v>
      </c>
      <c r="Y47" s="1145">
        <f t="shared" si="107"/>
        <v>0</v>
      </c>
      <c r="Z47" s="1145">
        <f t="shared" si="107"/>
        <v>0</v>
      </c>
      <c r="AA47" s="1145">
        <f t="shared" si="107"/>
        <v>0</v>
      </c>
      <c r="AB47" s="1145">
        <f t="shared" si="107"/>
        <v>0</v>
      </c>
      <c r="AC47" s="1145">
        <f t="shared" si="107"/>
        <v>0</v>
      </c>
      <c r="AD47" s="1145">
        <f t="shared" si="107"/>
        <v>0</v>
      </c>
      <c r="AE47" s="1172">
        <f t="shared" si="4"/>
        <v>0</v>
      </c>
      <c r="AF47" s="1153"/>
      <c r="AG47" s="1142"/>
      <c r="AH47" s="1142"/>
      <c r="AL47" s="1144" t="s">
        <v>399</v>
      </c>
      <c r="AM47" s="1144" t="s">
        <v>52</v>
      </c>
      <c r="AN47" s="1135">
        <f>SUMIFS(Table915[Count of EnergyRating],Table915[MainSpaceHeatingFuel],AL47,Table915[EnergyRating (group)],AM47,Table915[CountyName (group)],AN$4)</f>
        <v>0</v>
      </c>
      <c r="AO47" s="1129">
        <f>SUMIFS(Table915[Count of EnergyRating],Table915[MainSpaceHeatingFuel],AL47,Table915[EnergyRating (group)],AM47,Table915[CountyName (group)],AO$4)</f>
        <v>0</v>
      </c>
      <c r="AP47" s="1129">
        <f>SUMIFS(Table915[Count of EnergyRating],Table915[MainSpaceHeatingFuel],AL47,Table915[EnergyRating (group)],AM47,Table915[CountyName (group)],AP$4)</f>
        <v>0</v>
      </c>
      <c r="AQ47" s="1129">
        <f>SUMIFS(Table915[Count of EnergyRating],Table915[MainSpaceHeatingFuel],AL47,Table915[EnergyRating (group)],AM47,Table915[CountyName (group)],AQ$4)</f>
        <v>0</v>
      </c>
      <c r="AR47" s="1129">
        <f>SUMIFS(Table915[Count of EnergyRating],Table915[MainSpaceHeatingFuel],AL47,Table915[EnergyRating (group)],AM47,Table915[CountyName (group)],AR$4)</f>
        <v>0</v>
      </c>
      <c r="AS47" s="1129">
        <f>SUMIFS(Table915[Count of EnergyRating],Table915[MainSpaceHeatingFuel],AL47,Table915[EnergyRating (group)],AM47,Table915[CountyName (group)],AS$4)</f>
        <v>0</v>
      </c>
      <c r="AT47" s="1129">
        <f>SUMIFS(Table915[Count of EnergyRating],Table915[MainSpaceHeatingFuel],AL47,Table915[EnergyRating (group)],AM47,Table915[CountyName (group)],AT$4)</f>
        <v>0</v>
      </c>
      <c r="AU47" s="1129">
        <f>SUMIFS(Table915[Count of EnergyRating],Table915[MainSpaceHeatingFuel],AL47,Table915[EnergyRating (group)],AM47,Table915[CountyName (group)],AU$4)</f>
        <v>0</v>
      </c>
      <c r="AV47" s="1129">
        <f>SUMIFS(Table915[Count of EnergyRating],Table915[MainSpaceHeatingFuel],AL47,Table915[EnergyRating (group)],AM47,Table915[CountyName (group)],AV$4)</f>
        <v>0</v>
      </c>
      <c r="AW47" s="1129">
        <f>SUMIFS(Table915[Count of EnergyRating],Table915[MainSpaceHeatingFuel],AL47,Table915[EnergyRating (group)],AM47,Table915[CountyName (group)],AW$4)</f>
        <v>0</v>
      </c>
      <c r="AX47" s="1129">
        <f>SUMIFS(Table915[Count of EnergyRating],Table915[MainSpaceHeatingFuel],AL47,Table915[EnergyRating (group)],AM47,Table915[CountyName (group)],AX$4)</f>
        <v>0</v>
      </c>
      <c r="AY47" s="1129">
        <f>SUMIFS(Table915[Count of EnergyRating],Table915[MainSpaceHeatingFuel],AL47,Table915[EnergyRating (group)],AM47,Table915[CountyName (group)],AY$4)</f>
        <v>0</v>
      </c>
      <c r="AZ47" s="1129">
        <f>SUMIFS(Table915[Count of EnergyRating],Table915[MainSpaceHeatingFuel],AL47,Table915[EnergyRating (group)],AM47,Table915[CountyName (group)],AZ$4)</f>
        <v>0</v>
      </c>
      <c r="BA47" s="1129">
        <f>SUMIFS(Table915[Count of EnergyRating],Table915[MainSpaceHeatingFuel],AL47,Table915[EnergyRating (group)],AM47,Table915[CountyName (group)],BA$4)</f>
        <v>0</v>
      </c>
      <c r="BB47" s="1129">
        <f>SUMIFS(Table915[Count of EnergyRating],Table915[MainSpaceHeatingFuel],AL47,Table915[EnergyRating (group)],AM47,Table915[CountyName (group)],BB$4)</f>
        <v>0</v>
      </c>
      <c r="BC47" s="1129">
        <f>SUMIFS(Table915[Count of EnergyRating],Table915[MainSpaceHeatingFuel],AL47,Table915[EnergyRating (group)],AM47,Table915[CountyName (group)],BC$4)</f>
        <v>0</v>
      </c>
      <c r="BD47" s="1129">
        <f>SUMIFS(Table915[Count of EnergyRating],Table915[MainSpaceHeatingFuel],AL47,Table915[EnergyRating (group)],AM47,Table915[CountyName (group)],BD$4)</f>
        <v>0</v>
      </c>
      <c r="BE47" s="1129">
        <f>SUMIFS(Table915[Count of EnergyRating],Table915[MainSpaceHeatingFuel],AL47,Table915[EnergyRating (group)],AM47,Table915[CountyName (group)],BE$4)</f>
        <v>0</v>
      </c>
      <c r="BF47" s="1129">
        <f>SUMIFS(Table915[Count of EnergyRating],Table915[MainSpaceHeatingFuel],AL47,Table915[EnergyRating (group)],AM47,Table915[CountyName (group)],BF$4)</f>
        <v>0</v>
      </c>
      <c r="BG47" s="1129">
        <f>SUMIFS(Table915[Count of EnergyRating],Table915[MainSpaceHeatingFuel],AL47,Table915[EnergyRating (group)],AM47,Table915[CountyName (group)],BG$4)</f>
        <v>0</v>
      </c>
      <c r="BH47" s="1129">
        <f>SUMIFS(Table915[Count of EnergyRating],Table915[MainSpaceHeatingFuel],AL47,Table915[EnergyRating (group)],AM47,Table915[CountyName (group)],BH$4)</f>
        <v>0</v>
      </c>
      <c r="BI47" s="1129">
        <f>SUMIFS(Table915[Count of EnergyRating],Table915[MainSpaceHeatingFuel],AL47,Table915[EnergyRating (group)],AM47,Table915[CountyName (group)],BI$4)</f>
        <v>0</v>
      </c>
      <c r="BJ47" s="1129">
        <f>SUMIFS(Table915[Count of EnergyRating],Table915[MainSpaceHeatingFuel],AL47,Table915[EnergyRating (group)],AM47,Table915[CountyName (group)],BJ$4)</f>
        <v>0</v>
      </c>
      <c r="BK47" s="1135">
        <f>SUMIFS(Table915[Count of EnergyRating],Table915[MainSpaceHeatingFuel],AL47,Table915[EnergyRating (group)],AM47,Table915[CountyName (group)],BK$4)</f>
        <v>0</v>
      </c>
      <c r="BL47" s="1129">
        <f>SUMIFS(Table915[Count of EnergyRating],Table915[MainSpaceHeatingFuel],AL47,Table915[EnergyRating (group)],AM47,Table915[CountyName (group)],BL$4)</f>
        <v>0</v>
      </c>
      <c r="BM47" s="1129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38" t="s">
        <v>64</v>
      </c>
      <c r="C48" s="1138" t="s">
        <v>1137</v>
      </c>
      <c r="D48" s="1138" t="s">
        <v>1094</v>
      </c>
      <c r="E48" s="1147">
        <f t="shared" ref="E48:AD48" si="108">IFERROR(G205*((SUM(AN$53)/SUM(AN$45:AN$53))/(SUM(G205)/SUM(G$200:G$205))),0)</f>
        <v>0</v>
      </c>
      <c r="F48" s="1147">
        <f t="shared" si="108"/>
        <v>0</v>
      </c>
      <c r="G48" s="1147">
        <f t="shared" si="108"/>
        <v>0</v>
      </c>
      <c r="H48" s="1147">
        <f t="shared" si="108"/>
        <v>0</v>
      </c>
      <c r="I48" s="1147">
        <f t="shared" si="108"/>
        <v>0</v>
      </c>
      <c r="J48" s="1147">
        <f t="shared" si="108"/>
        <v>0</v>
      </c>
      <c r="K48" s="1147">
        <f t="shared" si="108"/>
        <v>0</v>
      </c>
      <c r="L48" s="1147">
        <f t="shared" si="108"/>
        <v>0</v>
      </c>
      <c r="M48" s="1147">
        <f t="shared" si="108"/>
        <v>0</v>
      </c>
      <c r="N48" s="1147">
        <f t="shared" si="108"/>
        <v>0</v>
      </c>
      <c r="O48" s="1147">
        <f t="shared" si="108"/>
        <v>0</v>
      </c>
      <c r="P48" s="1147">
        <f t="shared" si="108"/>
        <v>0</v>
      </c>
      <c r="Q48" s="1147">
        <f t="shared" si="108"/>
        <v>0</v>
      </c>
      <c r="R48" s="1147">
        <f t="shared" si="108"/>
        <v>0</v>
      </c>
      <c r="S48" s="1147">
        <f t="shared" si="108"/>
        <v>0</v>
      </c>
      <c r="T48" s="1147">
        <f t="shared" si="108"/>
        <v>0</v>
      </c>
      <c r="U48" s="1147">
        <f t="shared" si="108"/>
        <v>0</v>
      </c>
      <c r="V48" s="1147">
        <f t="shared" si="108"/>
        <v>0</v>
      </c>
      <c r="W48" s="1147">
        <f t="shared" si="108"/>
        <v>0</v>
      </c>
      <c r="X48" s="1147">
        <f t="shared" si="108"/>
        <v>0</v>
      </c>
      <c r="Y48" s="1147">
        <f t="shared" si="108"/>
        <v>0</v>
      </c>
      <c r="Z48" s="1147">
        <f t="shared" si="108"/>
        <v>0</v>
      </c>
      <c r="AA48" s="1147">
        <f t="shared" si="108"/>
        <v>0</v>
      </c>
      <c r="AB48" s="1147">
        <f t="shared" si="108"/>
        <v>0</v>
      </c>
      <c r="AC48" s="1147">
        <f t="shared" si="108"/>
        <v>0</v>
      </c>
      <c r="AD48" s="1147">
        <f t="shared" si="108"/>
        <v>0</v>
      </c>
      <c r="AE48" s="1174">
        <f t="shared" si="4"/>
        <v>0</v>
      </c>
      <c r="AF48" s="1153"/>
      <c r="AG48" s="1142"/>
      <c r="AH48" s="1142"/>
      <c r="AL48" s="1144" t="s">
        <v>399</v>
      </c>
      <c r="AM48" s="1144" t="s">
        <v>54</v>
      </c>
      <c r="AN48" s="1135">
        <f>SUMIFS(Table915[Count of EnergyRating],Table915[MainSpaceHeatingFuel],AL48,Table915[EnergyRating (group)],AM48,Table915[CountyName (group)],AN$4)</f>
        <v>0</v>
      </c>
      <c r="AO48" s="1129">
        <f>SUMIFS(Table915[Count of EnergyRating],Table915[MainSpaceHeatingFuel],AL48,Table915[EnergyRating (group)],AM48,Table915[CountyName (group)],AO$4)</f>
        <v>0</v>
      </c>
      <c r="AP48" s="1129">
        <f>SUMIFS(Table915[Count of EnergyRating],Table915[MainSpaceHeatingFuel],AL48,Table915[EnergyRating (group)],AM48,Table915[CountyName (group)],AP$4)</f>
        <v>0</v>
      </c>
      <c r="AQ48" s="1129">
        <f>SUMIFS(Table915[Count of EnergyRating],Table915[MainSpaceHeatingFuel],AL48,Table915[EnergyRating (group)],AM48,Table915[CountyName (group)],AQ$4)</f>
        <v>0</v>
      </c>
      <c r="AR48" s="1129">
        <f>SUMIFS(Table915[Count of EnergyRating],Table915[MainSpaceHeatingFuel],AL48,Table915[EnergyRating (group)],AM48,Table915[CountyName (group)],AR$4)</f>
        <v>0</v>
      </c>
      <c r="AS48" s="1129">
        <f>SUMIFS(Table915[Count of EnergyRating],Table915[MainSpaceHeatingFuel],AL48,Table915[EnergyRating (group)],AM48,Table915[CountyName (group)],AS$4)</f>
        <v>0</v>
      </c>
      <c r="AT48" s="1129">
        <f>SUMIFS(Table915[Count of EnergyRating],Table915[MainSpaceHeatingFuel],AL48,Table915[EnergyRating (group)],AM48,Table915[CountyName (group)],AT$4)</f>
        <v>0</v>
      </c>
      <c r="AU48" s="1129">
        <f>SUMIFS(Table915[Count of EnergyRating],Table915[MainSpaceHeatingFuel],AL48,Table915[EnergyRating (group)],AM48,Table915[CountyName (group)],AU$4)</f>
        <v>0</v>
      </c>
      <c r="AV48" s="1129">
        <f>SUMIFS(Table915[Count of EnergyRating],Table915[MainSpaceHeatingFuel],AL48,Table915[EnergyRating (group)],AM48,Table915[CountyName (group)],AV$4)</f>
        <v>0</v>
      </c>
      <c r="AW48" s="1129">
        <f>SUMIFS(Table915[Count of EnergyRating],Table915[MainSpaceHeatingFuel],AL48,Table915[EnergyRating (group)],AM48,Table915[CountyName (group)],AW$4)</f>
        <v>0</v>
      </c>
      <c r="AX48" s="1129">
        <f>SUMIFS(Table915[Count of EnergyRating],Table915[MainSpaceHeatingFuel],AL48,Table915[EnergyRating (group)],AM48,Table915[CountyName (group)],AX$4)</f>
        <v>0</v>
      </c>
      <c r="AY48" s="1129">
        <f>SUMIFS(Table915[Count of EnergyRating],Table915[MainSpaceHeatingFuel],AL48,Table915[EnergyRating (group)],AM48,Table915[CountyName (group)],AY$4)</f>
        <v>0</v>
      </c>
      <c r="AZ48" s="1129">
        <f>SUMIFS(Table915[Count of EnergyRating],Table915[MainSpaceHeatingFuel],AL48,Table915[EnergyRating (group)],AM48,Table915[CountyName (group)],AZ$4)</f>
        <v>0</v>
      </c>
      <c r="BA48" s="1129">
        <f>SUMIFS(Table915[Count of EnergyRating],Table915[MainSpaceHeatingFuel],AL48,Table915[EnergyRating (group)],AM48,Table915[CountyName (group)],BA$4)</f>
        <v>0</v>
      </c>
      <c r="BB48" s="1129">
        <f>SUMIFS(Table915[Count of EnergyRating],Table915[MainSpaceHeatingFuel],AL48,Table915[EnergyRating (group)],AM48,Table915[CountyName (group)],BB$4)</f>
        <v>0</v>
      </c>
      <c r="BC48" s="1129">
        <f>SUMIFS(Table915[Count of EnergyRating],Table915[MainSpaceHeatingFuel],AL48,Table915[EnergyRating (group)],AM48,Table915[CountyName (group)],BC$4)</f>
        <v>0</v>
      </c>
      <c r="BD48" s="1129">
        <f>SUMIFS(Table915[Count of EnergyRating],Table915[MainSpaceHeatingFuel],AL48,Table915[EnergyRating (group)],AM48,Table915[CountyName (group)],BD$4)</f>
        <v>0</v>
      </c>
      <c r="BE48" s="1129">
        <f>SUMIFS(Table915[Count of EnergyRating],Table915[MainSpaceHeatingFuel],AL48,Table915[EnergyRating (group)],AM48,Table915[CountyName (group)],BE$4)</f>
        <v>0</v>
      </c>
      <c r="BF48" s="1129">
        <f>SUMIFS(Table915[Count of EnergyRating],Table915[MainSpaceHeatingFuel],AL48,Table915[EnergyRating (group)],AM48,Table915[CountyName (group)],BF$4)</f>
        <v>0</v>
      </c>
      <c r="BG48" s="1129">
        <f>SUMIFS(Table915[Count of EnergyRating],Table915[MainSpaceHeatingFuel],AL48,Table915[EnergyRating (group)],AM48,Table915[CountyName (group)],BG$4)</f>
        <v>0</v>
      </c>
      <c r="BH48" s="1129">
        <f>SUMIFS(Table915[Count of EnergyRating],Table915[MainSpaceHeatingFuel],AL48,Table915[EnergyRating (group)],AM48,Table915[CountyName (group)],BH$4)</f>
        <v>0</v>
      </c>
      <c r="BI48" s="1129">
        <f>SUMIFS(Table915[Count of EnergyRating],Table915[MainSpaceHeatingFuel],AL48,Table915[EnergyRating (group)],AM48,Table915[CountyName (group)],BI$4)</f>
        <v>0</v>
      </c>
      <c r="BJ48" s="1129">
        <f>SUMIFS(Table915[Count of EnergyRating],Table915[MainSpaceHeatingFuel],AL48,Table915[EnergyRating (group)],AM48,Table915[CountyName (group)],BJ$4)</f>
        <v>0</v>
      </c>
      <c r="BK48" s="1135">
        <f>SUMIFS(Table915[Count of EnergyRating],Table915[MainSpaceHeatingFuel],AL48,Table915[EnergyRating (group)],AM48,Table915[CountyName (group)],BK$4)</f>
        <v>0</v>
      </c>
      <c r="BL48" s="1129">
        <f>SUMIFS(Table915[Count of EnergyRating],Table915[MainSpaceHeatingFuel],AL48,Table915[EnergyRating (group)],AM48,Table915[CountyName (group)],BL$4)</f>
        <v>0</v>
      </c>
      <c r="BM48" s="1129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38" t="s">
        <v>1075</v>
      </c>
      <c r="C49" s="1138" t="s">
        <v>1137</v>
      </c>
      <c r="D49" s="1138" t="s">
        <v>1094</v>
      </c>
      <c r="E49" s="1147">
        <f>SUM(E43:E48)</f>
        <v>0</v>
      </c>
      <c r="F49" s="1147">
        <f t="shared" ref="F49" si="109">SUM(F43:F48)</f>
        <v>0</v>
      </c>
      <c r="G49" s="1147">
        <f t="shared" ref="G49" si="110">SUM(G43:G48)</f>
        <v>0</v>
      </c>
      <c r="H49" s="1147">
        <f t="shared" ref="H49" si="111">SUM(H43:H48)</f>
        <v>0</v>
      </c>
      <c r="I49" s="1147">
        <f t="shared" ref="I49" si="112">SUM(I43:I48)</f>
        <v>0</v>
      </c>
      <c r="J49" s="1147">
        <f t="shared" ref="J49" si="113">SUM(J43:J48)</f>
        <v>0</v>
      </c>
      <c r="K49" s="1147">
        <f t="shared" ref="K49" si="114">SUM(K43:K48)</f>
        <v>0</v>
      </c>
      <c r="L49" s="1147">
        <f t="shared" ref="L49" si="115">SUM(L43:L48)</f>
        <v>0</v>
      </c>
      <c r="M49" s="1147">
        <f t="shared" ref="M49" si="116">SUM(M43:M48)</f>
        <v>0</v>
      </c>
      <c r="N49" s="1147">
        <f t="shared" ref="N49" si="117">SUM(N43:N48)</f>
        <v>0</v>
      </c>
      <c r="O49" s="1147">
        <f t="shared" ref="O49" si="118">SUM(O43:O48)</f>
        <v>0</v>
      </c>
      <c r="P49" s="1147">
        <f t="shared" ref="P49" si="119">SUM(P43:P48)</f>
        <v>0</v>
      </c>
      <c r="Q49" s="1147">
        <f t="shared" ref="Q49" si="120">SUM(Q43:Q48)</f>
        <v>0</v>
      </c>
      <c r="R49" s="1147">
        <f t="shared" ref="R49" si="121">SUM(R43:R48)</f>
        <v>0</v>
      </c>
      <c r="S49" s="1147">
        <f t="shared" ref="S49" si="122">SUM(S43:S48)</f>
        <v>0</v>
      </c>
      <c r="T49" s="1147">
        <f t="shared" ref="T49" si="123">SUM(T43:T48)</f>
        <v>0</v>
      </c>
      <c r="U49" s="1147">
        <f t="shared" ref="U49" si="124">SUM(U43:U48)</f>
        <v>0</v>
      </c>
      <c r="V49" s="1147">
        <f t="shared" ref="V49" si="125">SUM(V43:V48)</f>
        <v>0</v>
      </c>
      <c r="W49" s="1147">
        <f t="shared" ref="W49" si="126">SUM(W43:W48)</f>
        <v>0</v>
      </c>
      <c r="X49" s="1147">
        <f t="shared" ref="X49" si="127">SUM(X43:X48)</f>
        <v>0</v>
      </c>
      <c r="Y49" s="1147">
        <f t="shared" ref="Y49" si="128">SUM(Y43:Y48)</f>
        <v>0</v>
      </c>
      <c r="Z49" s="1147">
        <f t="shared" ref="Z49" si="129">SUM(Z43:Z48)</f>
        <v>0</v>
      </c>
      <c r="AA49" s="1147">
        <f t="shared" ref="AA49" si="130">SUM(AA43:AA48)</f>
        <v>0</v>
      </c>
      <c r="AB49" s="1147">
        <f t="shared" ref="AB49" si="131">SUM(AB43:AB48)</f>
        <v>0</v>
      </c>
      <c r="AC49" s="1147">
        <f t="shared" ref="AC49" si="132">SUM(AC43:AC48)</f>
        <v>0</v>
      </c>
      <c r="AD49" s="1147">
        <f t="shared" ref="AD49" si="133">SUM(AD43:AD48)</f>
        <v>0</v>
      </c>
      <c r="AE49" s="1147">
        <f t="shared" ref="AE49" si="134">SUM(AE43:AE48)</f>
        <v>0</v>
      </c>
      <c r="AF49" s="1153"/>
      <c r="AG49" s="1142"/>
      <c r="AH49" s="1142"/>
      <c r="AL49" s="1144" t="s">
        <v>399</v>
      </c>
      <c r="AM49" s="1144" t="s">
        <v>56</v>
      </c>
      <c r="AN49" s="1135">
        <f>SUMIFS(Table915[Count of EnergyRating],Table915[MainSpaceHeatingFuel],AL49,Table915[EnergyRating (group)],AM49,Table915[CountyName (group)],AN$4)</f>
        <v>0</v>
      </c>
      <c r="AO49" s="1129">
        <f>SUMIFS(Table915[Count of EnergyRating],Table915[MainSpaceHeatingFuel],AL49,Table915[EnergyRating (group)],AM49,Table915[CountyName (group)],AO$4)</f>
        <v>0</v>
      </c>
      <c r="AP49" s="1129">
        <f>SUMIFS(Table915[Count of EnergyRating],Table915[MainSpaceHeatingFuel],AL49,Table915[EnergyRating (group)],AM49,Table915[CountyName (group)],AP$4)</f>
        <v>0</v>
      </c>
      <c r="AQ49" s="1129">
        <f>SUMIFS(Table915[Count of EnergyRating],Table915[MainSpaceHeatingFuel],AL49,Table915[EnergyRating (group)],AM49,Table915[CountyName (group)],AQ$4)</f>
        <v>0</v>
      </c>
      <c r="AR49" s="1129">
        <f>SUMIFS(Table915[Count of EnergyRating],Table915[MainSpaceHeatingFuel],AL49,Table915[EnergyRating (group)],AM49,Table915[CountyName (group)],AR$4)</f>
        <v>0</v>
      </c>
      <c r="AS49" s="1129">
        <f>SUMIFS(Table915[Count of EnergyRating],Table915[MainSpaceHeatingFuel],AL49,Table915[EnergyRating (group)],AM49,Table915[CountyName (group)],AS$4)</f>
        <v>0</v>
      </c>
      <c r="AT49" s="1129">
        <f>SUMIFS(Table915[Count of EnergyRating],Table915[MainSpaceHeatingFuel],AL49,Table915[EnergyRating (group)],AM49,Table915[CountyName (group)],AT$4)</f>
        <v>0</v>
      </c>
      <c r="AU49" s="1129">
        <f>SUMIFS(Table915[Count of EnergyRating],Table915[MainSpaceHeatingFuel],AL49,Table915[EnergyRating (group)],AM49,Table915[CountyName (group)],AU$4)</f>
        <v>0</v>
      </c>
      <c r="AV49" s="1129">
        <f>SUMIFS(Table915[Count of EnergyRating],Table915[MainSpaceHeatingFuel],AL49,Table915[EnergyRating (group)],AM49,Table915[CountyName (group)],AV$4)</f>
        <v>0</v>
      </c>
      <c r="AW49" s="1129">
        <f>SUMIFS(Table915[Count of EnergyRating],Table915[MainSpaceHeatingFuel],AL49,Table915[EnergyRating (group)],AM49,Table915[CountyName (group)],AW$4)</f>
        <v>0</v>
      </c>
      <c r="AX49" s="1129">
        <f>SUMIFS(Table915[Count of EnergyRating],Table915[MainSpaceHeatingFuel],AL49,Table915[EnergyRating (group)],AM49,Table915[CountyName (group)],AX$4)</f>
        <v>0</v>
      </c>
      <c r="AY49" s="1129">
        <f>SUMIFS(Table915[Count of EnergyRating],Table915[MainSpaceHeatingFuel],AL49,Table915[EnergyRating (group)],AM49,Table915[CountyName (group)],AY$4)</f>
        <v>0</v>
      </c>
      <c r="AZ49" s="1129">
        <f>SUMIFS(Table915[Count of EnergyRating],Table915[MainSpaceHeatingFuel],AL49,Table915[EnergyRating (group)],AM49,Table915[CountyName (group)],AZ$4)</f>
        <v>0</v>
      </c>
      <c r="BA49" s="1129">
        <f>SUMIFS(Table915[Count of EnergyRating],Table915[MainSpaceHeatingFuel],AL49,Table915[EnergyRating (group)],AM49,Table915[CountyName (group)],BA$4)</f>
        <v>0</v>
      </c>
      <c r="BB49" s="1129">
        <f>SUMIFS(Table915[Count of EnergyRating],Table915[MainSpaceHeatingFuel],AL49,Table915[EnergyRating (group)],AM49,Table915[CountyName (group)],BB$4)</f>
        <v>0</v>
      </c>
      <c r="BC49" s="1129">
        <f>SUMIFS(Table915[Count of EnergyRating],Table915[MainSpaceHeatingFuel],AL49,Table915[EnergyRating (group)],AM49,Table915[CountyName (group)],BC$4)</f>
        <v>0</v>
      </c>
      <c r="BD49" s="1129">
        <f>SUMIFS(Table915[Count of EnergyRating],Table915[MainSpaceHeatingFuel],AL49,Table915[EnergyRating (group)],AM49,Table915[CountyName (group)],BD$4)</f>
        <v>0</v>
      </c>
      <c r="BE49" s="1129">
        <f>SUMIFS(Table915[Count of EnergyRating],Table915[MainSpaceHeatingFuel],AL49,Table915[EnergyRating (group)],AM49,Table915[CountyName (group)],BE$4)</f>
        <v>0</v>
      </c>
      <c r="BF49" s="1129">
        <f>SUMIFS(Table915[Count of EnergyRating],Table915[MainSpaceHeatingFuel],AL49,Table915[EnergyRating (group)],AM49,Table915[CountyName (group)],BF$4)</f>
        <v>0</v>
      </c>
      <c r="BG49" s="1129">
        <f>SUMIFS(Table915[Count of EnergyRating],Table915[MainSpaceHeatingFuel],AL49,Table915[EnergyRating (group)],AM49,Table915[CountyName (group)],BG$4)</f>
        <v>0</v>
      </c>
      <c r="BH49" s="1129">
        <f>SUMIFS(Table915[Count of EnergyRating],Table915[MainSpaceHeatingFuel],AL49,Table915[EnergyRating (group)],AM49,Table915[CountyName (group)],BH$4)</f>
        <v>0</v>
      </c>
      <c r="BI49" s="1129">
        <f>SUMIFS(Table915[Count of EnergyRating],Table915[MainSpaceHeatingFuel],AL49,Table915[EnergyRating (group)],AM49,Table915[CountyName (group)],BI$4)</f>
        <v>0</v>
      </c>
      <c r="BJ49" s="1129">
        <f>SUMIFS(Table915[Count of EnergyRating],Table915[MainSpaceHeatingFuel],AL49,Table915[EnergyRating (group)],AM49,Table915[CountyName (group)],BJ$4)</f>
        <v>0</v>
      </c>
      <c r="BK49" s="1135">
        <f>SUMIFS(Table915[Count of EnergyRating],Table915[MainSpaceHeatingFuel],AL49,Table915[EnergyRating (group)],AM49,Table915[CountyName (group)],BK$4)</f>
        <v>0</v>
      </c>
      <c r="BL49" s="1129">
        <f>SUMIFS(Table915[Count of EnergyRating],Table915[MainSpaceHeatingFuel],AL49,Table915[EnergyRating (group)],AM49,Table915[CountyName (group)],BL$4)</f>
        <v>0</v>
      </c>
      <c r="BM49" s="1129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65"/>
      <c r="C50" s="1165" t="s">
        <v>1138</v>
      </c>
      <c r="D50" s="1165" t="s">
        <v>1094</v>
      </c>
      <c r="E50" s="1166">
        <f t="shared" ref="E50:AD50" si="135">G206</f>
        <v>2.1862728026771181E-5</v>
      </c>
      <c r="F50" s="1166">
        <f t="shared" si="135"/>
        <v>7.2672316172610601E-4</v>
      </c>
      <c r="G50" s="1166">
        <f t="shared" si="135"/>
        <v>9.2481111556944371E-5</v>
      </c>
      <c r="H50" s="1166">
        <f t="shared" si="135"/>
        <v>3.0326876696354229E-5</v>
      </c>
      <c r="I50" s="1166">
        <f t="shared" si="135"/>
        <v>2.7907557968942668E-5</v>
      </c>
      <c r="J50" s="1166">
        <f t="shared" si="135"/>
        <v>1.1507409504457115E-5</v>
      </c>
      <c r="K50" s="1166">
        <f t="shared" si="135"/>
        <v>5.8890300498383454E-5</v>
      </c>
      <c r="L50" s="1166">
        <f t="shared" si="135"/>
        <v>6.5712478102870062E-5</v>
      </c>
      <c r="M50" s="1166">
        <f t="shared" si="135"/>
        <v>2.4825213043884651E-5</v>
      </c>
      <c r="N50" s="1166">
        <f t="shared" si="135"/>
        <v>2.973470442953988E-5</v>
      </c>
      <c r="O50" s="1166">
        <f t="shared" si="135"/>
        <v>4.4575882589492063E-5</v>
      </c>
      <c r="P50" s="1166">
        <f t="shared" si="135"/>
        <v>5.6169510180082266E-5</v>
      </c>
      <c r="Q50" s="1166">
        <f t="shared" si="135"/>
        <v>3.6656183891536705E-5</v>
      </c>
      <c r="R50" s="1166">
        <f t="shared" si="135"/>
        <v>2.2171418787821936E-4</v>
      </c>
      <c r="S50" s="1166">
        <f t="shared" si="135"/>
        <v>3.8032603330872171E-5</v>
      </c>
      <c r="T50" s="1166">
        <f t="shared" si="135"/>
        <v>7.684723416011177E-5</v>
      </c>
      <c r="U50" s="1166">
        <f t="shared" si="135"/>
        <v>5.3228317431971177E-5</v>
      </c>
      <c r="V50" s="1166">
        <f t="shared" si="135"/>
        <v>5.2779769178638972E-5</v>
      </c>
      <c r="W50" s="1166">
        <f t="shared" si="135"/>
        <v>6.6891011007352833E-5</v>
      </c>
      <c r="X50" s="1166">
        <f t="shared" si="135"/>
        <v>6.6377809708724621E-6</v>
      </c>
      <c r="Y50" s="1166">
        <f t="shared" si="135"/>
        <v>3.0354175342780091E-5</v>
      </c>
      <c r="Z50" s="1166">
        <f t="shared" si="135"/>
        <v>1.3025197574262438E-5</v>
      </c>
      <c r="AA50" s="1166">
        <f t="shared" si="135"/>
        <v>2.1552862073867603E-5</v>
      </c>
      <c r="AB50" s="1166">
        <f t="shared" si="135"/>
        <v>1.8685427349514864E-5</v>
      </c>
      <c r="AC50" s="1166">
        <f t="shared" si="135"/>
        <v>3.8505099085664781E-5</v>
      </c>
      <c r="AD50" s="1166">
        <f t="shared" si="135"/>
        <v>1.6048151446065669E-5</v>
      </c>
      <c r="AE50" s="1175">
        <f t="shared" si="4"/>
        <v>1.8816749350455582E-3</v>
      </c>
      <c r="AF50" s="1153"/>
      <c r="AG50" s="1142"/>
      <c r="AH50" s="1142"/>
      <c r="AL50" s="1144" t="s">
        <v>399</v>
      </c>
      <c r="AM50" s="1144" t="s">
        <v>58</v>
      </c>
      <c r="AN50" s="1135">
        <f>SUMIFS(Table915[Count of EnergyRating],Table915[MainSpaceHeatingFuel],AL50,Table915[EnergyRating (group)],AM50,Table915[CountyName (group)],AN$4)</f>
        <v>0</v>
      </c>
      <c r="AO50" s="1129">
        <f>SUMIFS(Table915[Count of EnergyRating],Table915[MainSpaceHeatingFuel],AL50,Table915[EnergyRating (group)],AM50,Table915[CountyName (group)],AO$4)</f>
        <v>0</v>
      </c>
      <c r="AP50" s="1129">
        <f>SUMIFS(Table915[Count of EnergyRating],Table915[MainSpaceHeatingFuel],AL50,Table915[EnergyRating (group)],AM50,Table915[CountyName (group)],AP$4)</f>
        <v>0</v>
      </c>
      <c r="AQ50" s="1129">
        <f>SUMIFS(Table915[Count of EnergyRating],Table915[MainSpaceHeatingFuel],AL50,Table915[EnergyRating (group)],AM50,Table915[CountyName (group)],AQ$4)</f>
        <v>0</v>
      </c>
      <c r="AR50" s="1129">
        <f>SUMIFS(Table915[Count of EnergyRating],Table915[MainSpaceHeatingFuel],AL50,Table915[EnergyRating (group)],AM50,Table915[CountyName (group)],AR$4)</f>
        <v>0</v>
      </c>
      <c r="AS50" s="1129">
        <f>SUMIFS(Table915[Count of EnergyRating],Table915[MainSpaceHeatingFuel],AL50,Table915[EnergyRating (group)],AM50,Table915[CountyName (group)],AS$4)</f>
        <v>0</v>
      </c>
      <c r="AT50" s="1129">
        <f>SUMIFS(Table915[Count of EnergyRating],Table915[MainSpaceHeatingFuel],AL50,Table915[EnergyRating (group)],AM50,Table915[CountyName (group)],AT$4)</f>
        <v>0</v>
      </c>
      <c r="AU50" s="1129">
        <f>SUMIFS(Table915[Count of EnergyRating],Table915[MainSpaceHeatingFuel],AL50,Table915[EnergyRating (group)],AM50,Table915[CountyName (group)],AU$4)</f>
        <v>0</v>
      </c>
      <c r="AV50" s="1129">
        <f>SUMIFS(Table915[Count of EnergyRating],Table915[MainSpaceHeatingFuel],AL50,Table915[EnergyRating (group)],AM50,Table915[CountyName (group)],AV$4)</f>
        <v>0</v>
      </c>
      <c r="AW50" s="1129">
        <f>SUMIFS(Table915[Count of EnergyRating],Table915[MainSpaceHeatingFuel],AL50,Table915[EnergyRating (group)],AM50,Table915[CountyName (group)],AW$4)</f>
        <v>0</v>
      </c>
      <c r="AX50" s="1129">
        <f>SUMIFS(Table915[Count of EnergyRating],Table915[MainSpaceHeatingFuel],AL50,Table915[EnergyRating (group)],AM50,Table915[CountyName (group)],AX$4)</f>
        <v>0</v>
      </c>
      <c r="AY50" s="1129">
        <f>SUMIFS(Table915[Count of EnergyRating],Table915[MainSpaceHeatingFuel],AL50,Table915[EnergyRating (group)],AM50,Table915[CountyName (group)],AY$4)</f>
        <v>0</v>
      </c>
      <c r="AZ50" s="1129">
        <f>SUMIFS(Table915[Count of EnergyRating],Table915[MainSpaceHeatingFuel],AL50,Table915[EnergyRating (group)],AM50,Table915[CountyName (group)],AZ$4)</f>
        <v>0</v>
      </c>
      <c r="BA50" s="1129">
        <f>SUMIFS(Table915[Count of EnergyRating],Table915[MainSpaceHeatingFuel],AL50,Table915[EnergyRating (group)],AM50,Table915[CountyName (group)],BA$4)</f>
        <v>0</v>
      </c>
      <c r="BB50" s="1129">
        <f>SUMIFS(Table915[Count of EnergyRating],Table915[MainSpaceHeatingFuel],AL50,Table915[EnergyRating (group)],AM50,Table915[CountyName (group)],BB$4)</f>
        <v>0</v>
      </c>
      <c r="BC50" s="1129">
        <f>SUMIFS(Table915[Count of EnergyRating],Table915[MainSpaceHeatingFuel],AL50,Table915[EnergyRating (group)],AM50,Table915[CountyName (group)],BC$4)</f>
        <v>0</v>
      </c>
      <c r="BD50" s="1129">
        <f>SUMIFS(Table915[Count of EnergyRating],Table915[MainSpaceHeatingFuel],AL50,Table915[EnergyRating (group)],AM50,Table915[CountyName (group)],BD$4)</f>
        <v>0</v>
      </c>
      <c r="BE50" s="1129">
        <f>SUMIFS(Table915[Count of EnergyRating],Table915[MainSpaceHeatingFuel],AL50,Table915[EnergyRating (group)],AM50,Table915[CountyName (group)],BE$4)</f>
        <v>0</v>
      </c>
      <c r="BF50" s="1129">
        <f>SUMIFS(Table915[Count of EnergyRating],Table915[MainSpaceHeatingFuel],AL50,Table915[EnergyRating (group)],AM50,Table915[CountyName (group)],BF$4)</f>
        <v>0</v>
      </c>
      <c r="BG50" s="1129">
        <f>SUMIFS(Table915[Count of EnergyRating],Table915[MainSpaceHeatingFuel],AL50,Table915[EnergyRating (group)],AM50,Table915[CountyName (group)],BG$4)</f>
        <v>0</v>
      </c>
      <c r="BH50" s="1129">
        <f>SUMIFS(Table915[Count of EnergyRating],Table915[MainSpaceHeatingFuel],AL50,Table915[EnergyRating (group)],AM50,Table915[CountyName (group)],BH$4)</f>
        <v>0</v>
      </c>
      <c r="BI50" s="1129">
        <f>SUMIFS(Table915[Count of EnergyRating],Table915[MainSpaceHeatingFuel],AL50,Table915[EnergyRating (group)],AM50,Table915[CountyName (group)],BI$4)</f>
        <v>0</v>
      </c>
      <c r="BJ50" s="1129">
        <f>SUMIFS(Table915[Count of EnergyRating],Table915[MainSpaceHeatingFuel],AL50,Table915[EnergyRating (group)],AM50,Table915[CountyName (group)],BJ$4)</f>
        <v>0</v>
      </c>
      <c r="BK50" s="1135">
        <f>SUMIFS(Table915[Count of EnergyRating],Table915[MainSpaceHeatingFuel],AL50,Table915[EnergyRating (group)],AM50,Table915[CountyName (group)],BK$4)</f>
        <v>0</v>
      </c>
      <c r="BL50" s="1129">
        <f>SUMIFS(Table915[Count of EnergyRating],Table915[MainSpaceHeatingFuel],AL50,Table915[EnergyRating (group)],AM50,Table915[CountyName (group)],BL$4)</f>
        <v>0</v>
      </c>
      <c r="BM50" s="1129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37"/>
      <c r="C51" s="1137" t="s">
        <v>1124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F51" s="1153"/>
      <c r="AG51" s="1142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SUMIFS(Table915[Count of EnergyRating],Table915[MainSpaceHeatingFuel],AL51,Table915[EnergyRating (group)],AM51,Table915[CountyName (group)],AN$4)</f>
        <v>0</v>
      </c>
      <c r="AO51" s="1129">
        <f>SUMIFS(Table915[Count of EnergyRating],Table915[MainSpaceHeatingFuel],AL51,Table915[EnergyRating (group)],AM51,Table915[CountyName (group)],AO$4)</f>
        <v>0</v>
      </c>
      <c r="AP51" s="1129">
        <f>SUMIFS(Table915[Count of EnergyRating],Table915[MainSpaceHeatingFuel],AL51,Table915[EnergyRating (group)],AM51,Table915[CountyName (group)],AP$4)</f>
        <v>0</v>
      </c>
      <c r="AQ51" s="1129">
        <f>SUMIFS(Table915[Count of EnergyRating],Table915[MainSpaceHeatingFuel],AL51,Table915[EnergyRating (group)],AM51,Table915[CountyName (group)],AQ$4)</f>
        <v>0</v>
      </c>
      <c r="AR51" s="1129">
        <f>SUMIFS(Table915[Count of EnergyRating],Table915[MainSpaceHeatingFuel],AL51,Table915[EnergyRating (group)],AM51,Table915[CountyName (group)],AR$4)</f>
        <v>0</v>
      </c>
      <c r="AS51" s="1129">
        <f>SUMIFS(Table915[Count of EnergyRating],Table915[MainSpaceHeatingFuel],AL51,Table915[EnergyRating (group)],AM51,Table915[CountyName (group)],AS$4)</f>
        <v>0</v>
      </c>
      <c r="AT51" s="1129">
        <f>SUMIFS(Table915[Count of EnergyRating],Table915[MainSpaceHeatingFuel],AL51,Table915[EnergyRating (group)],AM51,Table915[CountyName (group)],AT$4)</f>
        <v>0</v>
      </c>
      <c r="AU51" s="1129">
        <f>SUMIFS(Table915[Count of EnergyRating],Table915[MainSpaceHeatingFuel],AL51,Table915[EnergyRating (group)],AM51,Table915[CountyName (group)],AU$4)</f>
        <v>0</v>
      </c>
      <c r="AV51" s="1129">
        <f>SUMIFS(Table915[Count of EnergyRating],Table915[MainSpaceHeatingFuel],AL51,Table915[EnergyRating (group)],AM51,Table915[CountyName (group)],AV$4)</f>
        <v>0</v>
      </c>
      <c r="AW51" s="1129">
        <f>SUMIFS(Table915[Count of EnergyRating],Table915[MainSpaceHeatingFuel],AL51,Table915[EnergyRating (group)],AM51,Table915[CountyName (group)],AW$4)</f>
        <v>0</v>
      </c>
      <c r="AX51" s="1129">
        <f>SUMIFS(Table915[Count of EnergyRating],Table915[MainSpaceHeatingFuel],AL51,Table915[EnergyRating (group)],AM51,Table915[CountyName (group)],AX$4)</f>
        <v>0</v>
      </c>
      <c r="AY51" s="1129">
        <f>SUMIFS(Table915[Count of EnergyRating],Table915[MainSpaceHeatingFuel],AL51,Table915[EnergyRating (group)],AM51,Table915[CountyName (group)],AY$4)</f>
        <v>0</v>
      </c>
      <c r="AZ51" s="1129">
        <f>SUMIFS(Table915[Count of EnergyRating],Table915[MainSpaceHeatingFuel],AL51,Table915[EnergyRating (group)],AM51,Table915[CountyName (group)],AZ$4)</f>
        <v>0</v>
      </c>
      <c r="BA51" s="1129">
        <f>SUMIFS(Table915[Count of EnergyRating],Table915[MainSpaceHeatingFuel],AL51,Table915[EnergyRating (group)],AM51,Table915[CountyName (group)],BA$4)</f>
        <v>0</v>
      </c>
      <c r="BB51" s="1129">
        <f>SUMIFS(Table915[Count of EnergyRating],Table915[MainSpaceHeatingFuel],AL51,Table915[EnergyRating (group)],AM51,Table915[CountyName (group)],BB$4)</f>
        <v>0</v>
      </c>
      <c r="BC51" s="1129">
        <f>SUMIFS(Table915[Count of EnergyRating],Table915[MainSpaceHeatingFuel],AL51,Table915[EnergyRating (group)],AM51,Table915[CountyName (group)],BC$4)</f>
        <v>0</v>
      </c>
      <c r="BD51" s="1129">
        <f>SUMIFS(Table915[Count of EnergyRating],Table915[MainSpaceHeatingFuel],AL51,Table915[EnergyRating (group)],AM51,Table915[CountyName (group)],BD$4)</f>
        <v>0</v>
      </c>
      <c r="BE51" s="1129">
        <f>SUMIFS(Table915[Count of EnergyRating],Table915[MainSpaceHeatingFuel],AL51,Table915[EnergyRating (group)],AM51,Table915[CountyName (group)],BE$4)</f>
        <v>0</v>
      </c>
      <c r="BF51" s="1129">
        <f>SUMIFS(Table915[Count of EnergyRating],Table915[MainSpaceHeatingFuel],AL51,Table915[EnergyRating (group)],AM51,Table915[CountyName (group)],BF$4)</f>
        <v>0</v>
      </c>
      <c r="BG51" s="1129">
        <f>SUMIFS(Table915[Count of EnergyRating],Table915[MainSpaceHeatingFuel],AL51,Table915[EnergyRating (group)],AM51,Table915[CountyName (group)],BG$4)</f>
        <v>0</v>
      </c>
      <c r="BH51" s="1129">
        <f>SUMIFS(Table915[Count of EnergyRating],Table915[MainSpaceHeatingFuel],AL51,Table915[EnergyRating (group)],AM51,Table915[CountyName (group)],BH$4)</f>
        <v>0</v>
      </c>
      <c r="BI51" s="1129">
        <f>SUMIFS(Table915[Count of EnergyRating],Table915[MainSpaceHeatingFuel],AL51,Table915[EnergyRating (group)],AM51,Table915[CountyName (group)],BI$4)</f>
        <v>0</v>
      </c>
      <c r="BJ51" s="1129">
        <f>SUMIFS(Table915[Count of EnergyRating],Table915[MainSpaceHeatingFuel],AL51,Table915[EnergyRating (group)],AM51,Table915[CountyName (group)],BJ$4)</f>
        <v>0</v>
      </c>
      <c r="BK51" s="1135">
        <f>SUMIFS(Table915[Count of EnergyRating],Table915[MainSpaceHeatingFuel],AL51,Table915[EnergyRating (group)],AM51,Table915[CountyName (group)],BK$4)</f>
        <v>0</v>
      </c>
      <c r="BL51" s="1129">
        <f>SUMIFS(Table915[Count of EnergyRating],Table915[MainSpaceHeatingFuel],AL51,Table915[EnergyRating (group)],AM51,Table915[CountyName (group)],BL$4)</f>
        <v>0</v>
      </c>
      <c r="BM51" s="1129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34" t="s">
        <v>1259</v>
      </c>
      <c r="C52" s="1134" t="s">
        <v>1139</v>
      </c>
      <c r="D52" s="1134" t="s">
        <v>1094</v>
      </c>
      <c r="E52" s="1145">
        <f t="shared" ref="E52:AD52" si="136">IFERROR(G208*((SUM(AN$55:AN$58)/SUM(AN$55:AN$63))/(SUM(G$208)/SUM(G$208:G$213))),0)</f>
        <v>1.4382789691546972E-2</v>
      </c>
      <c r="F52" s="1145">
        <f t="shared" si="136"/>
        <v>0.54269440768178456</v>
      </c>
      <c r="G52" s="1145">
        <f t="shared" si="136"/>
        <v>0.18018108433715416</v>
      </c>
      <c r="H52" s="1145">
        <f t="shared" si="136"/>
        <v>5.6250968584764589E-2</v>
      </c>
      <c r="I52" s="1145">
        <f t="shared" si="136"/>
        <v>4.9138635060198749E-2</v>
      </c>
      <c r="J52" s="1145">
        <f t="shared" si="136"/>
        <v>2.8092408198754408E-2</v>
      </c>
      <c r="K52" s="1145">
        <f t="shared" si="136"/>
        <v>0.14713734353240346</v>
      </c>
      <c r="L52" s="1145">
        <f t="shared" si="136"/>
        <v>4.0348128928506449E-2</v>
      </c>
      <c r="M52" s="1145">
        <f t="shared" si="136"/>
        <v>8.3143270542724822E-3</v>
      </c>
      <c r="N52" s="1145">
        <f t="shared" si="136"/>
        <v>2.6274502201654656E-2</v>
      </c>
      <c r="O52" s="1145">
        <f t="shared" si="136"/>
        <v>3.3743890628456633E-2</v>
      </c>
      <c r="P52" s="1145">
        <f t="shared" si="136"/>
        <v>6.2271173080111097E-2</v>
      </c>
      <c r="Q52" s="1145">
        <f t="shared" si="136"/>
        <v>2.3831226199234647E-2</v>
      </c>
      <c r="R52" s="1145">
        <f t="shared" si="136"/>
        <v>0.3460091894894145</v>
      </c>
      <c r="S52" s="1145">
        <f t="shared" si="136"/>
        <v>6.3212543764421023E-2</v>
      </c>
      <c r="T52" s="1145">
        <f t="shared" si="136"/>
        <v>1.8304518969231839E-2</v>
      </c>
      <c r="U52" s="1145">
        <f t="shared" si="136"/>
        <v>1.6618336010811634E-2</v>
      </c>
      <c r="V52" s="1145">
        <f t="shared" si="136"/>
        <v>5.3554460080205958E-2</v>
      </c>
      <c r="W52" s="1145">
        <f t="shared" si="136"/>
        <v>0.11626932087413377</v>
      </c>
      <c r="X52" s="1145">
        <f t="shared" si="136"/>
        <v>7.8195896896641401E-3</v>
      </c>
      <c r="Y52" s="1145">
        <f t="shared" si="136"/>
        <v>6.7457607381306253E-2</v>
      </c>
      <c r="Z52" s="1145">
        <f t="shared" si="136"/>
        <v>5.1300417790406871E-3</v>
      </c>
      <c r="AA52" s="1145">
        <f t="shared" si="136"/>
        <v>4.5786156507211268E-2</v>
      </c>
      <c r="AB52" s="1145">
        <f t="shared" si="136"/>
        <v>1.5506078555250128E-2</v>
      </c>
      <c r="AC52" s="1145">
        <f t="shared" si="136"/>
        <v>2.3359377920081848E-2</v>
      </c>
      <c r="AD52" s="1145">
        <f t="shared" si="136"/>
        <v>3.6004006052559705E-2</v>
      </c>
      <c r="AE52" s="1172">
        <f t="shared" si="4"/>
        <v>2.0276921122521756</v>
      </c>
      <c r="AF52" s="1153"/>
      <c r="AG52" s="58" t="s">
        <v>1163</v>
      </c>
      <c r="AH52" s="1158">
        <f>SUM(E52:AD57)</f>
        <v>8.665256402509792</v>
      </c>
      <c r="AI52" s="1140">
        <f>'SHWLP-Att'!S10</f>
        <v>8.6652564025097849</v>
      </c>
      <c r="AJ52" s="1160">
        <f>IFERROR((AI52-AH52)/AI52,"N/A")</f>
        <v>-8.1999043392911053E-16</v>
      </c>
      <c r="AL52" s="1144" t="s">
        <v>399</v>
      </c>
      <c r="AM52" s="1144" t="s">
        <v>62</v>
      </c>
      <c r="AN52" s="1135">
        <f>SUMIFS(Table915[Count of EnergyRating],Table915[MainSpaceHeatingFuel],AL52,Table915[EnergyRating (group)],AM52,Table915[CountyName (group)],AN$4)</f>
        <v>0</v>
      </c>
      <c r="AO52" s="1129">
        <f>SUMIFS(Table915[Count of EnergyRating],Table915[MainSpaceHeatingFuel],AL52,Table915[EnergyRating (group)],AM52,Table915[CountyName (group)],AO$4)</f>
        <v>0</v>
      </c>
      <c r="AP52" s="1129">
        <f>SUMIFS(Table915[Count of EnergyRating],Table915[MainSpaceHeatingFuel],AL52,Table915[EnergyRating (group)],AM52,Table915[CountyName (group)],AP$4)</f>
        <v>0</v>
      </c>
      <c r="AQ52" s="1129">
        <f>SUMIFS(Table915[Count of EnergyRating],Table915[MainSpaceHeatingFuel],AL52,Table915[EnergyRating (group)],AM52,Table915[CountyName (group)],AQ$4)</f>
        <v>0</v>
      </c>
      <c r="AR52" s="1129">
        <f>SUMIFS(Table915[Count of EnergyRating],Table915[MainSpaceHeatingFuel],AL52,Table915[EnergyRating (group)],AM52,Table915[CountyName (group)],AR$4)</f>
        <v>0</v>
      </c>
      <c r="AS52" s="1129">
        <f>SUMIFS(Table915[Count of EnergyRating],Table915[MainSpaceHeatingFuel],AL52,Table915[EnergyRating (group)],AM52,Table915[CountyName (group)],AS$4)</f>
        <v>0</v>
      </c>
      <c r="AT52" s="1129">
        <f>SUMIFS(Table915[Count of EnergyRating],Table915[MainSpaceHeatingFuel],AL52,Table915[EnergyRating (group)],AM52,Table915[CountyName (group)],AT$4)</f>
        <v>0</v>
      </c>
      <c r="AU52" s="1129">
        <f>SUMIFS(Table915[Count of EnergyRating],Table915[MainSpaceHeatingFuel],AL52,Table915[EnergyRating (group)],AM52,Table915[CountyName (group)],AU$4)</f>
        <v>0</v>
      </c>
      <c r="AV52" s="1129">
        <f>SUMIFS(Table915[Count of EnergyRating],Table915[MainSpaceHeatingFuel],AL52,Table915[EnergyRating (group)],AM52,Table915[CountyName (group)],AV$4)</f>
        <v>0</v>
      </c>
      <c r="AW52" s="1129">
        <f>SUMIFS(Table915[Count of EnergyRating],Table915[MainSpaceHeatingFuel],AL52,Table915[EnergyRating (group)],AM52,Table915[CountyName (group)],AW$4)</f>
        <v>0</v>
      </c>
      <c r="AX52" s="1129">
        <f>SUMIFS(Table915[Count of EnergyRating],Table915[MainSpaceHeatingFuel],AL52,Table915[EnergyRating (group)],AM52,Table915[CountyName (group)],AX$4)</f>
        <v>0</v>
      </c>
      <c r="AY52" s="1129">
        <f>SUMIFS(Table915[Count of EnergyRating],Table915[MainSpaceHeatingFuel],AL52,Table915[EnergyRating (group)],AM52,Table915[CountyName (group)],AY$4)</f>
        <v>0</v>
      </c>
      <c r="AZ52" s="1129">
        <f>SUMIFS(Table915[Count of EnergyRating],Table915[MainSpaceHeatingFuel],AL52,Table915[EnergyRating (group)],AM52,Table915[CountyName (group)],AZ$4)</f>
        <v>0</v>
      </c>
      <c r="BA52" s="1129">
        <f>SUMIFS(Table915[Count of EnergyRating],Table915[MainSpaceHeatingFuel],AL52,Table915[EnergyRating (group)],AM52,Table915[CountyName (group)],BA$4)</f>
        <v>0</v>
      </c>
      <c r="BB52" s="1129">
        <f>SUMIFS(Table915[Count of EnergyRating],Table915[MainSpaceHeatingFuel],AL52,Table915[EnergyRating (group)],AM52,Table915[CountyName (group)],BB$4)</f>
        <v>0</v>
      </c>
      <c r="BC52" s="1129">
        <f>SUMIFS(Table915[Count of EnergyRating],Table915[MainSpaceHeatingFuel],AL52,Table915[EnergyRating (group)],AM52,Table915[CountyName (group)],BC$4)</f>
        <v>0</v>
      </c>
      <c r="BD52" s="1129">
        <f>SUMIFS(Table915[Count of EnergyRating],Table915[MainSpaceHeatingFuel],AL52,Table915[EnergyRating (group)],AM52,Table915[CountyName (group)],BD$4)</f>
        <v>0</v>
      </c>
      <c r="BE52" s="1129">
        <f>SUMIFS(Table915[Count of EnergyRating],Table915[MainSpaceHeatingFuel],AL52,Table915[EnergyRating (group)],AM52,Table915[CountyName (group)],BE$4)</f>
        <v>0</v>
      </c>
      <c r="BF52" s="1152">
        <f>SUMIFS(Table915[Count of EnergyRating],Table915[MainSpaceHeatingFuel],AL52,Table915[EnergyRating (group)],AM52,Table915[CountyName (group)],BF$4)</f>
        <v>0</v>
      </c>
      <c r="BG52" s="1129">
        <f>SUMIFS(Table915[Count of EnergyRating],Table915[MainSpaceHeatingFuel],AL52,Table915[EnergyRating (group)],AM52,Table915[CountyName (group)],BG$4)</f>
        <v>0</v>
      </c>
      <c r="BH52" s="1129">
        <f>SUMIFS(Table915[Count of EnergyRating],Table915[MainSpaceHeatingFuel],AL52,Table915[EnergyRating (group)],AM52,Table915[CountyName (group)],BH$4)</f>
        <v>0</v>
      </c>
      <c r="BI52" s="1129">
        <f>SUMIFS(Table915[Count of EnergyRating],Table915[MainSpaceHeatingFuel],AL52,Table915[EnergyRating (group)],AM52,Table915[CountyName (group)],BI$4)</f>
        <v>0</v>
      </c>
      <c r="BJ52" s="1129">
        <f>SUMIFS(Table915[Count of EnergyRating],Table915[MainSpaceHeatingFuel],AL52,Table915[EnergyRating (group)],AM52,Table915[CountyName (group)],BJ$4)</f>
        <v>0</v>
      </c>
      <c r="BK52" s="1135">
        <f>SUMIFS(Table915[Count of EnergyRating],Table915[MainSpaceHeatingFuel],AL52,Table915[EnergyRating (group)],AM52,Table915[CountyName (group)],BK$4)</f>
        <v>0</v>
      </c>
      <c r="BL52" s="1129">
        <f>SUMIFS(Table915[Count of EnergyRating],Table915[MainSpaceHeatingFuel],AL52,Table915[EnergyRating (group)],AM52,Table915[CountyName (group)],BL$4)</f>
        <v>0</v>
      </c>
      <c r="BM52" s="1129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36" t="s">
        <v>56</v>
      </c>
      <c r="C53" s="1136" t="s">
        <v>1139</v>
      </c>
      <c r="D53" s="1136" t="s">
        <v>1094</v>
      </c>
      <c r="E53" s="1146">
        <f t="shared" ref="E53:AD53" si="137">IFERROR(G209*((SUM(AN$59)/SUM(AN$55:AN$63))/(SUM(G$209)/SUM(G$208:G$213))),0)</f>
        <v>8.1754804562477537E-2</v>
      </c>
      <c r="F53" s="1146">
        <f t="shared" si="137"/>
        <v>0.99493974741660507</v>
      </c>
      <c r="G53" s="1146">
        <f t="shared" si="137"/>
        <v>0.15678094351414715</v>
      </c>
      <c r="H53" s="1146">
        <f t="shared" si="137"/>
        <v>7.0798632873927847E-2</v>
      </c>
      <c r="I53" s="1146">
        <f t="shared" si="137"/>
        <v>5.6698425069460094E-2</v>
      </c>
      <c r="J53" s="1146">
        <f t="shared" si="137"/>
        <v>1.9792378503667878E-2</v>
      </c>
      <c r="K53" s="1146">
        <f t="shared" si="137"/>
        <v>9.8091562354935644E-2</v>
      </c>
      <c r="L53" s="1146">
        <f t="shared" si="137"/>
        <v>0.17753176728542835</v>
      </c>
      <c r="M53" s="1146">
        <f t="shared" si="137"/>
        <v>9.14575975969973E-2</v>
      </c>
      <c r="N53" s="1146">
        <f t="shared" si="137"/>
        <v>9.7518825479218238E-2</v>
      </c>
      <c r="O53" s="1146">
        <f t="shared" si="137"/>
        <v>0.12653958985671238</v>
      </c>
      <c r="P53" s="1146">
        <f t="shared" si="137"/>
        <v>9.1011714501700855E-2</v>
      </c>
      <c r="Q53" s="1146">
        <f t="shared" si="137"/>
        <v>9.3338969280335721E-2</v>
      </c>
      <c r="R53" s="1146">
        <f t="shared" si="137"/>
        <v>0.5539928553027238</v>
      </c>
      <c r="S53" s="1146">
        <f t="shared" si="137"/>
        <v>9.3812246478408301E-2</v>
      </c>
      <c r="T53" s="1146">
        <f t="shared" si="137"/>
        <v>0.21355272130770481</v>
      </c>
      <c r="U53" s="1146">
        <f t="shared" si="137"/>
        <v>0.16618336010811635</v>
      </c>
      <c r="V53" s="1146">
        <f t="shared" si="137"/>
        <v>0.11122849401273545</v>
      </c>
      <c r="W53" s="1146">
        <f t="shared" si="137"/>
        <v>0.14344916211743775</v>
      </c>
      <c r="X53" s="1146">
        <f t="shared" si="137"/>
        <v>2.1859307541561117E-2</v>
      </c>
      <c r="Y53" s="1146">
        <f t="shared" si="137"/>
        <v>4.242179433257403E-2</v>
      </c>
      <c r="Z53" s="1146">
        <f t="shared" si="137"/>
        <v>4.9327324798468145E-2</v>
      </c>
      <c r="AA53" s="1146">
        <f t="shared" si="137"/>
        <v>4.6967734739655417E-2</v>
      </c>
      <c r="AB53" s="1146">
        <f t="shared" si="137"/>
        <v>6.7047410091011117E-2</v>
      </c>
      <c r="AC53" s="1146">
        <f t="shared" si="137"/>
        <v>9.7684671302160464E-2</v>
      </c>
      <c r="AD53" s="1146">
        <f t="shared" si="137"/>
        <v>3.1266636835117635E-2</v>
      </c>
      <c r="AE53" s="1173">
        <f t="shared" si="4"/>
        <v>3.7950486772632877</v>
      </c>
      <c r="AF53" s="1153"/>
      <c r="AG53" s="58" t="s">
        <v>1107</v>
      </c>
      <c r="AH53" s="1158">
        <f>SUM(E59:AD59)</f>
        <v>7.7163349401361288</v>
      </c>
      <c r="AI53" s="1140">
        <f>'SHWLP-Att'!S36</f>
        <v>7.7163349401361252</v>
      </c>
      <c r="AJ53" s="1160">
        <f>(AI53-AH53)/AI53</f>
        <v>-4.604146536357877E-16</v>
      </c>
      <c r="AL53" s="1144" t="s">
        <v>399</v>
      </c>
      <c r="AM53" s="1144" t="s">
        <v>64</v>
      </c>
      <c r="AN53" s="1135">
        <f>SUMIFS(Table915[Count of EnergyRating],Table915[MainSpaceHeatingFuel],AL53,Table915[EnergyRating (group)],AM53,Table915[CountyName (group)],AN$4)</f>
        <v>0</v>
      </c>
      <c r="AO53" s="1129">
        <f>SUMIFS(Table915[Count of EnergyRating],Table915[MainSpaceHeatingFuel],AL53,Table915[EnergyRating (group)],AM53,Table915[CountyName (group)],AO$4)</f>
        <v>0</v>
      </c>
      <c r="AP53" s="1129">
        <f>SUMIFS(Table915[Count of EnergyRating],Table915[MainSpaceHeatingFuel],AL53,Table915[EnergyRating (group)],AM53,Table915[CountyName (group)],AP$4)</f>
        <v>0</v>
      </c>
      <c r="AQ53" s="1129">
        <f>SUMIFS(Table915[Count of EnergyRating],Table915[MainSpaceHeatingFuel],AL53,Table915[EnergyRating (group)],AM53,Table915[CountyName (group)],AQ$4)</f>
        <v>0</v>
      </c>
      <c r="AR53" s="1129">
        <f>SUMIFS(Table915[Count of EnergyRating],Table915[MainSpaceHeatingFuel],AL53,Table915[EnergyRating (group)],AM53,Table915[CountyName (group)],AR$4)</f>
        <v>0</v>
      </c>
      <c r="AS53" s="1129">
        <f>SUMIFS(Table915[Count of EnergyRating],Table915[MainSpaceHeatingFuel],AL53,Table915[EnergyRating (group)],AM53,Table915[CountyName (group)],AS$4)</f>
        <v>0</v>
      </c>
      <c r="AT53" s="1129">
        <f>SUMIFS(Table915[Count of EnergyRating],Table915[MainSpaceHeatingFuel],AL53,Table915[EnergyRating (group)],AM53,Table915[CountyName (group)],AT$4)</f>
        <v>0</v>
      </c>
      <c r="AU53" s="1129">
        <f>SUMIFS(Table915[Count of EnergyRating],Table915[MainSpaceHeatingFuel],AL53,Table915[EnergyRating (group)],AM53,Table915[CountyName (group)],AU$4)</f>
        <v>0</v>
      </c>
      <c r="AV53" s="1129">
        <f>SUMIFS(Table915[Count of EnergyRating],Table915[MainSpaceHeatingFuel],AL53,Table915[EnergyRating (group)],AM53,Table915[CountyName (group)],AV$4)</f>
        <v>0</v>
      </c>
      <c r="AW53" s="1129">
        <f>SUMIFS(Table915[Count of EnergyRating],Table915[MainSpaceHeatingFuel],AL53,Table915[EnergyRating (group)],AM53,Table915[CountyName (group)],AW$4)</f>
        <v>0</v>
      </c>
      <c r="AX53" s="1129">
        <f>SUMIFS(Table915[Count of EnergyRating],Table915[MainSpaceHeatingFuel],AL53,Table915[EnergyRating (group)],AM53,Table915[CountyName (group)],AX$4)</f>
        <v>0</v>
      </c>
      <c r="AY53" s="1129">
        <f>SUMIFS(Table915[Count of EnergyRating],Table915[MainSpaceHeatingFuel],AL53,Table915[EnergyRating (group)],AM53,Table915[CountyName (group)],AY$4)</f>
        <v>0</v>
      </c>
      <c r="AZ53" s="1129">
        <f>SUMIFS(Table915[Count of EnergyRating],Table915[MainSpaceHeatingFuel],AL53,Table915[EnergyRating (group)],AM53,Table915[CountyName (group)],AZ$4)</f>
        <v>0</v>
      </c>
      <c r="BA53" s="1129">
        <f>SUMIFS(Table915[Count of EnergyRating],Table915[MainSpaceHeatingFuel],AL53,Table915[EnergyRating (group)],AM53,Table915[CountyName (group)],BA$4)</f>
        <v>0</v>
      </c>
      <c r="BB53" s="1129">
        <f>SUMIFS(Table915[Count of EnergyRating],Table915[MainSpaceHeatingFuel],AL53,Table915[EnergyRating (group)],AM53,Table915[CountyName (group)],BB$4)</f>
        <v>0</v>
      </c>
      <c r="BC53" s="1129">
        <f>SUMIFS(Table915[Count of EnergyRating],Table915[MainSpaceHeatingFuel],AL53,Table915[EnergyRating (group)],AM53,Table915[CountyName (group)],BC$4)</f>
        <v>0</v>
      </c>
      <c r="BD53" s="1129">
        <f>SUMIFS(Table915[Count of EnergyRating],Table915[MainSpaceHeatingFuel],AL53,Table915[EnergyRating (group)],AM53,Table915[CountyName (group)],BD$4)</f>
        <v>0</v>
      </c>
      <c r="BE53" s="1129">
        <f>SUMIFS(Table915[Count of EnergyRating],Table915[MainSpaceHeatingFuel],AL53,Table915[EnergyRating (group)],AM53,Table915[CountyName (group)],BE$4)</f>
        <v>0</v>
      </c>
      <c r="BF53" s="1129">
        <f>SUMIFS(Table915[Count of EnergyRating],Table915[MainSpaceHeatingFuel],AL53,Table915[EnergyRating (group)],AM53,Table915[CountyName (group)],BF$4)</f>
        <v>0</v>
      </c>
      <c r="BG53" s="1129">
        <f>SUMIFS(Table915[Count of EnergyRating],Table915[MainSpaceHeatingFuel],AL53,Table915[EnergyRating (group)],AM53,Table915[CountyName (group)],BG$4)</f>
        <v>0</v>
      </c>
      <c r="BH53" s="1129">
        <f>SUMIFS(Table915[Count of EnergyRating],Table915[MainSpaceHeatingFuel],AL53,Table915[EnergyRating (group)],AM53,Table915[CountyName (group)],BH$4)</f>
        <v>0</v>
      </c>
      <c r="BI53" s="1129">
        <f>SUMIFS(Table915[Count of EnergyRating],Table915[MainSpaceHeatingFuel],AL53,Table915[EnergyRating (group)],AM53,Table915[CountyName (group)],BI$4)</f>
        <v>0</v>
      </c>
      <c r="BJ53" s="1129">
        <f>SUMIFS(Table915[Count of EnergyRating],Table915[MainSpaceHeatingFuel],AL53,Table915[EnergyRating (group)],AM53,Table915[CountyName (group)],BJ$4)</f>
        <v>0</v>
      </c>
      <c r="BK53" s="1135">
        <f>SUMIFS(Table915[Count of EnergyRating],Table915[MainSpaceHeatingFuel],AL53,Table915[EnergyRating (group)],AM53,Table915[CountyName (group)],BK$4)</f>
        <v>0</v>
      </c>
      <c r="BL53" s="1129">
        <f>SUMIFS(Table915[Count of EnergyRating],Table915[MainSpaceHeatingFuel],AL53,Table915[EnergyRating (group)],AM53,Table915[CountyName (group)],BL$4)</f>
        <v>0</v>
      </c>
      <c r="BM53" s="1129">
        <f>SUMIFS(Table915[Count of EnergyRating],Table915[MainSpaceHeatingFuel],AL53,Table915[EnergyRating (group)],AM53,Table915[CountyName (group)],BM$4)</f>
        <v>0</v>
      </c>
      <c r="BO53"/>
    </row>
    <row r="54" spans="2:67">
      <c r="B54" s="1134" t="s">
        <v>58</v>
      </c>
      <c r="C54" s="1134" t="s">
        <v>1139</v>
      </c>
      <c r="D54" s="1134" t="s">
        <v>1094</v>
      </c>
      <c r="E54" s="1145">
        <f t="shared" ref="E54:AD54" si="138">IFERROR(G210*((SUM(AN$60)/SUM(AN$55:AN$63))/(SUM(G$210)/SUM(G$208:G$213))),0)</f>
        <v>4.5419335868043071E-3</v>
      </c>
      <c r="F54" s="1145">
        <f t="shared" si="138"/>
        <v>0.76881707754919493</v>
      </c>
      <c r="G54" s="1145">
        <f t="shared" si="138"/>
        <v>7.9560478798223921E-2</v>
      </c>
      <c r="H54" s="1145">
        <f t="shared" si="138"/>
        <v>1.1638131431330606E-2</v>
      </c>
      <c r="I54" s="1145">
        <f t="shared" si="138"/>
        <v>1.5119580018522691E-2</v>
      </c>
      <c r="J54" s="1145">
        <f t="shared" si="138"/>
        <v>3.8307829361937827E-3</v>
      </c>
      <c r="K54" s="1145">
        <f t="shared" si="138"/>
        <v>1.4425229758078769E-2</v>
      </c>
      <c r="L54" s="1145">
        <f t="shared" si="138"/>
        <v>6.0522193392759674E-2</v>
      </c>
      <c r="M54" s="1145">
        <f t="shared" si="138"/>
        <v>1.4550072344976843E-2</v>
      </c>
      <c r="N54" s="1145">
        <f t="shared" si="138"/>
        <v>1.2126693323840611E-2</v>
      </c>
      <c r="O54" s="1145">
        <f t="shared" si="138"/>
        <v>3.5149886071308992E-2</v>
      </c>
      <c r="P54" s="1145">
        <f t="shared" si="138"/>
        <v>6.7061263317042721E-2</v>
      </c>
      <c r="Q54" s="1145">
        <f t="shared" si="138"/>
        <v>3.4753871540550527E-2</v>
      </c>
      <c r="R54" s="1145">
        <f t="shared" si="138"/>
        <v>7.3739663333809644E-2</v>
      </c>
      <c r="S54" s="1145">
        <f t="shared" si="138"/>
        <v>1.2481457685968486E-2</v>
      </c>
      <c r="T54" s="1145">
        <f t="shared" si="138"/>
        <v>4.8812050584618245E-2</v>
      </c>
      <c r="U54" s="1145">
        <f t="shared" si="138"/>
        <v>2.4927504016217454E-2</v>
      </c>
      <c r="V54" s="1145">
        <f t="shared" si="138"/>
        <v>3.7076164670911814E-2</v>
      </c>
      <c r="W54" s="1145">
        <f t="shared" si="138"/>
        <v>3.0954819193762889E-2</v>
      </c>
      <c r="X54" s="1145">
        <f t="shared" si="138"/>
        <v>8.8858973746183396E-4</v>
      </c>
      <c r="Y54" s="1145">
        <f t="shared" si="138"/>
        <v>2.7122130802793236E-2</v>
      </c>
      <c r="Z54" s="1145">
        <f t="shared" si="138"/>
        <v>3.9461859838774514E-3</v>
      </c>
      <c r="AA54" s="1145">
        <f t="shared" si="138"/>
        <v>4.7263129297766453E-3</v>
      </c>
      <c r="AB54" s="1145">
        <f t="shared" si="138"/>
        <v>2.6207456713098812E-3</v>
      </c>
      <c r="AC54" s="1145">
        <f t="shared" si="138"/>
        <v>4.0348016407414103E-2</v>
      </c>
      <c r="AD54" s="1145">
        <f t="shared" si="138"/>
        <v>5.6848430609304796E-3</v>
      </c>
      <c r="AE54" s="1172">
        <f t="shared" si="4"/>
        <v>1.4354256781476802</v>
      </c>
      <c r="AF54" s="1153"/>
      <c r="AG54" s="1142"/>
      <c r="AH54" s="1142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  <c r="BO54"/>
    </row>
    <row r="55" spans="2:67">
      <c r="B55" s="1136" t="s">
        <v>60</v>
      </c>
      <c r="C55" s="1136" t="s">
        <v>1139</v>
      </c>
      <c r="D55" s="1136" t="s">
        <v>1094</v>
      </c>
      <c r="E55" s="1146">
        <f t="shared" ref="E55:AD55" si="139">IFERROR(G211*((SUM(AN$61)/SUM(AN$55:AN$63))/(SUM(G$211)/SUM(G$208:G$213))),0)</f>
        <v>0</v>
      </c>
      <c r="F55" s="1146">
        <f t="shared" si="139"/>
        <v>0.49746987370830253</v>
      </c>
      <c r="G55" s="1146">
        <f t="shared" si="139"/>
        <v>9.3600563292028146E-3</v>
      </c>
      <c r="H55" s="1146">
        <f t="shared" si="139"/>
        <v>9.6984428594421707E-4</v>
      </c>
      <c r="I55" s="1146">
        <f t="shared" si="139"/>
        <v>3.7798950046306731E-3</v>
      </c>
      <c r="J55" s="1146">
        <f t="shared" si="139"/>
        <v>0</v>
      </c>
      <c r="K55" s="1146">
        <f t="shared" si="139"/>
        <v>5.7700919032315084E-3</v>
      </c>
      <c r="L55" s="1146">
        <f t="shared" si="139"/>
        <v>1.6139251571402578E-2</v>
      </c>
      <c r="M55" s="1146">
        <f t="shared" si="139"/>
        <v>0</v>
      </c>
      <c r="N55" s="1146">
        <f t="shared" si="139"/>
        <v>5.0527888849335881E-4</v>
      </c>
      <c r="O55" s="1146">
        <f t="shared" si="139"/>
        <v>4.2179863285570791E-3</v>
      </c>
      <c r="P55" s="1146">
        <f t="shared" si="139"/>
        <v>2.874054142158974E-2</v>
      </c>
      <c r="Q55" s="1146">
        <f t="shared" si="139"/>
        <v>1.0922645341315882E-2</v>
      </c>
      <c r="R55" s="1146">
        <f t="shared" si="139"/>
        <v>2.4579887777936547E-2</v>
      </c>
      <c r="S55" s="1146">
        <f t="shared" si="139"/>
        <v>3.2210213383144478E-3</v>
      </c>
      <c r="T55" s="1146">
        <f t="shared" si="139"/>
        <v>3.0507531615386402E-2</v>
      </c>
      <c r="U55" s="1146">
        <f t="shared" si="139"/>
        <v>1.454104400946018E-2</v>
      </c>
      <c r="V55" s="1146">
        <f t="shared" si="139"/>
        <v>2.4717443113941213E-2</v>
      </c>
      <c r="W55" s="1146">
        <f t="shared" si="139"/>
        <v>1.1324933851376666E-2</v>
      </c>
      <c r="X55" s="1146">
        <f t="shared" si="139"/>
        <v>0</v>
      </c>
      <c r="Y55" s="1146">
        <f t="shared" si="139"/>
        <v>2.0863177540610183E-3</v>
      </c>
      <c r="Z55" s="1146">
        <f t="shared" si="139"/>
        <v>7.8923719677549025E-4</v>
      </c>
      <c r="AA55" s="1146">
        <f t="shared" si="139"/>
        <v>1.1815782324441613E-3</v>
      </c>
      <c r="AB55" s="1146">
        <f t="shared" si="139"/>
        <v>2.183954726091567E-4</v>
      </c>
      <c r="AC55" s="1146">
        <f t="shared" si="139"/>
        <v>8.4943192436661274E-3</v>
      </c>
      <c r="AD55" s="1146">
        <f t="shared" si="139"/>
        <v>0</v>
      </c>
      <c r="AE55" s="1173">
        <f t="shared" si="4"/>
        <v>0.69953717438864205</v>
      </c>
      <c r="AF55" s="1153"/>
      <c r="AG55" s="1142"/>
      <c r="AH55" s="1142"/>
      <c r="AL55" s="1144" t="s">
        <v>1132</v>
      </c>
      <c r="AM55" s="1144" t="s">
        <v>48</v>
      </c>
      <c r="AN55" s="1135">
        <f>SUMIFS(Table915[Count of EnergyRating],Table915[MainSpaceHeatingFuel],AL55,Table915[EnergyRating (group)],AM55,Table915[CountyName (group)],AN$4)</f>
        <v>10</v>
      </c>
      <c r="AO55" s="1129">
        <f>SUMIFS(Table915[Count of EnergyRating],Table915[MainSpaceHeatingFuel],AL55,Table915[EnergyRating (group)],AM55,Table915[CountyName (group)],AO$4)</f>
        <v>0</v>
      </c>
      <c r="AP55" s="1129">
        <f>SUMIFS(Table915[Count of EnergyRating],Table915[MainSpaceHeatingFuel],AL55,Table915[EnergyRating (group)],AM55,Table915[CountyName (group)],AP$4)</f>
        <v>10</v>
      </c>
      <c r="AQ55" s="1129">
        <f>SUMIFS(Table915[Count of EnergyRating],Table915[MainSpaceHeatingFuel],AL55,Table915[EnergyRating (group)],AM55,Table915[CountyName (group)],AQ$4)</f>
        <v>0</v>
      </c>
      <c r="AR55" s="1129">
        <f>SUMIFS(Table915[Count of EnergyRating],Table915[MainSpaceHeatingFuel],AL55,Table915[EnergyRating (group)],AM55,Table915[CountyName (group)],AR$4)</f>
        <v>2</v>
      </c>
      <c r="AS55" s="1129">
        <f>SUMIFS(Table915[Count of EnergyRating],Table915[MainSpaceHeatingFuel],AL55,Table915[EnergyRating (group)],AM55,Table915[CountyName (group)],AS$4)</f>
        <v>0</v>
      </c>
      <c r="AT55" s="1129">
        <f>SUMIFS(Table915[Count of EnergyRating],Table915[MainSpaceHeatingFuel],AL55,Table915[EnergyRating (group)],AM55,Table915[CountyName (group)],AT$4)</f>
        <v>8</v>
      </c>
      <c r="AU55" s="1129">
        <f>SUMIFS(Table915[Count of EnergyRating],Table915[MainSpaceHeatingFuel],AL55,Table915[EnergyRating (group)],AM55,Table915[CountyName (group)],AU$4)</f>
        <v>0</v>
      </c>
      <c r="AV55" s="1129">
        <f>SUMIFS(Table915[Count of EnergyRating],Table915[MainSpaceHeatingFuel],AL55,Table915[EnergyRating (group)],AM55,Table915[CountyName (group)],AV$4)</f>
        <v>0</v>
      </c>
      <c r="AW55" s="1129">
        <f>SUMIFS(Table915[Count of EnergyRating],Table915[MainSpaceHeatingFuel],AL55,Table915[EnergyRating (group)],AM55,Table915[CountyName (group)],AW$4)</f>
        <v>0</v>
      </c>
      <c r="AX55" s="1129">
        <f>SUMIFS(Table915[Count of EnergyRating],Table915[MainSpaceHeatingFuel],AL55,Table915[EnergyRating (group)],AM55,Table915[CountyName (group)],AX$4)</f>
        <v>0</v>
      </c>
      <c r="AY55" s="1129">
        <f>SUMIFS(Table915[Count of EnergyRating],Table915[MainSpaceHeatingFuel],AL55,Table915[EnergyRating (group)],AM55,Table915[CountyName (group)],AY$4)</f>
        <v>3</v>
      </c>
      <c r="AZ55" s="1129">
        <f>SUMIFS(Table915[Count of EnergyRating],Table915[MainSpaceHeatingFuel],AL55,Table915[EnergyRating (group)],AM55,Table915[CountyName (group)],AZ$4)</f>
        <v>0</v>
      </c>
      <c r="BA55" s="1129">
        <f>SUMIFS(Table915[Count of EnergyRating],Table915[MainSpaceHeatingFuel],AL55,Table915[EnergyRating (group)],AM55,Table915[CountyName (group)],BA$4)</f>
        <v>15</v>
      </c>
      <c r="BB55" s="1129">
        <f>SUMIFS(Table915[Count of EnergyRating],Table915[MainSpaceHeatingFuel],AL55,Table915[EnergyRating (group)],AM55,Table915[CountyName (group)],BB$4)</f>
        <v>3</v>
      </c>
      <c r="BC55" s="1129">
        <f>SUMIFS(Table915[Count of EnergyRating],Table915[MainSpaceHeatingFuel],AL55,Table915[EnergyRating (group)],AM55,Table915[CountyName (group)],BC$4)</f>
        <v>0</v>
      </c>
      <c r="BD55" s="1129">
        <f>SUMIFS(Table915[Count of EnergyRating],Table915[MainSpaceHeatingFuel],AL55,Table915[EnergyRating (group)],AM55,Table915[CountyName (group)],BD$4)</f>
        <v>4</v>
      </c>
      <c r="BE55" s="1129">
        <f>SUMIFS(Table915[Count of EnergyRating],Table915[MainSpaceHeatingFuel],AL55,Table915[EnergyRating (group)],AM55,Table915[CountyName (group)],BE$4)</f>
        <v>0</v>
      </c>
      <c r="BF55" s="1129">
        <f>SUMIFS(Table915[Count of EnergyRating],Table915[MainSpaceHeatingFuel],AL55,Table915[EnergyRating (group)],AM55,Table915[CountyName (group)],BF$4)</f>
        <v>82</v>
      </c>
      <c r="BG55" s="1129">
        <f>SUMIFS(Table915[Count of EnergyRating],Table915[MainSpaceHeatingFuel],AL55,Table915[EnergyRating (group)],AM55,Table915[CountyName (group)],BG$4)</f>
        <v>0</v>
      </c>
      <c r="BH55" s="1129">
        <f>SUMIFS(Table915[Count of EnergyRating],Table915[MainSpaceHeatingFuel],AL55,Table915[EnergyRating (group)],AM55,Table915[CountyName (group)],BH$4)</f>
        <v>34</v>
      </c>
      <c r="BI55" s="1129">
        <f>SUMIFS(Table915[Count of EnergyRating],Table915[MainSpaceHeatingFuel],AL55,Table915[EnergyRating (group)],AM55,Table915[CountyName (group)],BI$4)</f>
        <v>0</v>
      </c>
      <c r="BJ55" s="1129">
        <f>SUMIFS(Table915[Count of EnergyRating],Table915[MainSpaceHeatingFuel],AL55,Table915[EnergyRating (group)],AM55,Table915[CountyName (group)],BJ$4)</f>
        <v>0</v>
      </c>
      <c r="BK55" s="1135">
        <f>SUMIFS(Table915[Count of EnergyRating],Table915[MainSpaceHeatingFuel],AL55,Table915[EnergyRating (group)],AM55,Table915[CountyName (group)],BK$4)</f>
        <v>0</v>
      </c>
      <c r="BL55" s="1129">
        <f>SUMIFS(Table915[Count of EnergyRating],Table915[MainSpaceHeatingFuel],AL55,Table915[EnergyRating (group)],AM55,Table915[CountyName (group)],BL$4)</f>
        <v>0</v>
      </c>
      <c r="BM55" s="1129">
        <f>SUMIFS(Table915[Count of EnergyRating],Table915[MainSpaceHeatingFuel],AL55,Table915[EnergyRating (group)],AM55,Table915[CountyName (group)],BM$4)</f>
        <v>0</v>
      </c>
      <c r="BO55"/>
    </row>
    <row r="56" spans="2:67">
      <c r="B56" s="1134" t="s">
        <v>62</v>
      </c>
      <c r="C56" s="1134" t="s">
        <v>1139</v>
      </c>
      <c r="D56" s="1134" t="s">
        <v>1094</v>
      </c>
      <c r="E56" s="1145">
        <f t="shared" ref="E56:AD56" si="140">IFERROR(G212*((SUM(AN$62)/SUM(AN$55:AN$63))/(SUM(G$212)/SUM(G$208:G$213))),0)</f>
        <v>0</v>
      </c>
      <c r="F56" s="1145">
        <f t="shared" si="140"/>
        <v>0.22612266986741025</v>
      </c>
      <c r="G56" s="1145">
        <f t="shared" si="140"/>
        <v>0</v>
      </c>
      <c r="H56" s="1145">
        <f t="shared" si="140"/>
        <v>0</v>
      </c>
      <c r="I56" s="1145">
        <f t="shared" si="140"/>
        <v>3.7798950046306727E-3</v>
      </c>
      <c r="J56" s="1145">
        <f t="shared" si="140"/>
        <v>6.3846382269896389E-4</v>
      </c>
      <c r="K56" s="1145">
        <f t="shared" si="140"/>
        <v>2.8850459516157542E-3</v>
      </c>
      <c r="L56" s="1145">
        <f t="shared" si="140"/>
        <v>8.0696257857012892E-3</v>
      </c>
      <c r="M56" s="1145">
        <f t="shared" si="140"/>
        <v>0</v>
      </c>
      <c r="N56" s="1145">
        <f t="shared" si="140"/>
        <v>0</v>
      </c>
      <c r="O56" s="1145">
        <f t="shared" si="140"/>
        <v>2.8119908857047191E-3</v>
      </c>
      <c r="P56" s="1145">
        <f t="shared" si="140"/>
        <v>4.7900902369316231E-3</v>
      </c>
      <c r="Q56" s="1145">
        <f t="shared" si="140"/>
        <v>3.9718710332057741E-3</v>
      </c>
      <c r="R56" s="1145">
        <f t="shared" si="140"/>
        <v>1.1344563589816869E-2</v>
      </c>
      <c r="S56" s="1145">
        <f t="shared" si="140"/>
        <v>1.207883001867918E-3</v>
      </c>
      <c r="T56" s="1145">
        <f t="shared" si="140"/>
        <v>1.8304518969231843E-2</v>
      </c>
      <c r="U56" s="1145">
        <f t="shared" si="140"/>
        <v>8.3091680054058169E-3</v>
      </c>
      <c r="V56" s="1145">
        <f t="shared" si="140"/>
        <v>4.1195738523235352E-3</v>
      </c>
      <c r="W56" s="1145">
        <f t="shared" si="140"/>
        <v>2.2649867702753332E-3</v>
      </c>
      <c r="X56" s="1145">
        <f t="shared" si="140"/>
        <v>0</v>
      </c>
      <c r="Y56" s="1145">
        <f t="shared" si="140"/>
        <v>6.9543925135367275E-4</v>
      </c>
      <c r="Z56" s="1145">
        <f t="shared" si="140"/>
        <v>7.8923719677549014E-4</v>
      </c>
      <c r="AA56" s="1145">
        <f t="shared" si="140"/>
        <v>0</v>
      </c>
      <c r="AB56" s="1145">
        <f t="shared" si="140"/>
        <v>4.3679094521831345E-4</v>
      </c>
      <c r="AC56" s="1145">
        <f t="shared" si="140"/>
        <v>3.1853697163747976E-3</v>
      </c>
      <c r="AD56" s="1145">
        <f t="shared" si="140"/>
        <v>9.4747384348841345E-4</v>
      </c>
      <c r="AE56" s="1172">
        <f t="shared" si="4"/>
        <v>0.30467465773003105</v>
      </c>
      <c r="AF56" s="1153"/>
      <c r="AG56" s="1142"/>
      <c r="AH56" s="1142"/>
      <c r="AL56" s="1144" t="s">
        <v>1132</v>
      </c>
      <c r="AM56" s="1144" t="s">
        <v>50</v>
      </c>
      <c r="AN56" s="1135">
        <f>SUMIFS(Table915[Count of EnergyRating],Table915[MainSpaceHeatingFuel],AL56,Table915[EnergyRating (group)],AM56,Table915[CountyName (group)],AN$4)</f>
        <v>0</v>
      </c>
      <c r="AO56" s="1129">
        <f>SUMIFS(Table915[Count of EnergyRating],Table915[MainSpaceHeatingFuel],AL56,Table915[EnergyRating (group)],AM56,Table915[CountyName (group)],AO$4)</f>
        <v>2</v>
      </c>
      <c r="AP56" s="1129">
        <f>SUMIFS(Table915[Count of EnergyRating],Table915[MainSpaceHeatingFuel],AL56,Table915[EnergyRating (group)],AM56,Table915[CountyName (group)],AP$4)</f>
        <v>8</v>
      </c>
      <c r="AQ56" s="1129">
        <f>SUMIFS(Table915[Count of EnergyRating],Table915[MainSpaceHeatingFuel],AL56,Table915[EnergyRating (group)],AM56,Table915[CountyName (group)],AQ$4)</f>
        <v>15</v>
      </c>
      <c r="AR56" s="1129">
        <f>SUMIFS(Table915[Count of EnergyRating],Table915[MainSpaceHeatingFuel],AL56,Table915[EnergyRating (group)],AM56,Table915[CountyName (group)],AR$4)</f>
        <v>0</v>
      </c>
      <c r="AS56" s="1129">
        <f>SUMIFS(Table915[Count of EnergyRating],Table915[MainSpaceHeatingFuel],AL56,Table915[EnergyRating (group)],AM56,Table915[CountyName (group)],AS$4)</f>
        <v>19</v>
      </c>
      <c r="AT56" s="1129">
        <f>SUMIFS(Table915[Count of EnergyRating],Table915[MainSpaceHeatingFuel],AL56,Table915[EnergyRating (group)],AM56,Table915[CountyName (group)],AT$4)</f>
        <v>1</v>
      </c>
      <c r="AU56" s="1129">
        <f>SUMIFS(Table915[Count of EnergyRating],Table915[MainSpaceHeatingFuel],AL56,Table915[EnergyRating (group)],AM56,Table915[CountyName (group)],AU$4)</f>
        <v>0</v>
      </c>
      <c r="AV56" s="1129">
        <f>SUMIFS(Table915[Count of EnergyRating],Table915[MainSpaceHeatingFuel],AL56,Table915[EnergyRating (group)],AM56,Table915[CountyName (group)],AV$4)</f>
        <v>0</v>
      </c>
      <c r="AW56" s="1129">
        <f>SUMIFS(Table915[Count of EnergyRating],Table915[MainSpaceHeatingFuel],AL56,Table915[EnergyRating (group)],AM56,Table915[CountyName (group)],AW$4)</f>
        <v>1</v>
      </c>
      <c r="AX56" s="1129">
        <f>SUMIFS(Table915[Count of EnergyRating],Table915[MainSpaceHeatingFuel],AL56,Table915[EnergyRating (group)],AM56,Table915[CountyName (group)],AX$4)</f>
        <v>0</v>
      </c>
      <c r="AY56" s="1129">
        <f>SUMIFS(Table915[Count of EnergyRating],Table915[MainSpaceHeatingFuel],AL56,Table915[EnergyRating (group)],AM56,Table915[CountyName (group)],AY$4)</f>
        <v>0</v>
      </c>
      <c r="AZ56" s="1129">
        <f>SUMIFS(Table915[Count of EnergyRating],Table915[MainSpaceHeatingFuel],AL56,Table915[EnergyRating (group)],AM56,Table915[CountyName (group)],AZ$4)</f>
        <v>0</v>
      </c>
      <c r="BA56" s="1129">
        <f>SUMIFS(Table915[Count of EnergyRating],Table915[MainSpaceHeatingFuel],AL56,Table915[EnergyRating (group)],AM56,Table915[CountyName (group)],BA$4)</f>
        <v>10</v>
      </c>
      <c r="BB56" s="1129">
        <f>SUMIFS(Table915[Count of EnergyRating],Table915[MainSpaceHeatingFuel],AL56,Table915[EnergyRating (group)],AM56,Table915[CountyName (group)],BB$4)</f>
        <v>3</v>
      </c>
      <c r="BC56" s="1129">
        <f>SUMIFS(Table915[Count of EnergyRating],Table915[MainSpaceHeatingFuel],AL56,Table915[EnergyRating (group)],AM56,Table915[CountyName (group)],BC$4)</f>
        <v>0</v>
      </c>
      <c r="BD56" s="1129">
        <f>SUMIFS(Table915[Count of EnergyRating],Table915[MainSpaceHeatingFuel],AL56,Table915[EnergyRating (group)],AM56,Table915[CountyName (group)],BD$4)</f>
        <v>0</v>
      </c>
      <c r="BE56" s="1129">
        <f>SUMIFS(Table915[Count of EnergyRating],Table915[MainSpaceHeatingFuel],AL56,Table915[EnergyRating (group)],AM56,Table915[CountyName (group)],BE$4)</f>
        <v>8</v>
      </c>
      <c r="BF56" s="1129">
        <f>SUMIFS(Table915[Count of EnergyRating],Table915[MainSpaceHeatingFuel],AL56,Table915[EnergyRating (group)],AM56,Table915[CountyName (group)],BF$4)</f>
        <v>0</v>
      </c>
      <c r="BG56" s="1129">
        <f>SUMIFS(Table915[Count of EnergyRating],Table915[MainSpaceHeatingFuel],AL56,Table915[EnergyRating (group)],AM56,Table915[CountyName (group)],BG$4)</f>
        <v>0</v>
      </c>
      <c r="BH56" s="1129">
        <f>SUMIFS(Table915[Count of EnergyRating],Table915[MainSpaceHeatingFuel],AL56,Table915[EnergyRating (group)],AM56,Table915[CountyName (group)],BH$4)</f>
        <v>12</v>
      </c>
      <c r="BI56" s="1129">
        <f>SUMIFS(Table915[Count of EnergyRating],Table915[MainSpaceHeatingFuel],AL56,Table915[EnergyRating (group)],AM56,Table915[CountyName (group)],BI$4)</f>
        <v>0</v>
      </c>
      <c r="BJ56" s="1129">
        <f>SUMIFS(Table915[Count of EnergyRating],Table915[MainSpaceHeatingFuel],AL56,Table915[EnergyRating (group)],AM56,Table915[CountyName (group)],BJ$4)</f>
        <v>1</v>
      </c>
      <c r="BK56" s="1135">
        <f>SUMIFS(Table915[Count of EnergyRating],Table915[MainSpaceHeatingFuel],AL56,Table915[EnergyRating (group)],AM56,Table915[CountyName (group)],BK$4)</f>
        <v>0</v>
      </c>
      <c r="BL56" s="1129">
        <f>SUMIFS(Table915[Count of EnergyRating],Table915[MainSpaceHeatingFuel],AL56,Table915[EnergyRating (group)],AM56,Table915[CountyName (group)],BL$4)</f>
        <v>0</v>
      </c>
      <c r="BM56" s="1129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38" t="s">
        <v>64</v>
      </c>
      <c r="C57" s="1138" t="s">
        <v>1139</v>
      </c>
      <c r="D57" s="1138" t="s">
        <v>1094</v>
      </c>
      <c r="E57" s="1147">
        <f t="shared" ref="E57:AD57" si="141">IFERROR(G213*((SUM(AN$63)/SUM(AN$55:AN$63))/(SUM(G$213)/SUM(G$208:G$213))),0)</f>
        <v>0</v>
      </c>
      <c r="F57" s="1147">
        <f t="shared" si="141"/>
        <v>0.31657173781437437</v>
      </c>
      <c r="G57" s="1147">
        <f t="shared" si="141"/>
        <v>0</v>
      </c>
      <c r="H57" s="1147">
        <f t="shared" si="141"/>
        <v>0</v>
      </c>
      <c r="I57" s="1147">
        <f t="shared" si="141"/>
        <v>0</v>
      </c>
      <c r="J57" s="1147">
        <f t="shared" si="141"/>
        <v>6.3846382269896389E-4</v>
      </c>
      <c r="K57" s="1147">
        <f t="shared" si="141"/>
        <v>2.8850459516157542E-3</v>
      </c>
      <c r="L57" s="1147">
        <f t="shared" si="141"/>
        <v>0</v>
      </c>
      <c r="M57" s="1147">
        <f t="shared" si="141"/>
        <v>0</v>
      </c>
      <c r="N57" s="1147">
        <f t="shared" si="141"/>
        <v>5.0527888849335881E-4</v>
      </c>
      <c r="O57" s="1147">
        <f t="shared" si="141"/>
        <v>2.8119908857047191E-3</v>
      </c>
      <c r="P57" s="1147">
        <f t="shared" si="141"/>
        <v>4.7900902369316231E-3</v>
      </c>
      <c r="Q57" s="1147">
        <f t="shared" si="141"/>
        <v>1.9859355166028875E-3</v>
      </c>
      <c r="R57" s="1147">
        <f t="shared" si="141"/>
        <v>1.1344563589816869E-2</v>
      </c>
      <c r="S57" s="1147">
        <f t="shared" si="141"/>
        <v>1.207883001867918E-3</v>
      </c>
      <c r="T57" s="1147">
        <f t="shared" si="141"/>
        <v>2.4406025292309123E-2</v>
      </c>
      <c r="U57" s="1147">
        <f t="shared" si="141"/>
        <v>1.454104400946018E-2</v>
      </c>
      <c r="V57" s="1147">
        <f t="shared" si="141"/>
        <v>1.2358721556970606E-2</v>
      </c>
      <c r="W57" s="1147">
        <f t="shared" si="141"/>
        <v>3.7749779504588888E-3</v>
      </c>
      <c r="X57" s="1147">
        <f t="shared" si="141"/>
        <v>0</v>
      </c>
      <c r="Y57" s="1147">
        <f t="shared" si="141"/>
        <v>0</v>
      </c>
      <c r="Z57" s="1147">
        <f t="shared" si="141"/>
        <v>0</v>
      </c>
      <c r="AA57" s="1147">
        <f t="shared" si="141"/>
        <v>5.9078911622208077E-4</v>
      </c>
      <c r="AB57" s="1147">
        <f t="shared" si="141"/>
        <v>2.1839547260915667E-4</v>
      </c>
      <c r="AC57" s="1147">
        <f t="shared" si="141"/>
        <v>4.2471596218330637E-3</v>
      </c>
      <c r="AD57" s="1147">
        <f t="shared" si="141"/>
        <v>0</v>
      </c>
      <c r="AE57" s="1174">
        <f t="shared" si="4"/>
        <v>0.40287810272796948</v>
      </c>
      <c r="AF57" s="1153"/>
      <c r="AG57" s="1142"/>
      <c r="AH57" s="1142"/>
      <c r="AL57" s="1144" t="s">
        <v>1132</v>
      </c>
      <c r="AM57" s="1144" t="s">
        <v>52</v>
      </c>
      <c r="AN57" s="1135">
        <f>SUMIFS(Table915[Count of EnergyRating],Table915[MainSpaceHeatingFuel],AL57,Table915[EnergyRating (group)],AM57,Table915[CountyName (group)],AN$4)</f>
        <v>0</v>
      </c>
      <c r="AO57" s="1129">
        <f>SUMIFS(Table915[Count of EnergyRating],Table915[MainSpaceHeatingFuel],AL57,Table915[EnergyRating (group)],AM57,Table915[CountyName (group)],AO$4)</f>
        <v>5</v>
      </c>
      <c r="AP57" s="1129">
        <f>SUMIFS(Table915[Count of EnergyRating],Table915[MainSpaceHeatingFuel],AL57,Table915[EnergyRating (group)],AM57,Table915[CountyName (group)],AP$4)</f>
        <v>19</v>
      </c>
      <c r="AQ57" s="1129">
        <f>SUMIFS(Table915[Count of EnergyRating],Table915[MainSpaceHeatingFuel],AL57,Table915[EnergyRating (group)],AM57,Table915[CountyName (group)],AQ$4)</f>
        <v>5</v>
      </c>
      <c r="AR57" s="1129">
        <f>SUMIFS(Table915[Count of EnergyRating],Table915[MainSpaceHeatingFuel],AL57,Table915[EnergyRating (group)],AM57,Table915[CountyName (group)],AR$4)</f>
        <v>4</v>
      </c>
      <c r="AS57" s="1129">
        <f>SUMIFS(Table915[Count of EnergyRating],Table915[MainSpaceHeatingFuel],AL57,Table915[EnergyRating (group)],AM57,Table915[CountyName (group)],AS$4)</f>
        <v>13</v>
      </c>
      <c r="AT57" s="1129">
        <f>SUMIFS(Table915[Count of EnergyRating],Table915[MainSpaceHeatingFuel],AL57,Table915[EnergyRating (group)],AM57,Table915[CountyName (group)],AT$4)</f>
        <v>30</v>
      </c>
      <c r="AU57" s="1129">
        <f>SUMIFS(Table915[Count of EnergyRating],Table915[MainSpaceHeatingFuel],AL57,Table915[EnergyRating (group)],AM57,Table915[CountyName (group)],AU$4)</f>
        <v>0</v>
      </c>
      <c r="AV57" s="1129">
        <f>SUMIFS(Table915[Count of EnergyRating],Table915[MainSpaceHeatingFuel],AL57,Table915[EnergyRating (group)],AM57,Table915[CountyName (group)],AV$4)</f>
        <v>0</v>
      </c>
      <c r="AW57" s="1129">
        <f>SUMIFS(Table915[Count of EnergyRating],Table915[MainSpaceHeatingFuel],AL57,Table915[EnergyRating (group)],AM57,Table915[CountyName (group)],AW$4)</f>
        <v>9</v>
      </c>
      <c r="AX57" s="1129">
        <f>SUMIFS(Table915[Count of EnergyRating],Table915[MainSpaceHeatingFuel],AL57,Table915[EnergyRating (group)],AM57,Table915[CountyName (group)],AX$4)</f>
        <v>1</v>
      </c>
      <c r="AY57" s="1129">
        <f>SUMIFS(Table915[Count of EnergyRating],Table915[MainSpaceHeatingFuel],AL57,Table915[EnergyRating (group)],AM57,Table915[CountyName (group)],AY$4)</f>
        <v>1</v>
      </c>
      <c r="AZ57" s="1129">
        <f>SUMIFS(Table915[Count of EnergyRating],Table915[MainSpaceHeatingFuel],AL57,Table915[EnergyRating (group)],AM57,Table915[CountyName (group)],AZ$4)</f>
        <v>2</v>
      </c>
      <c r="BA57" s="1129">
        <f>SUMIFS(Table915[Count of EnergyRating],Table915[MainSpaceHeatingFuel],AL57,Table915[EnergyRating (group)],AM57,Table915[CountyName (group)],BA$4)</f>
        <v>39</v>
      </c>
      <c r="BB57" s="1129">
        <f>SUMIFS(Table915[Count of EnergyRating],Table915[MainSpaceHeatingFuel],AL57,Table915[EnergyRating (group)],AM57,Table915[CountyName (group)],BB$4)</f>
        <v>28</v>
      </c>
      <c r="BC57" s="1129">
        <f>SUMIFS(Table915[Count of EnergyRating],Table915[MainSpaceHeatingFuel],AL57,Table915[EnergyRating (group)],AM57,Table915[CountyName (group)],BC$4)</f>
        <v>1</v>
      </c>
      <c r="BD57" s="1129">
        <f>SUMIFS(Table915[Count of EnergyRating],Table915[MainSpaceHeatingFuel],AL57,Table915[EnergyRating (group)],AM57,Table915[CountyName (group)],BD$4)</f>
        <v>0</v>
      </c>
      <c r="BE57" s="1129">
        <f>SUMIFS(Table915[Count of EnergyRating],Table915[MainSpaceHeatingFuel],AL57,Table915[EnergyRating (group)],AM57,Table915[CountyName (group)],BE$4)</f>
        <v>0</v>
      </c>
      <c r="BF57" s="1129">
        <f>SUMIFS(Table915[Count of EnergyRating],Table915[MainSpaceHeatingFuel],AL57,Table915[EnergyRating (group)],AM57,Table915[CountyName (group)],BF$4)</f>
        <v>28</v>
      </c>
      <c r="BG57" s="1129">
        <f>SUMIFS(Table915[Count of EnergyRating],Table915[MainSpaceHeatingFuel],AL57,Table915[EnergyRating (group)],AM57,Table915[CountyName (group)],BG$4)</f>
        <v>0</v>
      </c>
      <c r="BH57" s="1129">
        <f>SUMIFS(Table915[Count of EnergyRating],Table915[MainSpaceHeatingFuel],AL57,Table915[EnergyRating (group)],AM57,Table915[CountyName (group)],BH$4)</f>
        <v>12</v>
      </c>
      <c r="BI57" s="1129">
        <f>SUMIFS(Table915[Count of EnergyRating],Table915[MainSpaceHeatingFuel],AL57,Table915[EnergyRating (group)],AM57,Table915[CountyName (group)],BI$4)</f>
        <v>5</v>
      </c>
      <c r="BJ57" s="1129">
        <f>SUMIFS(Table915[Count of EnergyRating],Table915[MainSpaceHeatingFuel],AL57,Table915[EnergyRating (group)],AM57,Table915[CountyName (group)],BJ$4)</f>
        <v>41</v>
      </c>
      <c r="BK57" s="1135">
        <f>SUMIFS(Table915[Count of EnergyRating],Table915[MainSpaceHeatingFuel],AL57,Table915[EnergyRating (group)],AM57,Table915[CountyName (group)],BK$4)</f>
        <v>12</v>
      </c>
      <c r="BL57" s="1129">
        <f>SUMIFS(Table915[Count of EnergyRating],Table915[MainSpaceHeatingFuel],AL57,Table915[EnergyRating (group)],AM57,Table915[CountyName (group)],BL$4)</f>
        <v>2</v>
      </c>
      <c r="BM57" s="1129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38" t="s">
        <v>1075</v>
      </c>
      <c r="C58" s="1138" t="s">
        <v>1139</v>
      </c>
      <c r="D58" s="1138" t="s">
        <v>1094</v>
      </c>
      <c r="E58" s="1147">
        <f>SUM(E52:E57)</f>
        <v>0.10067952784082883</v>
      </c>
      <c r="F58" s="1147">
        <f t="shared" ref="F58" si="142">SUM(F52:F57)</f>
        <v>3.3466155140376719</v>
      </c>
      <c r="G58" s="1147">
        <f t="shared" ref="G58" si="143">SUM(G52:G57)</f>
        <v>0.42588256297872806</v>
      </c>
      <c r="H58" s="1147">
        <f t="shared" ref="H58" si="144">SUM(H52:H57)</f>
        <v>0.13965757717596725</v>
      </c>
      <c r="I58" s="1147">
        <f t="shared" ref="I58" si="145">SUM(I52:I57)</f>
        <v>0.12851643015744288</v>
      </c>
      <c r="J58" s="1147">
        <f t="shared" ref="J58" si="146">SUM(J52:J57)</f>
        <v>5.2992497284013992E-2</v>
      </c>
      <c r="K58" s="1147">
        <f t="shared" ref="K58" si="147">SUM(K52:K57)</f>
        <v>0.27119431945188088</v>
      </c>
      <c r="L58" s="1147">
        <f t="shared" ref="L58" si="148">SUM(L52:L57)</f>
        <v>0.30261096696379836</v>
      </c>
      <c r="M58" s="1147">
        <f t="shared" ref="M58" si="149">SUM(M52:M57)</f>
        <v>0.11432199699624662</v>
      </c>
      <c r="N58" s="1147">
        <f t="shared" ref="N58" si="150">SUM(N52:N57)</f>
        <v>0.13693057878170023</v>
      </c>
      <c r="O58" s="1147">
        <f t="shared" ref="O58" si="151">SUM(O52:O57)</f>
        <v>0.20527533465644449</v>
      </c>
      <c r="P58" s="1147">
        <f t="shared" ref="P58" si="152">SUM(P52:P57)</f>
        <v>0.25866487279430767</v>
      </c>
      <c r="Q58" s="1147">
        <f t="shared" ref="Q58" si="153">SUM(Q52:Q57)</f>
        <v>0.16880451891124545</v>
      </c>
      <c r="R58" s="1147">
        <f t="shared" ref="R58" si="154">SUM(R52:R57)</f>
        <v>1.0210107230835181</v>
      </c>
      <c r="S58" s="1147">
        <f t="shared" ref="S58" si="155">SUM(S52:S57)</f>
        <v>0.1751430352708481</v>
      </c>
      <c r="T58" s="1147">
        <f t="shared" ref="T58" si="156">SUM(T52:T57)</f>
        <v>0.35388736673848226</v>
      </c>
      <c r="U58" s="1147">
        <f t="shared" ref="U58" si="157">SUM(U52:U57)</f>
        <v>0.24512045615947164</v>
      </c>
      <c r="V58" s="1147">
        <f t="shared" ref="V58" si="158">SUM(V52:V57)</f>
        <v>0.24305485728708859</v>
      </c>
      <c r="W58" s="1147">
        <f t="shared" ref="W58" si="159">SUM(W52:W57)</f>
        <v>0.30803820075744526</v>
      </c>
      <c r="X58" s="1147">
        <f t="shared" ref="X58" si="160">SUM(X52:X57)</f>
        <v>3.056748696868709E-2</v>
      </c>
      <c r="Y58" s="1147">
        <f t="shared" ref="Y58" si="161">SUM(Y52:Y57)</f>
        <v>0.13978328952208821</v>
      </c>
      <c r="Z58" s="1147">
        <f t="shared" ref="Z58" si="162">SUM(Z52:Z57)</f>
        <v>5.9982026954937262E-2</v>
      </c>
      <c r="AA58" s="1147">
        <f t="shared" ref="AA58" si="163">SUM(AA52:AA57)</f>
        <v>9.9252571525309571E-2</v>
      </c>
      <c r="AB58" s="1147">
        <f t="shared" ref="AB58" si="164">SUM(AB52:AB57)</f>
        <v>8.6047816208007749E-2</v>
      </c>
      <c r="AC58" s="1147">
        <f t="shared" ref="AC58" si="165">SUM(AC52:AC57)</f>
        <v>0.17731891421153037</v>
      </c>
      <c r="AD58" s="1147">
        <f t="shared" ref="AD58" si="166">SUM(AD52:AD57)</f>
        <v>7.3902959792096226E-2</v>
      </c>
      <c r="AE58" s="1147">
        <f t="shared" ref="AE58" si="167">SUM(AE52:AE57)</f>
        <v>8.6652564025097849</v>
      </c>
      <c r="AF58" s="1153"/>
      <c r="AG58" s="1142"/>
      <c r="AH58" s="1142"/>
      <c r="AL58" s="1144" t="s">
        <v>1132</v>
      </c>
      <c r="AM58" s="1144" t="s">
        <v>54</v>
      </c>
      <c r="AN58" s="1135">
        <f>SUMIFS(Table915[Count of EnergyRating],Table915[MainSpaceHeatingFuel],AL58,Table915[EnergyRating (group)],AM58,Table915[CountyName (group)],AN$4)</f>
        <v>9</v>
      </c>
      <c r="AO58" s="1129">
        <f>SUMIFS(Table915[Count of EnergyRating],Table915[MainSpaceHeatingFuel],AL58,Table915[EnergyRating (group)],AM58,Table915[CountyName (group)],AO$4)</f>
        <v>5</v>
      </c>
      <c r="AP58" s="1129">
        <f>SUMIFS(Table915[Count of EnergyRating],Table915[MainSpaceHeatingFuel],AL58,Table915[EnergyRating (group)],AM58,Table915[CountyName (group)],AP$4)</f>
        <v>40</v>
      </c>
      <c r="AQ58" s="1129">
        <f>SUMIFS(Table915[Count of EnergyRating],Table915[MainSpaceHeatingFuel],AL58,Table915[EnergyRating (group)],AM58,Table915[CountyName (group)],AQ$4)</f>
        <v>38</v>
      </c>
      <c r="AR58" s="1129">
        <f>SUMIFS(Table915[Count of EnergyRating],Table915[MainSpaceHeatingFuel],AL58,Table915[EnergyRating (group)],AM58,Table915[CountyName (group)],AR$4)</f>
        <v>7</v>
      </c>
      <c r="AS58" s="1129">
        <f>SUMIFS(Table915[Count of EnergyRating],Table915[MainSpaceHeatingFuel],AL58,Table915[EnergyRating (group)],AM58,Table915[CountyName (group)],AS$4)</f>
        <v>12</v>
      </c>
      <c r="AT58" s="1129">
        <f>SUMIFS(Table915[Count of EnergyRating],Table915[MainSpaceHeatingFuel],AL58,Table915[EnergyRating (group)],AM58,Table915[CountyName (group)],AT$4)</f>
        <v>12</v>
      </c>
      <c r="AU58" s="1129">
        <f>SUMIFS(Table915[Count of EnergyRating],Table915[MainSpaceHeatingFuel],AL58,Table915[EnergyRating (group)],AM58,Table915[CountyName (group)],AU$4)</f>
        <v>10</v>
      </c>
      <c r="AV58" s="1129">
        <f>SUMIFS(Table915[Count of EnergyRating],Table915[MainSpaceHeatingFuel],AL58,Table915[EnergyRating (group)],AM58,Table915[CountyName (group)],AV$4)</f>
        <v>4</v>
      </c>
      <c r="AW58" s="1129">
        <f>SUMIFS(Table915[Count of EnergyRating],Table915[MainSpaceHeatingFuel],AL58,Table915[EnergyRating (group)],AM58,Table915[CountyName (group)],AW$4)</f>
        <v>42</v>
      </c>
      <c r="AX58" s="1129">
        <f>SUMIFS(Table915[Count of EnergyRating],Table915[MainSpaceHeatingFuel],AL58,Table915[EnergyRating (group)],AM58,Table915[CountyName (group)],AX$4)</f>
        <v>23</v>
      </c>
      <c r="AY58" s="1129">
        <f>SUMIFS(Table915[Count of EnergyRating],Table915[MainSpaceHeatingFuel],AL58,Table915[EnergyRating (group)],AM58,Table915[CountyName (group)],AY$4)</f>
        <v>9</v>
      </c>
      <c r="AZ58" s="1129">
        <f>SUMIFS(Table915[Count of EnergyRating],Table915[MainSpaceHeatingFuel],AL58,Table915[EnergyRating (group)],AM58,Table915[CountyName (group)],AZ$4)</f>
        <v>22</v>
      </c>
      <c r="BA58" s="1129">
        <f>SUMIFS(Table915[Count of EnergyRating],Table915[MainSpaceHeatingFuel],AL58,Table915[EnergyRating (group)],AM58,Table915[CountyName (group)],BA$4)</f>
        <v>119</v>
      </c>
      <c r="BB58" s="1129">
        <f>SUMIFS(Table915[Count of EnergyRating],Table915[MainSpaceHeatingFuel],AL58,Table915[EnergyRating (group)],AM58,Table915[CountyName (group)],BB$4)</f>
        <v>123</v>
      </c>
      <c r="BC58" s="1129">
        <f>SUMIFS(Table915[Count of EnergyRating],Table915[MainSpaceHeatingFuel],AL58,Table915[EnergyRating (group)],AM58,Table915[CountyName (group)],BC$4)</f>
        <v>2</v>
      </c>
      <c r="BD58" s="1129">
        <f>SUMIFS(Table915[Count of EnergyRating],Table915[MainSpaceHeatingFuel],AL58,Table915[EnergyRating (group)],AM58,Table915[CountyName (group)],BD$4)</f>
        <v>4</v>
      </c>
      <c r="BE58" s="1129">
        <f>SUMIFS(Table915[Count of EnergyRating],Table915[MainSpaceHeatingFuel],AL58,Table915[EnergyRating (group)],AM58,Table915[CountyName (group)],BE$4)</f>
        <v>5</v>
      </c>
      <c r="BF58" s="1129">
        <f>SUMIFS(Table915[Count of EnergyRating],Table915[MainSpaceHeatingFuel],AL58,Table915[EnergyRating (group)],AM58,Table915[CountyName (group)],BF$4)</f>
        <v>44</v>
      </c>
      <c r="BG58" s="1129">
        <f>SUMIFS(Table915[Count of EnergyRating],Table915[MainSpaceHeatingFuel],AL58,Table915[EnergyRating (group)],AM58,Table915[CountyName (group)],BG$4)</f>
        <v>44</v>
      </c>
      <c r="BH58" s="1129">
        <f>SUMIFS(Table915[Count of EnergyRating],Table915[MainSpaceHeatingFuel],AL58,Table915[EnergyRating (group)],AM58,Table915[CountyName (group)],BH$4)</f>
        <v>39</v>
      </c>
      <c r="BI58" s="1129">
        <f>SUMIFS(Table915[Count of EnergyRating],Table915[MainSpaceHeatingFuel],AL58,Table915[EnergyRating (group)],AM58,Table915[CountyName (group)],BI$4)</f>
        <v>8</v>
      </c>
      <c r="BJ58" s="1129">
        <f>SUMIFS(Table915[Count of EnergyRating],Table915[MainSpaceHeatingFuel],AL58,Table915[EnergyRating (group)],AM58,Table915[CountyName (group)],BJ$4)</f>
        <v>113</v>
      </c>
      <c r="BK58" s="1135">
        <f>SUMIFS(Table915[Count of EnergyRating],Table915[MainSpaceHeatingFuel],AL58,Table915[EnergyRating (group)],AM58,Table915[CountyName (group)],BK$4)</f>
        <v>59</v>
      </c>
      <c r="BL58" s="1129">
        <f>SUMIFS(Table915[Count of EnergyRating],Table915[MainSpaceHeatingFuel],AL58,Table915[EnergyRating (group)],AM58,Table915[CountyName (group)],BL$4)</f>
        <v>20</v>
      </c>
      <c r="BM58" s="1129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65"/>
      <c r="C59" s="1165" t="s">
        <v>1140</v>
      </c>
      <c r="D59" s="1165" t="s">
        <v>1094</v>
      </c>
      <c r="E59" s="1166">
        <f t="shared" ref="E59:AD59" si="168">G214</f>
        <v>8.9654237837622733E-2</v>
      </c>
      <c r="F59" s="1166">
        <f t="shared" si="168"/>
        <v>2.9801318071431813</v>
      </c>
      <c r="G59" s="1166">
        <f t="shared" si="168"/>
        <v>0.37924469265048638</v>
      </c>
      <c r="H59" s="1166">
        <f t="shared" si="168"/>
        <v>0.12436384941887552</v>
      </c>
      <c r="I59" s="1166">
        <f t="shared" si="168"/>
        <v>0.11444275556788074</v>
      </c>
      <c r="J59" s="1166">
        <f t="shared" si="168"/>
        <v>4.7189354747687651E-2</v>
      </c>
      <c r="K59" s="1166">
        <f t="shared" si="168"/>
        <v>0.24149616647776093</v>
      </c>
      <c r="L59" s="1166">
        <f t="shared" si="168"/>
        <v>0.26947241595468752</v>
      </c>
      <c r="M59" s="1166">
        <f t="shared" si="168"/>
        <v>0.10180273714610132</v>
      </c>
      <c r="N59" s="1166">
        <f t="shared" si="168"/>
        <v>0.12193548123056856</v>
      </c>
      <c r="O59" s="1166">
        <f t="shared" si="168"/>
        <v>0.18279588780533729</v>
      </c>
      <c r="P59" s="1166">
        <f t="shared" si="168"/>
        <v>0.23033880395627779</v>
      </c>
      <c r="Q59" s="1166">
        <f t="shared" si="168"/>
        <v>0.15031894577873592</v>
      </c>
      <c r="R59" s="1166">
        <f t="shared" si="168"/>
        <v>0.90920110736724447</v>
      </c>
      <c r="S59" s="1166">
        <f t="shared" si="168"/>
        <v>0.155963339087174</v>
      </c>
      <c r="T59" s="1166">
        <f t="shared" si="168"/>
        <v>0.31513360089910314</v>
      </c>
      <c r="U59" s="1166">
        <f t="shared" si="168"/>
        <v>0.21827761955867878</v>
      </c>
      <c r="V59" s="1166">
        <f t="shared" si="168"/>
        <v>0.21643822185237915</v>
      </c>
      <c r="W59" s="1166">
        <f t="shared" si="168"/>
        <v>0.27430532011873238</v>
      </c>
      <c r="X59" s="1166">
        <f t="shared" si="168"/>
        <v>2.7220079449734379E-2</v>
      </c>
      <c r="Y59" s="1166">
        <f t="shared" si="168"/>
        <v>0.12447579516216577</v>
      </c>
      <c r="Z59" s="1166">
        <f t="shared" si="168"/>
        <v>5.3413469708583926E-2</v>
      </c>
      <c r="AA59" s="1166">
        <f t="shared" si="168"/>
        <v>8.8383545735274807E-2</v>
      </c>
      <c r="AB59" s="1166">
        <f t="shared" si="168"/>
        <v>7.6624826766343565E-2</v>
      </c>
      <c r="AC59" s="1166">
        <f t="shared" si="168"/>
        <v>0.15790094022851245</v>
      </c>
      <c r="AD59" s="1166">
        <f t="shared" si="168"/>
        <v>6.5809938486997177E-2</v>
      </c>
      <c r="AE59" s="1175">
        <f t="shared" si="4"/>
        <v>7.7163349401361288</v>
      </c>
      <c r="AF59" s="1153"/>
      <c r="AG59" s="1142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SUMIFS(Table915[Count of EnergyRating],Table915[MainSpaceHeatingFuel],AL59,Table915[EnergyRating (group)],AM59,Table915[CountyName (group)],AN$4)</f>
        <v>108</v>
      </c>
      <c r="AO59" s="1129">
        <f>SUMIFS(Table915[Count of EnergyRating],Table915[MainSpaceHeatingFuel],AL59,Table915[EnergyRating (group)],AM59,Table915[CountyName (group)],AO$4)</f>
        <v>22</v>
      </c>
      <c r="AP59" s="1129">
        <f>SUMIFS(Table915[Count of EnergyRating],Table915[MainSpaceHeatingFuel],AL59,Table915[EnergyRating (group)],AM59,Table915[CountyName (group)],AP$4)</f>
        <v>67</v>
      </c>
      <c r="AQ59" s="1129">
        <f>SUMIFS(Table915[Count of EnergyRating],Table915[MainSpaceHeatingFuel],AL59,Table915[EnergyRating (group)],AM59,Table915[CountyName (group)],AQ$4)</f>
        <v>73</v>
      </c>
      <c r="AR59" s="1129">
        <f>SUMIFS(Table915[Count of EnergyRating],Table915[MainSpaceHeatingFuel],AL59,Table915[EnergyRating (group)],AM59,Table915[CountyName (group)],AR$4)</f>
        <v>15</v>
      </c>
      <c r="AS59" s="1129">
        <f>SUMIFS(Table915[Count of EnergyRating],Table915[MainSpaceHeatingFuel],AL59,Table915[EnergyRating (group)],AM59,Table915[CountyName (group)],AS$4)</f>
        <v>31</v>
      </c>
      <c r="AT59" s="1129">
        <f>SUMIFS(Table915[Count of EnergyRating],Table915[MainSpaceHeatingFuel],AL59,Table915[EnergyRating (group)],AM59,Table915[CountyName (group)],AT$4)</f>
        <v>34</v>
      </c>
      <c r="AU59" s="1129">
        <f>SUMIFS(Table915[Count of EnergyRating],Table915[MainSpaceHeatingFuel],AL59,Table915[EnergyRating (group)],AM59,Table915[CountyName (group)],AU$4)</f>
        <v>44</v>
      </c>
      <c r="AV59" s="1129">
        <f>SUMIFS(Table915[Count of EnergyRating],Table915[MainSpaceHeatingFuel],AL59,Table915[EnergyRating (group)],AM59,Table915[CountyName (group)],AV$4)</f>
        <v>44</v>
      </c>
      <c r="AW59" s="1129">
        <f>SUMIFS(Table915[Count of EnergyRating],Table915[MainSpaceHeatingFuel],AL59,Table915[EnergyRating (group)],AM59,Table915[CountyName (group)],AW$4)</f>
        <v>193</v>
      </c>
      <c r="AX59" s="1129">
        <f>SUMIFS(Table915[Count of EnergyRating],Table915[MainSpaceHeatingFuel],AL59,Table915[EnergyRating (group)],AM59,Table915[CountyName (group)],AX$4)</f>
        <v>90</v>
      </c>
      <c r="AY59" s="1129">
        <f>SUMIFS(Table915[Count of EnergyRating],Table915[MainSpaceHeatingFuel],AL59,Table915[EnergyRating (group)],AM59,Table915[CountyName (group)],AY$4)</f>
        <v>19</v>
      </c>
      <c r="AZ59" s="1129">
        <f>SUMIFS(Table915[Count of EnergyRating],Table915[MainSpaceHeatingFuel],AL59,Table915[EnergyRating (group)],AM59,Table915[CountyName (group)],AZ$4)</f>
        <v>94</v>
      </c>
      <c r="BA59" s="1129">
        <f>SUMIFS(Table915[Count of EnergyRating],Table915[MainSpaceHeatingFuel],AL59,Table915[EnergyRating (group)],AM59,Table915[CountyName (group)],BA$4)</f>
        <v>293</v>
      </c>
      <c r="BB59" s="1129">
        <f>SUMIFS(Table915[Count of EnergyRating],Table915[MainSpaceHeatingFuel],AL59,Table915[EnergyRating (group)],AM59,Table915[CountyName (group)],BB$4)</f>
        <v>233</v>
      </c>
      <c r="BC59" s="1129">
        <f>SUMIFS(Table915[Count of EnergyRating],Table915[MainSpaceHeatingFuel],AL59,Table915[EnergyRating (group)],AM59,Table915[CountyName (group)],BC$4)</f>
        <v>35</v>
      </c>
      <c r="BD59" s="1129">
        <f>SUMIFS(Table915[Count of EnergyRating],Table915[MainSpaceHeatingFuel],AL59,Table915[EnergyRating (group)],AM59,Table915[CountyName (group)],BD$4)</f>
        <v>80</v>
      </c>
      <c r="BE59" s="1129">
        <f>SUMIFS(Table915[Count of EnergyRating],Table915[MainSpaceHeatingFuel],AL59,Table915[EnergyRating (group)],AM59,Table915[CountyName (group)],BE$4)</f>
        <v>27</v>
      </c>
      <c r="BF59" s="1129">
        <f>SUMIFS(Table915[Count of EnergyRating],Table915[MainSpaceHeatingFuel],AL59,Table915[EnergyRating (group)],AM59,Table915[CountyName (group)],BF$4)</f>
        <v>190</v>
      </c>
      <c r="BG59" s="1129">
        <f>SUMIFS(Table915[Count of EnergyRating],Table915[MainSpaceHeatingFuel],AL59,Table915[EnergyRating (group)],AM59,Table915[CountyName (group)],BG$4)</f>
        <v>123</v>
      </c>
      <c r="BH59" s="1129">
        <f>SUMIFS(Table915[Count of EnergyRating],Table915[MainSpaceHeatingFuel],AL59,Table915[EnergyRating (group)],AM59,Table915[CountyName (group)],BH$4)</f>
        <v>61</v>
      </c>
      <c r="BI59" s="1129">
        <f>SUMIFS(Table915[Count of EnergyRating],Table915[MainSpaceHeatingFuel],AL59,Table915[EnergyRating (group)],AM59,Table915[CountyName (group)],BI$4)</f>
        <v>125</v>
      </c>
      <c r="BJ59" s="1129">
        <f>SUMIFS(Table915[Count of EnergyRating],Table915[MainSpaceHeatingFuel],AL59,Table915[EnergyRating (group)],AM59,Table915[CountyName (group)],BJ$4)</f>
        <v>159</v>
      </c>
      <c r="BK59" s="1135">
        <f>SUMIFS(Table915[Count of EnergyRating],Table915[MainSpaceHeatingFuel],AL59,Table915[EnergyRating (group)],AM59,Table915[CountyName (group)],BK$4)</f>
        <v>307</v>
      </c>
      <c r="BL59" s="1129">
        <f>SUMIFS(Table915[Count of EnergyRating],Table915[MainSpaceHeatingFuel],AL59,Table915[EnergyRating (group)],AM59,Table915[CountyName (group)],BL$4)</f>
        <v>92</v>
      </c>
      <c r="BM59" s="1129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37"/>
      <c r="C60" s="1137" t="s">
        <v>1125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F60" s="1153"/>
      <c r="AG60" s="58" t="s">
        <v>1163</v>
      </c>
      <c r="AH60" s="1158">
        <f>SUM(E61:AD66)</f>
        <v>42.241301386799776</v>
      </c>
      <c r="AI60" s="1140">
        <f>'SHWLP-Att'!S11</f>
        <v>42.241301386799755</v>
      </c>
      <c r="AJ60" s="1160">
        <f>IFERROR((AI60-AH60)/AI60,"N/A")</f>
        <v>-5.0463128201500589E-16</v>
      </c>
      <c r="AL60" s="1144" t="s">
        <v>1132</v>
      </c>
      <c r="AM60" s="1144" t="s">
        <v>58</v>
      </c>
      <c r="AN60" s="1135">
        <f>SUMIFS(Table915[Count of EnergyRating],Table915[MainSpaceHeatingFuel],AL60,Table915[EnergyRating (group)],AM60,Table915[CountyName (group)],AN$4)</f>
        <v>6</v>
      </c>
      <c r="AO60" s="1129">
        <f>SUMIFS(Table915[Count of EnergyRating],Table915[MainSpaceHeatingFuel],AL60,Table915[EnergyRating (group)],AM60,Table915[CountyName (group)],AO$4)</f>
        <v>17</v>
      </c>
      <c r="AP60" s="1129">
        <f>SUMIFS(Table915[Count of EnergyRating],Table915[MainSpaceHeatingFuel],AL60,Table915[EnergyRating (group)],AM60,Table915[CountyName (group)],AP$4)</f>
        <v>34</v>
      </c>
      <c r="AQ60" s="1129">
        <f>SUMIFS(Table915[Count of EnergyRating],Table915[MainSpaceHeatingFuel],AL60,Table915[EnergyRating (group)],AM60,Table915[CountyName (group)],AQ$4)</f>
        <v>12</v>
      </c>
      <c r="AR60" s="1129">
        <f>SUMIFS(Table915[Count of EnergyRating],Table915[MainSpaceHeatingFuel],AL60,Table915[EnergyRating (group)],AM60,Table915[CountyName (group)],AR$4)</f>
        <v>4</v>
      </c>
      <c r="AS60" s="1129">
        <f>SUMIFS(Table915[Count of EnergyRating],Table915[MainSpaceHeatingFuel],AL60,Table915[EnergyRating (group)],AM60,Table915[CountyName (group)],AS$4)</f>
        <v>6</v>
      </c>
      <c r="AT60" s="1129">
        <f>SUMIFS(Table915[Count of EnergyRating],Table915[MainSpaceHeatingFuel],AL60,Table915[EnergyRating (group)],AM60,Table915[CountyName (group)],AT$4)</f>
        <v>5</v>
      </c>
      <c r="AU60" s="1129">
        <f>SUMIFS(Table915[Count of EnergyRating],Table915[MainSpaceHeatingFuel],AL60,Table915[EnergyRating (group)],AM60,Table915[CountyName (group)],AU$4)</f>
        <v>15</v>
      </c>
      <c r="AV60" s="1129">
        <f>SUMIFS(Table915[Count of EnergyRating],Table915[MainSpaceHeatingFuel],AL60,Table915[EnergyRating (group)],AM60,Table915[CountyName (group)],AV$4)</f>
        <v>7</v>
      </c>
      <c r="AW60" s="1129">
        <f>SUMIFS(Table915[Count of EnergyRating],Table915[MainSpaceHeatingFuel],AL60,Table915[EnergyRating (group)],AM60,Table915[CountyName (group)],AW$4)</f>
        <v>24</v>
      </c>
      <c r="AX60" s="1129">
        <f>SUMIFS(Table915[Count of EnergyRating],Table915[MainSpaceHeatingFuel],AL60,Table915[EnergyRating (group)],AM60,Table915[CountyName (group)],AX$4)</f>
        <v>25</v>
      </c>
      <c r="AY60" s="1129">
        <f>SUMIFS(Table915[Count of EnergyRating],Table915[MainSpaceHeatingFuel],AL60,Table915[EnergyRating (group)],AM60,Table915[CountyName (group)],AY$4)</f>
        <v>14</v>
      </c>
      <c r="AZ60" s="1129">
        <f>SUMIFS(Table915[Count of EnergyRating],Table915[MainSpaceHeatingFuel],AL60,Table915[EnergyRating (group)],AM60,Table915[CountyName (group)],AZ$4)</f>
        <v>35</v>
      </c>
      <c r="BA60" s="1129">
        <f>SUMIFS(Table915[Count of EnergyRating],Table915[MainSpaceHeatingFuel],AL60,Table915[EnergyRating (group)],AM60,Table915[CountyName (group)],BA$4)</f>
        <v>39</v>
      </c>
      <c r="BB60" s="1129">
        <f>SUMIFS(Table915[Count of EnergyRating],Table915[MainSpaceHeatingFuel],AL60,Table915[EnergyRating (group)],AM60,Table915[CountyName (group)],BB$4)</f>
        <v>31</v>
      </c>
      <c r="BC60" s="1129">
        <f>SUMIFS(Table915[Count of EnergyRating],Table915[MainSpaceHeatingFuel],AL60,Table915[EnergyRating (group)],AM60,Table915[CountyName (group)],BC$4)</f>
        <v>8</v>
      </c>
      <c r="BD60" s="1129">
        <f>SUMIFS(Table915[Count of EnergyRating],Table915[MainSpaceHeatingFuel],AL60,Table915[EnergyRating (group)],AM60,Table915[CountyName (group)],BD$4)</f>
        <v>12</v>
      </c>
      <c r="BE60" s="1129">
        <f>SUMIFS(Table915[Count of EnergyRating],Table915[MainSpaceHeatingFuel],AL60,Table915[EnergyRating (group)],AM60,Table915[CountyName (group)],BE$4)</f>
        <v>9</v>
      </c>
      <c r="BF60" s="1129">
        <f>SUMIFS(Table915[Count of EnergyRating],Table915[MainSpaceHeatingFuel],AL60,Table915[EnergyRating (group)],AM60,Table915[CountyName (group)],BF$4)</f>
        <v>41</v>
      </c>
      <c r="BG60" s="1129">
        <f>SUMIFS(Table915[Count of EnergyRating],Table915[MainSpaceHeatingFuel],AL60,Table915[EnergyRating (group)],AM60,Table915[CountyName (group)],BG$4)</f>
        <v>5</v>
      </c>
      <c r="BH60" s="1129">
        <f>SUMIFS(Table915[Count of EnergyRating],Table915[MainSpaceHeatingFuel],AL60,Table915[EnergyRating (group)],AM60,Table915[CountyName (group)],BH$4)</f>
        <v>39</v>
      </c>
      <c r="BI60" s="1129">
        <f>SUMIFS(Table915[Count of EnergyRating],Table915[MainSpaceHeatingFuel],AL60,Table915[EnergyRating (group)],AM60,Table915[CountyName (group)],BI$4)</f>
        <v>10</v>
      </c>
      <c r="BJ60" s="1129">
        <f>SUMIFS(Table915[Count of EnergyRating],Table915[MainSpaceHeatingFuel],AL60,Table915[EnergyRating (group)],AM60,Table915[CountyName (group)],BJ$4)</f>
        <v>16</v>
      </c>
      <c r="BK60" s="1135">
        <f>SUMIFS(Table915[Count of EnergyRating],Table915[MainSpaceHeatingFuel],AL60,Table915[EnergyRating (group)],AM60,Table915[CountyName (group)],BK$4)</f>
        <v>12</v>
      </c>
      <c r="BL60" s="1129">
        <f>SUMIFS(Table915[Count of EnergyRating],Table915[MainSpaceHeatingFuel],AL60,Table915[EnergyRating (group)],AM60,Table915[CountyName (group)],BL$4)</f>
        <v>38</v>
      </c>
      <c r="BM60" s="1129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34" t="s">
        <v>1259</v>
      </c>
      <c r="C61" s="1134" t="s">
        <v>1141</v>
      </c>
      <c r="D61" s="1134" t="s">
        <v>1094</v>
      </c>
      <c r="E61" s="1145">
        <f t="shared" ref="E61:AD61" si="169">IFERROR(G216*((SUM(AN$65:AN$68)/SUM(AN$65:AN$73))/(SUM(G$216)/SUM(G$216:G$221))),0)</f>
        <v>0.32581957422410746</v>
      </c>
      <c r="F61" s="1145">
        <f t="shared" si="169"/>
        <v>8.2228359466250325</v>
      </c>
      <c r="G61" s="1145">
        <f t="shared" si="169"/>
        <v>1.4696489288147765</v>
      </c>
      <c r="H61" s="1145">
        <f t="shared" si="169"/>
        <v>0.22562954903467802</v>
      </c>
      <c r="I61" s="1145">
        <f t="shared" si="169"/>
        <v>5.6953686467885178E-2</v>
      </c>
      <c r="J61" s="1145">
        <f t="shared" si="169"/>
        <v>4.6736842002336666E-2</v>
      </c>
      <c r="K61" s="1145">
        <f t="shared" si="169"/>
        <v>0.7627010973188314</v>
      </c>
      <c r="L61" s="1145">
        <f t="shared" si="169"/>
        <v>1.1012562236960757</v>
      </c>
      <c r="M61" s="1145">
        <f t="shared" si="169"/>
        <v>0.11511353321150365</v>
      </c>
      <c r="N61" s="1145">
        <f t="shared" si="169"/>
        <v>8.8719385152829386E-2</v>
      </c>
      <c r="O61" s="1145">
        <f t="shared" si="169"/>
        <v>0.26767540175134463</v>
      </c>
      <c r="P61" s="1145">
        <f t="shared" si="169"/>
        <v>0.77347406493121418</v>
      </c>
      <c r="Q61" s="1145">
        <f t="shared" si="169"/>
        <v>0.16415276804367343</v>
      </c>
      <c r="R61" s="1145">
        <f t="shared" si="169"/>
        <v>1.7461316483579419</v>
      </c>
      <c r="S61" s="1145">
        <f t="shared" si="169"/>
        <v>0.11327095751427006</v>
      </c>
      <c r="T61" s="1145">
        <f t="shared" si="169"/>
        <v>0.47475479584439811</v>
      </c>
      <c r="U61" s="1145">
        <f t="shared" si="169"/>
        <v>0.2865980191658431</v>
      </c>
      <c r="V61" s="1145">
        <f t="shared" si="169"/>
        <v>0.54161886967628159</v>
      </c>
      <c r="W61" s="1145">
        <f t="shared" si="169"/>
        <v>0.30497411008929026</v>
      </c>
      <c r="X61" s="1145">
        <f t="shared" si="169"/>
        <v>6.1872691823955965E-3</v>
      </c>
      <c r="Y61" s="1145">
        <f t="shared" si="169"/>
        <v>0.12092452638350672</v>
      </c>
      <c r="Z61" s="1145">
        <f t="shared" si="169"/>
        <v>2.7650095355083212E-2</v>
      </c>
      <c r="AA61" s="1145">
        <f t="shared" si="169"/>
        <v>0.10334348323890707</v>
      </c>
      <c r="AB61" s="1145">
        <f t="shared" si="169"/>
        <v>3.967912119849272E-2</v>
      </c>
      <c r="AC61" s="1145">
        <f t="shared" si="169"/>
        <v>0.12279219006427902</v>
      </c>
      <c r="AD61" s="1145">
        <f t="shared" si="169"/>
        <v>9.7951249789779357E-2</v>
      </c>
      <c r="AE61" s="1172">
        <f t="shared" si="4"/>
        <v>17.606593337134754</v>
      </c>
      <c r="AF61" s="1153"/>
      <c r="AG61" s="58" t="s">
        <v>1107</v>
      </c>
      <c r="AH61" s="1158">
        <f>SUM(E68:AD68)</f>
        <v>41.01445459070235</v>
      </c>
      <c r="AI61" s="1140">
        <f>'SHWLP-Att'!S37</f>
        <v>41.014454590702329</v>
      </c>
      <c r="AJ61" s="1160">
        <f>(AI61-AH61)/AI61</f>
        <v>-5.1972608890025925E-16</v>
      </c>
      <c r="AL61" s="1144" t="s">
        <v>1132</v>
      </c>
      <c r="AM61" s="1144" t="s">
        <v>60</v>
      </c>
      <c r="AN61" s="1135">
        <f>SUMIFS(Table915[Count of EnergyRating],Table915[MainSpaceHeatingFuel],AL61,Table915[EnergyRating (group)],AM61,Table915[CountyName (group)],AN$4)</f>
        <v>0</v>
      </c>
      <c r="AO61" s="1129">
        <f>SUMIFS(Table915[Count of EnergyRating],Table915[MainSpaceHeatingFuel],AL61,Table915[EnergyRating (group)],AM61,Table915[CountyName (group)],AO$4)</f>
        <v>11</v>
      </c>
      <c r="AP61" s="1129">
        <f>SUMIFS(Table915[Count of EnergyRating],Table915[MainSpaceHeatingFuel],AL61,Table915[EnergyRating (group)],AM61,Table915[CountyName (group)],AP$4)</f>
        <v>4</v>
      </c>
      <c r="AQ61" s="1129">
        <f>SUMIFS(Table915[Count of EnergyRating],Table915[MainSpaceHeatingFuel],AL61,Table915[EnergyRating (group)],AM61,Table915[CountyName (group)],AQ$4)</f>
        <v>1</v>
      </c>
      <c r="AR61" s="1129">
        <f>SUMIFS(Table915[Count of EnergyRating],Table915[MainSpaceHeatingFuel],AL61,Table915[EnergyRating (group)],AM61,Table915[CountyName (group)],AR$4)</f>
        <v>1</v>
      </c>
      <c r="AS61" s="1129">
        <f>SUMIFS(Table915[Count of EnergyRating],Table915[MainSpaceHeatingFuel],AL61,Table915[EnergyRating (group)],AM61,Table915[CountyName (group)],AS$4)</f>
        <v>0</v>
      </c>
      <c r="AT61" s="1129">
        <f>SUMIFS(Table915[Count of EnergyRating],Table915[MainSpaceHeatingFuel],AL61,Table915[EnergyRating (group)],AM61,Table915[CountyName (group)],AT$4)</f>
        <v>2</v>
      </c>
      <c r="AU61" s="1129">
        <f>SUMIFS(Table915[Count of EnergyRating],Table915[MainSpaceHeatingFuel],AL61,Table915[EnergyRating (group)],AM61,Table915[CountyName (group)],AU$4)</f>
        <v>4</v>
      </c>
      <c r="AV61" s="1129">
        <f>SUMIFS(Table915[Count of EnergyRating],Table915[MainSpaceHeatingFuel],AL61,Table915[EnergyRating (group)],AM61,Table915[CountyName (group)],AV$4)</f>
        <v>0</v>
      </c>
      <c r="AW61" s="1129">
        <f>SUMIFS(Table915[Count of EnergyRating],Table915[MainSpaceHeatingFuel],AL61,Table915[EnergyRating (group)],AM61,Table915[CountyName (group)],AW$4)</f>
        <v>1</v>
      </c>
      <c r="AX61" s="1129">
        <f>SUMIFS(Table915[Count of EnergyRating],Table915[MainSpaceHeatingFuel],AL61,Table915[EnergyRating (group)],AM61,Table915[CountyName (group)],AX$4)</f>
        <v>3</v>
      </c>
      <c r="AY61" s="1129">
        <f>SUMIFS(Table915[Count of EnergyRating],Table915[MainSpaceHeatingFuel],AL61,Table915[EnergyRating (group)],AM61,Table915[CountyName (group)],AY$4)</f>
        <v>6</v>
      </c>
      <c r="AZ61" s="1129">
        <f>SUMIFS(Table915[Count of EnergyRating],Table915[MainSpaceHeatingFuel],AL61,Table915[EnergyRating (group)],AM61,Table915[CountyName (group)],AZ$4)</f>
        <v>11</v>
      </c>
      <c r="BA61" s="1129">
        <f>SUMIFS(Table915[Count of EnergyRating],Table915[MainSpaceHeatingFuel],AL61,Table915[EnergyRating (group)],AM61,Table915[CountyName (group)],BA$4)</f>
        <v>13</v>
      </c>
      <c r="BB61" s="1129">
        <f>SUMIFS(Table915[Count of EnergyRating],Table915[MainSpaceHeatingFuel],AL61,Table915[EnergyRating (group)],AM61,Table915[CountyName (group)],BB$4)</f>
        <v>8</v>
      </c>
      <c r="BC61" s="1129">
        <f>SUMIFS(Table915[Count of EnergyRating],Table915[MainSpaceHeatingFuel],AL61,Table915[EnergyRating (group)],AM61,Table915[CountyName (group)],BC$4)</f>
        <v>5</v>
      </c>
      <c r="BD61" s="1129">
        <f>SUMIFS(Table915[Count of EnergyRating],Table915[MainSpaceHeatingFuel],AL61,Table915[EnergyRating (group)],AM61,Table915[CountyName (group)],BD$4)</f>
        <v>7</v>
      </c>
      <c r="BE61" s="1129">
        <f>SUMIFS(Table915[Count of EnergyRating],Table915[MainSpaceHeatingFuel],AL61,Table915[EnergyRating (group)],AM61,Table915[CountyName (group)],BE$4)</f>
        <v>6</v>
      </c>
      <c r="BF61" s="1129">
        <f>SUMIFS(Table915[Count of EnergyRating],Table915[MainSpaceHeatingFuel],AL61,Table915[EnergyRating (group)],AM61,Table915[CountyName (group)],BF$4)</f>
        <v>15</v>
      </c>
      <c r="BG61" s="1129">
        <f>SUMIFS(Table915[Count of EnergyRating],Table915[MainSpaceHeatingFuel],AL61,Table915[EnergyRating (group)],AM61,Table915[CountyName (group)],BG$4)</f>
        <v>0</v>
      </c>
      <c r="BH61" s="1129">
        <f>SUMIFS(Table915[Count of EnergyRating],Table915[MainSpaceHeatingFuel],AL61,Table915[EnergyRating (group)],AM61,Table915[CountyName (group)],BH$4)</f>
        <v>3</v>
      </c>
      <c r="BI61" s="1129">
        <f>SUMIFS(Table915[Count of EnergyRating],Table915[MainSpaceHeatingFuel],AL61,Table915[EnergyRating (group)],AM61,Table915[CountyName (group)],BI$4)</f>
        <v>2</v>
      </c>
      <c r="BJ61" s="1129">
        <f>SUMIFS(Table915[Count of EnergyRating],Table915[MainSpaceHeatingFuel],AL61,Table915[EnergyRating (group)],AM61,Table915[CountyName (group)],BJ$4)</f>
        <v>4</v>
      </c>
      <c r="BK61" s="1135">
        <f>SUMIFS(Table915[Count of EnergyRating],Table915[MainSpaceHeatingFuel],AL61,Table915[EnergyRating (group)],AM61,Table915[CountyName (group)],BK$4)</f>
        <v>1</v>
      </c>
      <c r="BL61" s="1129">
        <f>SUMIFS(Table915[Count of EnergyRating],Table915[MainSpaceHeatingFuel],AL61,Table915[EnergyRating (group)],AM61,Table915[CountyName (group)],BL$4)</f>
        <v>8</v>
      </c>
      <c r="BM61" s="1129">
        <f>SUMIFS(Table915[Count of EnergyRating],Table915[MainSpaceHeatingFuel],AL61,Table915[EnergyRating (group)],AM61,Table915[CountyName (group)],BM$4)</f>
        <v>0</v>
      </c>
      <c r="BO61"/>
    </row>
    <row r="62" spans="2:67">
      <c r="B62" s="1136" t="s">
        <v>56</v>
      </c>
      <c r="C62" s="1136" t="s">
        <v>1141</v>
      </c>
      <c r="D62" s="1136" t="s">
        <v>1094</v>
      </c>
      <c r="E62" s="1146">
        <f t="shared" ref="E62:AD62" si="170">IFERROR(G217*((SUM(AN$69)/SUM(AN$65:AN$73))/(SUM(G$217)/SUM(G$216:G$221))),0)</f>
        <v>2.9901163457275684E-2</v>
      </c>
      <c r="F62" s="1146">
        <f t="shared" si="170"/>
        <v>0.77471036131020199</v>
      </c>
      <c r="G62" s="1146">
        <f t="shared" si="170"/>
        <v>6.471465453587795E-2</v>
      </c>
      <c r="H62" s="1146">
        <f t="shared" si="170"/>
        <v>5.3472898904172242E-2</v>
      </c>
      <c r="I62" s="1146">
        <f t="shared" si="170"/>
        <v>5.1776078607168347E-2</v>
      </c>
      <c r="J62" s="1146">
        <f t="shared" si="170"/>
        <v>2.5492822910365455E-2</v>
      </c>
      <c r="K62" s="1146">
        <f t="shared" si="170"/>
        <v>2.7965706901690486E-2</v>
      </c>
      <c r="L62" s="1146">
        <f t="shared" si="170"/>
        <v>3.2751114459362844E-2</v>
      </c>
      <c r="M62" s="1146">
        <f t="shared" si="170"/>
        <v>5.1161570316223849E-2</v>
      </c>
      <c r="N62" s="1146">
        <f t="shared" si="170"/>
        <v>8.8719385152829386E-2</v>
      </c>
      <c r="O62" s="1146">
        <f t="shared" si="170"/>
        <v>5.0393657542429179E-2</v>
      </c>
      <c r="P62" s="1146">
        <f t="shared" si="170"/>
        <v>3.1502695034711828E-2</v>
      </c>
      <c r="Q62" s="1146">
        <f t="shared" si="170"/>
        <v>9.268970954190181E-2</v>
      </c>
      <c r="R62" s="1146">
        <f t="shared" si="170"/>
        <v>0.37597647675740969</v>
      </c>
      <c r="S62" s="1146">
        <f t="shared" si="170"/>
        <v>8.7751413726470079E-2</v>
      </c>
      <c r="T62" s="1146">
        <f t="shared" si="170"/>
        <v>0.1628519357838342</v>
      </c>
      <c r="U62" s="1146">
        <f t="shared" si="170"/>
        <v>5.8673610222928503E-2</v>
      </c>
      <c r="V62" s="1146">
        <f t="shared" si="170"/>
        <v>6.7202341289228446E-2</v>
      </c>
      <c r="W62" s="1146">
        <f t="shared" si="170"/>
        <v>0.12445131846693011</v>
      </c>
      <c r="X62" s="1146">
        <f t="shared" si="170"/>
        <v>2.9389528616379085E-2</v>
      </c>
      <c r="Y62" s="1146">
        <f t="shared" si="170"/>
        <v>2.1183858636526727E-2</v>
      </c>
      <c r="Z62" s="1146">
        <f t="shared" si="170"/>
        <v>1.1060038142033286E-2</v>
      </c>
      <c r="AA62" s="1146">
        <f t="shared" si="170"/>
        <v>3.8250510029985092E-2</v>
      </c>
      <c r="AB62" s="1146">
        <f t="shared" si="170"/>
        <v>3.2121193351160773E-2</v>
      </c>
      <c r="AC62" s="1146">
        <f t="shared" si="170"/>
        <v>3.3929420938813938E-2</v>
      </c>
      <c r="AD62" s="1146">
        <f t="shared" si="170"/>
        <v>2.988343213925472E-2</v>
      </c>
      <c r="AE62" s="1173">
        <f t="shared" si="4"/>
        <v>2.4479768967751663</v>
      </c>
      <c r="AF62" s="1153"/>
      <c r="AG62" s="1142"/>
      <c r="AH62" s="1142"/>
      <c r="AL62" s="1144" t="s">
        <v>1132</v>
      </c>
      <c r="AM62" s="1144" t="s">
        <v>62</v>
      </c>
      <c r="AN62" s="1135">
        <f>SUMIFS(Table915[Count of EnergyRating],Table915[MainSpaceHeatingFuel],AL62,Table915[EnergyRating (group)],AM62,Table915[CountyName (group)],AN$4)</f>
        <v>0</v>
      </c>
      <c r="AO62" s="1129">
        <f>SUMIFS(Table915[Count of EnergyRating],Table915[MainSpaceHeatingFuel],AL62,Table915[EnergyRating (group)],AM62,Table915[CountyName (group)],AO$4)</f>
        <v>5</v>
      </c>
      <c r="AP62" s="1129">
        <f>SUMIFS(Table915[Count of EnergyRating],Table915[MainSpaceHeatingFuel],AL62,Table915[EnergyRating (group)],AM62,Table915[CountyName (group)],AP$4)</f>
        <v>0</v>
      </c>
      <c r="AQ62" s="1129">
        <f>SUMIFS(Table915[Count of EnergyRating],Table915[MainSpaceHeatingFuel],AL62,Table915[EnergyRating (group)],AM62,Table915[CountyName (group)],AQ$4)</f>
        <v>0</v>
      </c>
      <c r="AR62" s="1129">
        <f>SUMIFS(Table915[Count of EnergyRating],Table915[MainSpaceHeatingFuel],AL62,Table915[EnergyRating (group)],AM62,Table915[CountyName (group)],AR$4)</f>
        <v>1</v>
      </c>
      <c r="AS62" s="1129">
        <f>SUMIFS(Table915[Count of EnergyRating],Table915[MainSpaceHeatingFuel],AL62,Table915[EnergyRating (group)],AM62,Table915[CountyName (group)],AS$4)</f>
        <v>1</v>
      </c>
      <c r="AT62" s="1129">
        <f>SUMIFS(Table915[Count of EnergyRating],Table915[MainSpaceHeatingFuel],AL62,Table915[EnergyRating (group)],AM62,Table915[CountyName (group)],AT$4)</f>
        <v>1</v>
      </c>
      <c r="AU62" s="1129">
        <f>SUMIFS(Table915[Count of EnergyRating],Table915[MainSpaceHeatingFuel],AL62,Table915[EnergyRating (group)],AM62,Table915[CountyName (group)],AU$4)</f>
        <v>2</v>
      </c>
      <c r="AV62" s="1129">
        <f>SUMIFS(Table915[Count of EnergyRating],Table915[MainSpaceHeatingFuel],AL62,Table915[EnergyRating (group)],AM62,Table915[CountyName (group)],AV$4)</f>
        <v>0</v>
      </c>
      <c r="AW62" s="1129">
        <f>SUMIFS(Table915[Count of EnergyRating],Table915[MainSpaceHeatingFuel],AL62,Table915[EnergyRating (group)],AM62,Table915[CountyName (group)],AW$4)</f>
        <v>0</v>
      </c>
      <c r="AX62" s="1129">
        <f>SUMIFS(Table915[Count of EnergyRating],Table915[MainSpaceHeatingFuel],AL62,Table915[EnergyRating (group)],AM62,Table915[CountyName (group)],AX$4)</f>
        <v>2</v>
      </c>
      <c r="AY62" s="1129">
        <f>SUMIFS(Table915[Count of EnergyRating],Table915[MainSpaceHeatingFuel],AL62,Table915[EnergyRating (group)],AM62,Table915[CountyName (group)],AY$4)</f>
        <v>1</v>
      </c>
      <c r="AZ62" s="1129">
        <f>SUMIFS(Table915[Count of EnergyRating],Table915[MainSpaceHeatingFuel],AL62,Table915[EnergyRating (group)],AM62,Table915[CountyName (group)],AZ$4)</f>
        <v>4</v>
      </c>
      <c r="BA62" s="1129">
        <f>SUMIFS(Table915[Count of EnergyRating],Table915[MainSpaceHeatingFuel],AL62,Table915[EnergyRating (group)],AM62,Table915[CountyName (group)],BA$4)</f>
        <v>6</v>
      </c>
      <c r="BB62" s="1129">
        <f>SUMIFS(Table915[Count of EnergyRating],Table915[MainSpaceHeatingFuel],AL62,Table915[EnergyRating (group)],AM62,Table915[CountyName (group)],BB$4)</f>
        <v>3</v>
      </c>
      <c r="BC62" s="1129">
        <f>SUMIFS(Table915[Count of EnergyRating],Table915[MainSpaceHeatingFuel],AL62,Table915[EnergyRating (group)],AM62,Table915[CountyName (group)],BC$4)</f>
        <v>3</v>
      </c>
      <c r="BD62" s="1129">
        <f>SUMIFS(Table915[Count of EnergyRating],Table915[MainSpaceHeatingFuel],AL62,Table915[EnergyRating (group)],AM62,Table915[CountyName (group)],BD$4)</f>
        <v>4</v>
      </c>
      <c r="BE62" s="1129">
        <f>SUMIFS(Table915[Count of EnergyRating],Table915[MainSpaceHeatingFuel],AL62,Table915[EnergyRating (group)],AM62,Table915[CountyName (group)],BE$4)</f>
        <v>1</v>
      </c>
      <c r="BF62" s="1152">
        <f>SUMIFS(Table915[Count of EnergyRating],Table915[MainSpaceHeatingFuel],AL62,Table915[EnergyRating (group)],AM62,Table915[CountyName (group)],BF$4)</f>
        <v>3</v>
      </c>
      <c r="BG62" s="1129">
        <f>SUMIFS(Table915[Count of EnergyRating],Table915[MainSpaceHeatingFuel],AL62,Table915[EnergyRating (group)],AM62,Table915[CountyName (group)],BG$4)</f>
        <v>0</v>
      </c>
      <c r="BH62" s="1129">
        <f>SUMIFS(Table915[Count of EnergyRating],Table915[MainSpaceHeatingFuel],AL62,Table915[EnergyRating (group)],AM62,Table915[CountyName (group)],BH$4)</f>
        <v>1</v>
      </c>
      <c r="BI62" s="1129">
        <f>SUMIFS(Table915[Count of EnergyRating],Table915[MainSpaceHeatingFuel],AL62,Table915[EnergyRating (group)],AM62,Table915[CountyName (group)],BI$4)</f>
        <v>2</v>
      </c>
      <c r="BJ62" s="1129">
        <f>SUMIFS(Table915[Count of EnergyRating],Table915[MainSpaceHeatingFuel],AL62,Table915[EnergyRating (group)],AM62,Table915[CountyName (group)],BJ$4)</f>
        <v>0</v>
      </c>
      <c r="BK62" s="1135">
        <f>SUMIFS(Table915[Count of EnergyRating],Table915[MainSpaceHeatingFuel],AL62,Table915[EnergyRating (group)],AM62,Table915[CountyName (group)],BK$4)</f>
        <v>2</v>
      </c>
      <c r="BL62" s="1129">
        <f>SUMIFS(Table915[Count of EnergyRating],Table915[MainSpaceHeatingFuel],AL62,Table915[EnergyRating (group)],AM62,Table915[CountyName (group)],BL$4)</f>
        <v>3</v>
      </c>
      <c r="BM62" s="1129">
        <f>SUMIFS(Table915[Count of EnergyRating],Table915[MainSpaceHeatingFuel],AL62,Table915[EnergyRating (group)],AM62,Table915[CountyName (group)],BM$4)</f>
        <v>1</v>
      </c>
      <c r="BO62"/>
    </row>
    <row r="63" spans="2:67">
      <c r="B63" s="1134" t="s">
        <v>58</v>
      </c>
      <c r="C63" s="1134" t="s">
        <v>1141</v>
      </c>
      <c r="D63" s="1134" t="s">
        <v>1094</v>
      </c>
      <c r="E63" s="1145">
        <f t="shared" ref="E63:AD63" si="171">IFERROR(G218*((SUM(AN$70)/SUM(AN$65:AN$73))/(SUM(G$218)/SUM(G$216:G$221))),0)</f>
        <v>3.1963312661225728E-2</v>
      </c>
      <c r="F63" s="1145">
        <f t="shared" si="171"/>
        <v>2.0138708664155982</v>
      </c>
      <c r="G63" s="1145">
        <f t="shared" si="171"/>
        <v>0.22858886037673018</v>
      </c>
      <c r="H63" s="1145">
        <f t="shared" si="171"/>
        <v>7.9557239833036753E-2</v>
      </c>
      <c r="I63" s="1145">
        <f t="shared" si="171"/>
        <v>0.1656834515429387</v>
      </c>
      <c r="J63" s="1145">
        <f t="shared" si="171"/>
        <v>0.12618947340630901</v>
      </c>
      <c r="K63" s="1145">
        <f t="shared" si="171"/>
        <v>7.1185435749757595E-2</v>
      </c>
      <c r="L63" s="1145">
        <f t="shared" si="171"/>
        <v>0.12145204945347056</v>
      </c>
      <c r="M63" s="1145">
        <f t="shared" si="171"/>
        <v>0.13338552261015504</v>
      </c>
      <c r="N63" s="1145">
        <f t="shared" si="171"/>
        <v>0.16053983980035794</v>
      </c>
      <c r="O63" s="1145">
        <f t="shared" si="171"/>
        <v>0.24542365686247977</v>
      </c>
      <c r="P63" s="1145">
        <f t="shared" si="171"/>
        <v>0.12186568868691154</v>
      </c>
      <c r="Q63" s="1145">
        <f t="shared" si="171"/>
        <v>0.25684247758557521</v>
      </c>
      <c r="R63" s="1145">
        <f t="shared" si="171"/>
        <v>0.8362053852811856</v>
      </c>
      <c r="S63" s="1145">
        <f t="shared" si="171"/>
        <v>0.29056463014530143</v>
      </c>
      <c r="T63" s="1145">
        <f t="shared" si="171"/>
        <v>0.24565800482646175</v>
      </c>
      <c r="U63" s="1145">
        <f t="shared" si="171"/>
        <v>0.23582277954984729</v>
      </c>
      <c r="V63" s="1145">
        <f t="shared" si="171"/>
        <v>0.15040524002827318</v>
      </c>
      <c r="W63" s="1145">
        <f t="shared" si="171"/>
        <v>0.51763542900805537</v>
      </c>
      <c r="X63" s="1145">
        <f t="shared" si="171"/>
        <v>6.805996100635156E-2</v>
      </c>
      <c r="Y63" s="1145">
        <f t="shared" si="171"/>
        <v>0.14299104579655539</v>
      </c>
      <c r="Z63" s="1145">
        <f t="shared" si="171"/>
        <v>8.0876528913618392E-2</v>
      </c>
      <c r="AA63" s="1145">
        <f t="shared" si="171"/>
        <v>0.13085700799731742</v>
      </c>
      <c r="AB63" s="1145">
        <f t="shared" si="171"/>
        <v>0.13982166517564099</v>
      </c>
      <c r="AC63" s="1145">
        <f t="shared" si="171"/>
        <v>0.2375059465716976</v>
      </c>
      <c r="AD63" s="1145">
        <f t="shared" si="171"/>
        <v>7.9689152371345939E-2</v>
      </c>
      <c r="AE63" s="1172">
        <f t="shared" si="4"/>
        <v>6.912640651656198</v>
      </c>
      <c r="AF63" s="1153"/>
      <c r="AG63" s="1142"/>
      <c r="AH63" s="1142"/>
      <c r="AL63" s="1144" t="s">
        <v>1132</v>
      </c>
      <c r="AM63" s="1144" t="s">
        <v>64</v>
      </c>
      <c r="AN63" s="1135">
        <f>SUMIFS(Table915[Count of EnergyRating],Table915[MainSpaceHeatingFuel],AL63,Table915[EnergyRating (group)],AM63,Table915[CountyName (group)],AN$4)</f>
        <v>0</v>
      </c>
      <c r="AO63" s="1129">
        <f>SUMIFS(Table915[Count of EnergyRating],Table915[MainSpaceHeatingFuel],AL63,Table915[EnergyRating (group)],AM63,Table915[CountyName (group)],AO$4)</f>
        <v>7</v>
      </c>
      <c r="AP63" s="1129">
        <f>SUMIFS(Table915[Count of EnergyRating],Table915[MainSpaceHeatingFuel],AL63,Table915[EnergyRating (group)],AM63,Table915[CountyName (group)],AP$4)</f>
        <v>0</v>
      </c>
      <c r="AQ63" s="1129">
        <f>SUMIFS(Table915[Count of EnergyRating],Table915[MainSpaceHeatingFuel],AL63,Table915[EnergyRating (group)],AM63,Table915[CountyName (group)],AQ$4)</f>
        <v>0</v>
      </c>
      <c r="AR63" s="1129">
        <f>SUMIFS(Table915[Count of EnergyRating],Table915[MainSpaceHeatingFuel],AL63,Table915[EnergyRating (group)],AM63,Table915[CountyName (group)],AR$4)</f>
        <v>0</v>
      </c>
      <c r="AS63" s="1129">
        <f>SUMIFS(Table915[Count of EnergyRating],Table915[MainSpaceHeatingFuel],AL63,Table915[EnergyRating (group)],AM63,Table915[CountyName (group)],AS$4)</f>
        <v>1</v>
      </c>
      <c r="AT63" s="1129">
        <f>SUMIFS(Table915[Count of EnergyRating],Table915[MainSpaceHeatingFuel],AL63,Table915[EnergyRating (group)],AM63,Table915[CountyName (group)],AT$4)</f>
        <v>1</v>
      </c>
      <c r="AU63" s="1129">
        <f>SUMIFS(Table915[Count of EnergyRating],Table915[MainSpaceHeatingFuel],AL63,Table915[EnergyRating (group)],AM63,Table915[CountyName (group)],AU$4)</f>
        <v>0</v>
      </c>
      <c r="AV63" s="1129">
        <f>SUMIFS(Table915[Count of EnergyRating],Table915[MainSpaceHeatingFuel],AL63,Table915[EnergyRating (group)],AM63,Table915[CountyName (group)],AV$4)</f>
        <v>0</v>
      </c>
      <c r="AW63" s="1129">
        <f>SUMIFS(Table915[Count of EnergyRating],Table915[MainSpaceHeatingFuel],AL63,Table915[EnergyRating (group)],AM63,Table915[CountyName (group)],AW$4)</f>
        <v>1</v>
      </c>
      <c r="AX63" s="1129">
        <f>SUMIFS(Table915[Count of EnergyRating],Table915[MainSpaceHeatingFuel],AL63,Table915[EnergyRating (group)],AM63,Table915[CountyName (group)],AX$4)</f>
        <v>2</v>
      </c>
      <c r="AY63" s="1129">
        <f>SUMIFS(Table915[Count of EnergyRating],Table915[MainSpaceHeatingFuel],AL63,Table915[EnergyRating (group)],AM63,Table915[CountyName (group)],AY$4)</f>
        <v>1</v>
      </c>
      <c r="AZ63" s="1129">
        <f>SUMIFS(Table915[Count of EnergyRating],Table915[MainSpaceHeatingFuel],AL63,Table915[EnergyRating (group)],AM63,Table915[CountyName (group)],AZ$4)</f>
        <v>2</v>
      </c>
      <c r="BA63" s="1129">
        <f>SUMIFS(Table915[Count of EnergyRating],Table915[MainSpaceHeatingFuel],AL63,Table915[EnergyRating (group)],AM63,Table915[CountyName (group)],BA$4)</f>
        <v>6</v>
      </c>
      <c r="BB63" s="1129">
        <f>SUMIFS(Table915[Count of EnergyRating],Table915[MainSpaceHeatingFuel],AL63,Table915[EnergyRating (group)],AM63,Table915[CountyName (group)],BB$4)</f>
        <v>3</v>
      </c>
      <c r="BC63" s="1129">
        <f>SUMIFS(Table915[Count of EnergyRating],Table915[MainSpaceHeatingFuel],AL63,Table915[EnergyRating (group)],AM63,Table915[CountyName (group)],BC$4)</f>
        <v>4</v>
      </c>
      <c r="BD63" s="1129">
        <f>SUMIFS(Table915[Count of EnergyRating],Table915[MainSpaceHeatingFuel],AL63,Table915[EnergyRating (group)],AM63,Table915[CountyName (group)],BD$4)</f>
        <v>7</v>
      </c>
      <c r="BE63" s="1129">
        <f>SUMIFS(Table915[Count of EnergyRating],Table915[MainSpaceHeatingFuel],AL63,Table915[EnergyRating (group)],AM63,Table915[CountyName (group)],BE$4)</f>
        <v>3</v>
      </c>
      <c r="BF63" s="1129">
        <f>SUMIFS(Table915[Count of EnergyRating],Table915[MainSpaceHeatingFuel],AL63,Table915[EnergyRating (group)],AM63,Table915[CountyName (group)],BF$4)</f>
        <v>5</v>
      </c>
      <c r="BG63" s="1129">
        <f>SUMIFS(Table915[Count of EnergyRating],Table915[MainSpaceHeatingFuel],AL63,Table915[EnergyRating (group)],AM63,Table915[CountyName (group)],BG$4)</f>
        <v>0</v>
      </c>
      <c r="BH63" s="1129">
        <f>SUMIFS(Table915[Count of EnergyRating],Table915[MainSpaceHeatingFuel],AL63,Table915[EnergyRating (group)],AM63,Table915[CountyName (group)],BH$4)</f>
        <v>0</v>
      </c>
      <c r="BI63" s="1129">
        <f>SUMIFS(Table915[Count of EnergyRating],Table915[MainSpaceHeatingFuel],AL63,Table915[EnergyRating (group)],AM63,Table915[CountyName (group)],BI$4)</f>
        <v>0</v>
      </c>
      <c r="BJ63" s="1129">
        <f>SUMIFS(Table915[Count of EnergyRating],Table915[MainSpaceHeatingFuel],AL63,Table915[EnergyRating (group)],AM63,Table915[CountyName (group)],BJ$4)</f>
        <v>2</v>
      </c>
      <c r="BK63" s="1135">
        <f>SUMIFS(Table915[Count of EnergyRating],Table915[MainSpaceHeatingFuel],AL63,Table915[EnergyRating (group)],AM63,Table915[CountyName (group)],BK$4)</f>
        <v>1</v>
      </c>
      <c r="BL63" s="1129">
        <f>SUMIFS(Table915[Count of EnergyRating],Table915[MainSpaceHeatingFuel],AL63,Table915[EnergyRating (group)],AM63,Table915[CountyName (group)],BL$4)</f>
        <v>4</v>
      </c>
      <c r="BM63" s="1129">
        <f>SUMIFS(Table915[Count of EnergyRating],Table915[MainSpaceHeatingFuel],AL63,Table915[EnergyRating (group)],AM63,Table915[CountyName (group)],BM$4)</f>
        <v>0</v>
      </c>
      <c r="BO63"/>
    </row>
    <row r="64" spans="2:67">
      <c r="B64" s="1136" t="s">
        <v>60</v>
      </c>
      <c r="C64" s="1136" t="s">
        <v>1141</v>
      </c>
      <c r="D64" s="1136" t="s">
        <v>1094</v>
      </c>
      <c r="E64" s="1146">
        <f t="shared" ref="E64:AD64" si="172">IFERROR(G219*((SUM(AN$71)/SUM(AN$65:AN$73))/(SUM(G$219)/SUM(G$216:G$221))),0)</f>
        <v>2.3714715845425539E-2</v>
      </c>
      <c r="F64" s="1146">
        <f t="shared" si="172"/>
        <v>1.6678837147624981</v>
      </c>
      <c r="G64" s="1146">
        <f t="shared" si="172"/>
        <v>0.1523925735844868</v>
      </c>
      <c r="H64" s="1146">
        <f t="shared" si="172"/>
        <v>0.1278132705514361</v>
      </c>
      <c r="I64" s="1146">
        <f t="shared" si="172"/>
        <v>0.11390737293577036</v>
      </c>
      <c r="J64" s="1146">
        <f t="shared" si="172"/>
        <v>3.5689952074511637E-2</v>
      </c>
      <c r="K64" s="1146">
        <f t="shared" si="172"/>
        <v>6.3558424776569297E-2</v>
      </c>
      <c r="L64" s="1146">
        <f t="shared" si="172"/>
        <v>6.8231488457005926E-2</v>
      </c>
      <c r="M64" s="1146">
        <f t="shared" si="172"/>
        <v>0.10780473745204312</v>
      </c>
      <c r="N64" s="1146">
        <f t="shared" si="172"/>
        <v>9.9281216718642415E-2</v>
      </c>
      <c r="O64" s="1146">
        <f t="shared" si="172"/>
        <v>0.17081486517628594</v>
      </c>
      <c r="P64" s="1146">
        <f t="shared" si="172"/>
        <v>0.11772059723497579</v>
      </c>
      <c r="Q64" s="1146">
        <f t="shared" si="172"/>
        <v>0.17688875866775156</v>
      </c>
      <c r="R64" s="1146">
        <f t="shared" si="172"/>
        <v>0.66032843396889607</v>
      </c>
      <c r="S64" s="1146">
        <f t="shared" si="172"/>
        <v>0.17908451780912263</v>
      </c>
      <c r="T64" s="1146">
        <f t="shared" si="172"/>
        <v>0.34088498422548347</v>
      </c>
      <c r="U64" s="1146">
        <f t="shared" si="172"/>
        <v>0.1726358146943858</v>
      </c>
      <c r="V64" s="1146">
        <f t="shared" si="172"/>
        <v>0.13760479406842013</v>
      </c>
      <c r="W64" s="1146">
        <f t="shared" si="172"/>
        <v>0.28240876113649527</v>
      </c>
      <c r="X64" s="1146">
        <f t="shared" si="172"/>
        <v>1.5983778721188627E-2</v>
      </c>
      <c r="Y64" s="1146">
        <f t="shared" si="172"/>
        <v>0.14210838502003345</v>
      </c>
      <c r="Z64" s="1146">
        <f t="shared" si="172"/>
        <v>9.1245314671774602E-2</v>
      </c>
      <c r="AA64" s="1146">
        <f t="shared" si="172"/>
        <v>0.11340940693100843</v>
      </c>
      <c r="AB64" s="1146">
        <f t="shared" si="172"/>
        <v>7.9358242396985426E-2</v>
      </c>
      <c r="AC64" s="1146">
        <f t="shared" si="172"/>
        <v>0.13733337046662783</v>
      </c>
      <c r="AD64" s="1146">
        <f t="shared" si="172"/>
        <v>5.9766864278509441E-2</v>
      </c>
      <c r="AE64" s="1173">
        <f t="shared" si="4"/>
        <v>5.3378543566263348</v>
      </c>
      <c r="AF64" s="1153"/>
      <c r="AG64" s="1142"/>
      <c r="AH64" s="1142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  <c r="BO64"/>
    </row>
    <row r="65" spans="2:67">
      <c r="B65" s="1134" t="s">
        <v>62</v>
      </c>
      <c r="C65" s="1134" t="s">
        <v>1141</v>
      </c>
      <c r="D65" s="1134" t="s">
        <v>1094</v>
      </c>
      <c r="E65" s="1145">
        <f t="shared" ref="E65:AD65" si="173">IFERROR(G220*((SUM(AN$72)/SUM(AN$65:AN$73))/(SUM(G$220)/SUM(G$216:G$221))),0)</f>
        <v>1.4435044427650328E-2</v>
      </c>
      <c r="F65" s="1145">
        <f t="shared" si="173"/>
        <v>0.78035145617411128</v>
      </c>
      <c r="G65" s="1145">
        <f t="shared" si="173"/>
        <v>5.0101668027776478E-2</v>
      </c>
      <c r="H65" s="1145">
        <f t="shared" si="173"/>
        <v>7.5644588693707077E-2</v>
      </c>
      <c r="I65" s="1145">
        <f t="shared" si="173"/>
        <v>9.3196941492903015E-2</v>
      </c>
      <c r="J65" s="1145">
        <f t="shared" si="173"/>
        <v>1.1046889927825031E-2</v>
      </c>
      <c r="K65" s="1145">
        <f t="shared" si="173"/>
        <v>4.8304402830192654E-2</v>
      </c>
      <c r="L65" s="1145">
        <f t="shared" si="173"/>
        <v>3.9574263305063431E-2</v>
      </c>
      <c r="M65" s="1145">
        <f t="shared" si="173"/>
        <v>3.8371177737167889E-2</v>
      </c>
      <c r="N65" s="1145">
        <f t="shared" si="173"/>
        <v>5.2809157829065118E-2</v>
      </c>
      <c r="O65" s="1145">
        <f t="shared" si="173"/>
        <v>8.9006979555459331E-2</v>
      </c>
      <c r="P65" s="1145">
        <f t="shared" si="173"/>
        <v>7.6269682715618126E-2</v>
      </c>
      <c r="Q65" s="1145">
        <f t="shared" si="173"/>
        <v>3.9623081941576349E-2</v>
      </c>
      <c r="R65" s="1145">
        <f t="shared" si="173"/>
        <v>0.34016919325670403</v>
      </c>
      <c r="S65" s="1145">
        <f t="shared" si="173"/>
        <v>5.8650179582487659E-2</v>
      </c>
      <c r="T65" s="1145">
        <f t="shared" si="173"/>
        <v>0.16147183463312373</v>
      </c>
      <c r="U65" s="1145">
        <f t="shared" si="173"/>
        <v>7.4470351436793883E-2</v>
      </c>
      <c r="V65" s="1145">
        <f t="shared" si="173"/>
        <v>0.10800376278626</v>
      </c>
      <c r="W65" s="1145">
        <f t="shared" si="173"/>
        <v>0.1094077524984001</v>
      </c>
      <c r="X65" s="1145">
        <f t="shared" si="173"/>
        <v>1.0827721069192296E-2</v>
      </c>
      <c r="Y65" s="1145">
        <f t="shared" si="173"/>
        <v>8.1204791440019117E-2</v>
      </c>
      <c r="Z65" s="1145">
        <f t="shared" si="173"/>
        <v>4.8387666871395618E-2</v>
      </c>
      <c r="AA65" s="1145">
        <f t="shared" si="173"/>
        <v>2.4829278440516637E-2</v>
      </c>
      <c r="AB65" s="1145">
        <f t="shared" si="173"/>
        <v>2.8342229427494797E-2</v>
      </c>
      <c r="AC65" s="1145">
        <f t="shared" si="173"/>
        <v>9.209414254820926E-2</v>
      </c>
      <c r="AD65" s="1145">
        <f t="shared" si="173"/>
        <v>2.324266944164256E-2</v>
      </c>
      <c r="AE65" s="1172">
        <f t="shared" si="4"/>
        <v>2.5698369080903558</v>
      </c>
      <c r="AF65" s="1153"/>
      <c r="AG65" s="1142"/>
      <c r="AH65" s="1142"/>
      <c r="AL65" s="1144" t="s">
        <v>136</v>
      </c>
      <c r="AM65" s="1144" t="s">
        <v>48</v>
      </c>
      <c r="AN65" s="1135">
        <f>SUMIFS(Table915[Count of EnergyRating],Table915[MainSpaceHeatingFuel],AL65,Table915[EnergyRating (group)],AM65,Table915[CountyName (group)],AN$4)</f>
        <v>272</v>
      </c>
      <c r="AO65" s="1129">
        <f>SUMIFS(Table915[Count of EnergyRating],Table915[MainSpaceHeatingFuel],AL65,Table915[EnergyRating (group)],AM65,Table915[CountyName (group)],AO$4)</f>
        <v>4166</v>
      </c>
      <c r="AP65" s="1129">
        <f>SUMIFS(Table915[Count of EnergyRating],Table915[MainSpaceHeatingFuel],AL65,Table915[EnergyRating (group)],AM65,Table915[CountyName (group)],AP$4)</f>
        <v>1402</v>
      </c>
      <c r="AQ65" s="1129">
        <f>SUMIFS(Table915[Count of EnergyRating],Table915[MainSpaceHeatingFuel],AL65,Table915[EnergyRating (group)],AM65,Table915[CountyName (group)],AQ$4)</f>
        <v>136</v>
      </c>
      <c r="AR65" s="1129">
        <f>SUMIFS(Table915[Count of EnergyRating],Table915[MainSpaceHeatingFuel],AL65,Table915[EnergyRating (group)],AM65,Table915[CountyName (group)],AR$4)</f>
        <v>13</v>
      </c>
      <c r="AS65" s="1129">
        <f>SUMIFS(Table915[Count of EnergyRating],Table915[MainSpaceHeatingFuel],AL65,Table915[EnergyRating (group)],AM65,Table915[CountyName (group)],AS$4)</f>
        <v>1</v>
      </c>
      <c r="AT65" s="1129">
        <f>SUMIFS(Table915[Count of EnergyRating],Table915[MainSpaceHeatingFuel],AL65,Table915[EnergyRating (group)],AM65,Table915[CountyName (group)],AT$4)</f>
        <v>276</v>
      </c>
      <c r="AU65" s="1129">
        <f>SUMIFS(Table915[Count of EnergyRating],Table915[MainSpaceHeatingFuel],AL65,Table915[EnergyRating (group)],AM65,Table915[CountyName (group)],AU$4)</f>
        <v>806</v>
      </c>
      <c r="AV65" s="1129">
        <f>SUMIFS(Table915[Count of EnergyRating],Table915[MainSpaceHeatingFuel],AL65,Table915[EnergyRating (group)],AM65,Table915[CountyName (group)],AV$4)</f>
        <v>34</v>
      </c>
      <c r="AW65" s="1129">
        <f>SUMIFS(Table915[Count of EnergyRating],Table915[MainSpaceHeatingFuel],AL65,Table915[EnergyRating (group)],AM65,Table915[CountyName (group)],AW$4)</f>
        <v>27</v>
      </c>
      <c r="AX65" s="1129">
        <f>SUMIFS(Table915[Count of EnergyRating],Table915[MainSpaceHeatingFuel],AL65,Table915[EnergyRating (group)],AM65,Table915[CountyName (group)],AX$4)</f>
        <v>305</v>
      </c>
      <c r="AY65" s="1129">
        <f>SUMIFS(Table915[Count of EnergyRating],Table915[MainSpaceHeatingFuel],AL65,Table915[EnergyRating (group)],AM65,Table915[CountyName (group)],AY$4)</f>
        <v>919</v>
      </c>
      <c r="AZ65" s="1129">
        <f>SUMIFS(Table915[Count of EnergyRating],Table915[MainSpaceHeatingFuel],AL65,Table915[EnergyRating (group)],AM65,Table915[CountyName (group)],AZ$4)</f>
        <v>185</v>
      </c>
      <c r="BA65" s="1129">
        <f>SUMIFS(Table915[Count of EnergyRating],Table915[MainSpaceHeatingFuel],AL65,Table915[EnergyRating (group)],AM65,Table915[CountyName (group)],BA$4)</f>
        <v>1271</v>
      </c>
      <c r="BB65" s="1129">
        <f>SUMIFS(Table915[Count of EnergyRating],Table915[MainSpaceHeatingFuel],AL65,Table915[EnergyRating (group)],AM65,Table915[CountyName (group)],BB$4)</f>
        <v>179</v>
      </c>
      <c r="BC65" s="1129">
        <f>SUMIFS(Table915[Count of EnergyRating],Table915[MainSpaceHeatingFuel],AL65,Table915[EnergyRating (group)],AM65,Table915[CountyName (group)],BC$4)</f>
        <v>232</v>
      </c>
      <c r="BD65" s="1129">
        <f>SUMIFS(Table915[Count of EnergyRating],Table915[MainSpaceHeatingFuel],AL65,Table915[EnergyRating (group)],AM65,Table915[CountyName (group)],BD$4)</f>
        <v>108</v>
      </c>
      <c r="BE65" s="1129">
        <f>SUMIFS(Table915[Count of EnergyRating],Table915[MainSpaceHeatingFuel],AL65,Table915[EnergyRating (group)],AM65,Table915[CountyName (group)],BE$4)</f>
        <v>498</v>
      </c>
      <c r="BF65" s="1129">
        <f>SUMIFS(Table915[Count of EnergyRating],Table915[MainSpaceHeatingFuel],AL65,Table915[EnergyRating (group)],AM65,Table915[CountyName (group)],BF$4)</f>
        <v>353</v>
      </c>
      <c r="BG65" s="1129">
        <f>SUMIFS(Table915[Count of EnergyRating],Table915[MainSpaceHeatingFuel],AL65,Table915[EnergyRating (group)],AM65,Table915[CountyName (group)],BG$4)</f>
        <v>11</v>
      </c>
      <c r="BH65" s="1129">
        <f>SUMIFS(Table915[Count of EnergyRating],Table915[MainSpaceHeatingFuel],AL65,Table915[EnergyRating (group)],AM65,Table915[CountyName (group)],BH$4)</f>
        <v>102</v>
      </c>
      <c r="BI65" s="1129">
        <f>SUMIFS(Table915[Count of EnergyRating],Table915[MainSpaceHeatingFuel],AL65,Table915[EnergyRating (group)],AM65,Table915[CountyName (group)],BI$4)</f>
        <v>27</v>
      </c>
      <c r="BJ65" s="1129">
        <f>SUMIFS(Table915[Count of EnergyRating],Table915[MainSpaceHeatingFuel],AL65,Table915[EnergyRating (group)],AM65,Table915[CountyName (group)],BJ$4)</f>
        <v>81</v>
      </c>
      <c r="BK65" s="1135">
        <f>SUMIFS(Table915[Count of EnergyRating],Table915[MainSpaceHeatingFuel],AL65,Table915[EnergyRating (group)],AM65,Table915[CountyName (group)],BK$4)</f>
        <v>20</v>
      </c>
      <c r="BL65" s="1129">
        <f>SUMIFS(Table915[Count of EnergyRating],Table915[MainSpaceHeatingFuel],AL65,Table915[EnergyRating (group)],AM65,Table915[CountyName (group)],BL$4)</f>
        <v>60</v>
      </c>
      <c r="BM65" s="1129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38" t="s">
        <v>64</v>
      </c>
      <c r="C66" s="1138" t="s">
        <v>1141</v>
      </c>
      <c r="D66" s="1138" t="s">
        <v>1094</v>
      </c>
      <c r="E66" s="1147">
        <f t="shared" ref="E66:AD66" si="174">IFERROR(G221*((SUM(AN$73)/SUM(AN$65:AN$73))/(SUM(G$221)/SUM(G$216:G$221))),0)</f>
        <v>6.4957699924426474E-2</v>
      </c>
      <c r="F66" s="1147">
        <f t="shared" si="174"/>
        <v>2.8543940011380746</v>
      </c>
      <c r="G66" s="1147">
        <f t="shared" si="174"/>
        <v>0.11064118356133973</v>
      </c>
      <c r="H66" s="1147">
        <f t="shared" si="174"/>
        <v>0.11868375122633353</v>
      </c>
      <c r="I66" s="1147">
        <f t="shared" si="174"/>
        <v>0.14497302010007135</v>
      </c>
      <c r="J66" s="1147">
        <f t="shared" si="174"/>
        <v>1.3171291837022151E-2</v>
      </c>
      <c r="K66" s="1147">
        <f t="shared" si="174"/>
        <v>0.34830016777559969</v>
      </c>
      <c r="L66" s="1147">
        <f t="shared" si="174"/>
        <v>0.11189964106948973</v>
      </c>
      <c r="M66" s="1147">
        <f t="shared" si="174"/>
        <v>0.1114591353317734</v>
      </c>
      <c r="N66" s="1147">
        <f t="shared" si="174"/>
        <v>0.17743877030565877</v>
      </c>
      <c r="O66" s="1147">
        <f t="shared" si="174"/>
        <v>0.17735949602595205</v>
      </c>
      <c r="P66" s="1147">
        <f t="shared" si="174"/>
        <v>0.1401040910754289</v>
      </c>
      <c r="Q66" s="1147">
        <f t="shared" si="174"/>
        <v>9.2689709541901796E-2</v>
      </c>
      <c r="R66" s="1147">
        <f t="shared" si="174"/>
        <v>1.0184012689759527</v>
      </c>
      <c r="S66" s="1147">
        <f t="shared" si="174"/>
        <v>0.12446373987734022</v>
      </c>
      <c r="T66" s="1147">
        <f t="shared" si="174"/>
        <v>0.339504883074773</v>
      </c>
      <c r="U66" s="1147">
        <f t="shared" si="174"/>
        <v>0.36671006389330324</v>
      </c>
      <c r="V66" s="1147">
        <f t="shared" si="174"/>
        <v>0.18000627131043331</v>
      </c>
      <c r="W66" s="1147">
        <f t="shared" si="174"/>
        <v>0.16274403184137015</v>
      </c>
      <c r="X66" s="1147">
        <f t="shared" si="174"/>
        <v>1.8561807547186792E-2</v>
      </c>
      <c r="Y66" s="1147">
        <f t="shared" si="174"/>
        <v>0.17300151219830159</v>
      </c>
      <c r="Z66" s="1147">
        <f t="shared" si="174"/>
        <v>3.3180114426099853E-2</v>
      </c>
      <c r="AA66" s="1147">
        <f t="shared" si="174"/>
        <v>7.3145712162603072E-2</v>
      </c>
      <c r="AB66" s="1147">
        <f t="shared" si="174"/>
        <v>0.10014254397714829</v>
      </c>
      <c r="AC66" s="1147">
        <f t="shared" si="174"/>
        <v>0.24073731999444178</v>
      </c>
      <c r="AD66" s="1147">
        <f t="shared" si="174"/>
        <v>6.972800832492769E-2</v>
      </c>
      <c r="AE66" s="1174">
        <f t="shared" si="4"/>
        <v>7.3663992365169539</v>
      </c>
      <c r="AF66" s="1153"/>
      <c r="AG66" s="1142"/>
      <c r="AH66" s="1142"/>
      <c r="AL66" s="1144" t="s">
        <v>136</v>
      </c>
      <c r="AM66" s="1144" t="s">
        <v>50</v>
      </c>
      <c r="AN66" s="1135">
        <f>SUMIFS(Table915[Count of EnergyRating],Table915[MainSpaceHeatingFuel],AL66,Table915[EnergyRating (group)],AM66,Table915[CountyName (group)],AN$4)</f>
        <v>2</v>
      </c>
      <c r="AO66" s="1129">
        <f>SUMIFS(Table915[Count of EnergyRating],Table915[MainSpaceHeatingFuel],AL66,Table915[EnergyRating (group)],AM66,Table915[CountyName (group)],AO$4)</f>
        <v>111</v>
      </c>
      <c r="AP66" s="1129">
        <f>SUMIFS(Table915[Count of EnergyRating],Table915[MainSpaceHeatingFuel],AL66,Table915[EnergyRating (group)],AM66,Table915[CountyName (group)],AP$4)</f>
        <v>2</v>
      </c>
      <c r="AQ66" s="1129">
        <f>SUMIFS(Table915[Count of EnergyRating],Table915[MainSpaceHeatingFuel],AL66,Table915[EnergyRating (group)],AM66,Table915[CountyName (group)],AQ$4)</f>
        <v>5</v>
      </c>
      <c r="AR66" s="1129">
        <f>SUMIFS(Table915[Count of EnergyRating],Table915[MainSpaceHeatingFuel],AL66,Table915[EnergyRating (group)],AM66,Table915[CountyName (group)],AR$4)</f>
        <v>7</v>
      </c>
      <c r="AS66" s="1129">
        <f>SUMIFS(Table915[Count of EnergyRating],Table915[MainSpaceHeatingFuel],AL66,Table915[EnergyRating (group)],AM66,Table915[CountyName (group)],AS$4)</f>
        <v>62</v>
      </c>
      <c r="AT66" s="1129">
        <f>SUMIFS(Table915[Count of EnergyRating],Table915[MainSpaceHeatingFuel],AL66,Table915[EnergyRating (group)],AM66,Table915[CountyName (group)],AT$4)</f>
        <v>13</v>
      </c>
      <c r="AU66" s="1129">
        <f>SUMIFS(Table915[Count of EnergyRating],Table915[MainSpaceHeatingFuel],AL66,Table915[EnergyRating (group)],AM66,Table915[CountyName (group)],AU$4)</f>
        <v>1</v>
      </c>
      <c r="AV66" s="1129">
        <f>SUMIFS(Table915[Count of EnergyRating],Table915[MainSpaceHeatingFuel],AL66,Table915[EnergyRating (group)],AM66,Table915[CountyName (group)],AV$4)</f>
        <v>0</v>
      </c>
      <c r="AW66" s="1129">
        <f>SUMIFS(Table915[Count of EnergyRating],Table915[MainSpaceHeatingFuel],AL66,Table915[EnergyRating (group)],AM66,Table915[CountyName (group)],AW$4)</f>
        <v>3</v>
      </c>
      <c r="AX66" s="1129">
        <f>SUMIFS(Table915[Count of EnergyRating],Table915[MainSpaceHeatingFuel],AL66,Table915[EnergyRating (group)],AM66,Table915[CountyName (group)],AX$4)</f>
        <v>49</v>
      </c>
      <c r="AY66" s="1129">
        <f>SUMIFS(Table915[Count of EnergyRating],Table915[MainSpaceHeatingFuel],AL66,Table915[EnergyRating (group)],AM66,Table915[CountyName (group)],AY$4)</f>
        <v>6</v>
      </c>
      <c r="AZ66" s="1129">
        <f>SUMIFS(Table915[Count of EnergyRating],Table915[MainSpaceHeatingFuel],AL66,Table915[EnergyRating (group)],AM66,Table915[CountyName (group)],AZ$4)</f>
        <v>32</v>
      </c>
      <c r="BA66" s="1129">
        <f>SUMIFS(Table915[Count of EnergyRating],Table915[MainSpaceHeatingFuel],AL66,Table915[EnergyRating (group)],AM66,Table915[CountyName (group)],BA$4)</f>
        <v>143</v>
      </c>
      <c r="BB66" s="1129">
        <f>SUMIFS(Table915[Count of EnergyRating],Table915[MainSpaceHeatingFuel],AL66,Table915[EnergyRating (group)],AM66,Table915[CountyName (group)],BB$4)</f>
        <v>57</v>
      </c>
      <c r="BC66" s="1129">
        <f>SUMIFS(Table915[Count of EnergyRating],Table915[MainSpaceHeatingFuel],AL66,Table915[EnergyRating (group)],AM66,Table915[CountyName (group)],BC$4)</f>
        <v>45</v>
      </c>
      <c r="BD66" s="1129">
        <f>SUMIFS(Table915[Count of EnergyRating],Table915[MainSpaceHeatingFuel],AL66,Table915[EnergyRating (group)],AM66,Table915[CountyName (group)],BD$4)</f>
        <v>61</v>
      </c>
      <c r="BE66" s="1129">
        <f>SUMIFS(Table915[Count of EnergyRating],Table915[MainSpaceHeatingFuel],AL66,Table915[EnergyRating (group)],AM66,Table915[CountyName (group)],BE$4)</f>
        <v>71</v>
      </c>
      <c r="BF66" s="1129">
        <f>SUMIFS(Table915[Count of EnergyRating],Table915[MainSpaceHeatingFuel],AL66,Table915[EnergyRating (group)],AM66,Table915[CountyName (group)],BF$4)</f>
        <v>64</v>
      </c>
      <c r="BG66" s="1129">
        <f>SUMIFS(Table915[Count of EnergyRating],Table915[MainSpaceHeatingFuel],AL66,Table915[EnergyRating (group)],AM66,Table915[CountyName (group)],BG$4)</f>
        <v>0</v>
      </c>
      <c r="BH66" s="1129">
        <f>SUMIFS(Table915[Count of EnergyRating],Table915[MainSpaceHeatingFuel],AL66,Table915[EnergyRating (group)],AM66,Table915[CountyName (group)],BH$4)</f>
        <v>13</v>
      </c>
      <c r="BI66" s="1129">
        <f>SUMIFS(Table915[Count of EnergyRating],Table915[MainSpaceHeatingFuel],AL66,Table915[EnergyRating (group)],AM66,Table915[CountyName (group)],BI$4)</f>
        <v>11</v>
      </c>
      <c r="BJ66" s="1129">
        <f>SUMIFS(Table915[Count of EnergyRating],Table915[MainSpaceHeatingFuel],AL66,Table915[EnergyRating (group)],AM66,Table915[CountyName (group)],BJ$4)</f>
        <v>66</v>
      </c>
      <c r="BK66" s="1135">
        <f>SUMIFS(Table915[Count of EnergyRating],Table915[MainSpaceHeatingFuel],AL66,Table915[EnergyRating (group)],AM66,Table915[CountyName (group)],BK$4)</f>
        <v>0</v>
      </c>
      <c r="BL66" s="1129">
        <f>SUMIFS(Table915[Count of EnergyRating],Table915[MainSpaceHeatingFuel],AL66,Table915[EnergyRating (group)],AM66,Table915[CountyName (group)],BL$4)</f>
        <v>10</v>
      </c>
      <c r="BM66" s="1129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38" t="s">
        <v>1075</v>
      </c>
      <c r="C67" s="1138" t="s">
        <v>1141</v>
      </c>
      <c r="D67" s="1138" t="s">
        <v>1094</v>
      </c>
      <c r="E67" s="1147">
        <f>SUM(E61:E66)</f>
        <v>0.49079151054011116</v>
      </c>
      <c r="F67" s="1147">
        <f t="shared" ref="F67" si="175">SUM(F61:F66)</f>
        <v>16.314046346425517</v>
      </c>
      <c r="G67" s="1147">
        <f t="shared" ref="G67" si="176">SUM(G61:G66)</f>
        <v>2.0760878689009874</v>
      </c>
      <c r="H67" s="1147">
        <f t="shared" ref="H67" si="177">SUM(H61:H66)</f>
        <v>0.68080129824336377</v>
      </c>
      <c r="I67" s="1147">
        <f t="shared" ref="I67" si="178">SUM(I61:I66)</f>
        <v>0.62649055114673691</v>
      </c>
      <c r="J67" s="1147">
        <f t="shared" ref="J67" si="179">SUM(J61:J66)</f>
        <v>0.25832727215836998</v>
      </c>
      <c r="K67" s="1147">
        <f t="shared" ref="K67" si="180">SUM(K61:K66)</f>
        <v>1.3220152353526411</v>
      </c>
      <c r="L67" s="1147">
        <f t="shared" ref="L67" si="181">SUM(L61:L66)</f>
        <v>1.4751647804404682</v>
      </c>
      <c r="M67" s="1147">
        <f t="shared" ref="M67" si="182">SUM(M61:M66)</f>
        <v>0.55729567665886703</v>
      </c>
      <c r="N67" s="1147">
        <f t="shared" ref="N67" si="183">SUM(N61:N66)</f>
        <v>0.66750775495938308</v>
      </c>
      <c r="O67" s="1147">
        <f t="shared" ref="O67" si="184">SUM(O61:O66)</f>
        <v>1.0006740569139509</v>
      </c>
      <c r="P67" s="1147">
        <f t="shared" ref="P67" si="185">SUM(P61:P66)</f>
        <v>1.2609368196788604</v>
      </c>
      <c r="Q67" s="1147">
        <f t="shared" ref="Q67" si="186">SUM(Q61:Q66)</f>
        <v>0.82288650532238017</v>
      </c>
      <c r="R67" s="1147">
        <f t="shared" ref="R67" si="187">SUM(R61:R66)</f>
        <v>4.9772124065980901</v>
      </c>
      <c r="S67" s="1147">
        <f t="shared" ref="S67" si="188">SUM(S61:S66)</f>
        <v>0.85378543865499212</v>
      </c>
      <c r="T67" s="1147">
        <f t="shared" ref="T67" si="189">SUM(T61:T66)</f>
        <v>1.7251264383880742</v>
      </c>
      <c r="U67" s="1147">
        <f t="shared" ref="U67" si="190">SUM(U61:U66)</f>
        <v>1.1949106389631019</v>
      </c>
      <c r="V67" s="1147">
        <f t="shared" ref="V67" si="191">SUM(V61:V66)</f>
        <v>1.1848412791588967</v>
      </c>
      <c r="W67" s="1147">
        <f t="shared" ref="W67" si="192">SUM(W61:W66)</f>
        <v>1.5016214030405413</v>
      </c>
      <c r="X67" s="1147">
        <f t="shared" ref="X67" si="193">SUM(X61:X66)</f>
        <v>0.14901006614269394</v>
      </c>
      <c r="Y67" s="1147">
        <f t="shared" ref="Y67" si="194">SUM(Y61:Y66)</f>
        <v>0.68141411947494301</v>
      </c>
      <c r="Z67" s="1147">
        <f t="shared" ref="Z67" si="195">SUM(Z61:Z66)</f>
        <v>0.29239975838000498</v>
      </c>
      <c r="AA67" s="1147">
        <f t="shared" ref="AA67" si="196">SUM(AA61:AA66)</f>
        <v>0.48383539880033771</v>
      </c>
      <c r="AB67" s="1147">
        <f t="shared" ref="AB67" si="197">SUM(AB61:AB66)</f>
        <v>0.41946499552692301</v>
      </c>
      <c r="AC67" s="1147">
        <f t="shared" ref="AC67" si="198">SUM(AC61:AC66)</f>
        <v>0.86439239058406947</v>
      </c>
      <c r="AD67" s="1147">
        <f t="shared" ref="AD67" si="199">SUM(AD61:AD66)</f>
        <v>0.36026137634545968</v>
      </c>
      <c r="AE67" s="1147">
        <f t="shared" ref="AE67" si="200">SUM(AE61:AE66)</f>
        <v>42.241301386799769</v>
      </c>
      <c r="AF67" s="1153"/>
      <c r="AG67" s="1142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SUMIFS(Table915[Count of EnergyRating],Table915[MainSpaceHeatingFuel],AL67,Table915[EnergyRating (group)],AM67,Table915[CountyName (group)],AN$4)</f>
        <v>14</v>
      </c>
      <c r="AO67" s="1129">
        <f>SUMIFS(Table915[Count of EnergyRating],Table915[MainSpaceHeatingFuel],AL67,Table915[EnergyRating (group)],AM67,Table915[CountyName (group)],AO$4)</f>
        <v>61</v>
      </c>
      <c r="AP67" s="1129">
        <f>SUMIFS(Table915[Count of EnergyRating],Table915[MainSpaceHeatingFuel],AL67,Table915[EnergyRating (group)],AM67,Table915[CountyName (group)],AP$4)</f>
        <v>4</v>
      </c>
      <c r="AQ67" s="1129">
        <f>SUMIFS(Table915[Count of EnergyRating],Table915[MainSpaceHeatingFuel],AL67,Table915[EnergyRating (group)],AM67,Table915[CountyName (group)],AQ$4)</f>
        <v>11</v>
      </c>
      <c r="AR67" s="1129">
        <f>SUMIFS(Table915[Count of EnergyRating],Table915[MainSpaceHeatingFuel],AL67,Table915[EnergyRating (group)],AM67,Table915[CountyName (group)],AR$4)</f>
        <v>2</v>
      </c>
      <c r="AS67" s="1129">
        <f>SUMIFS(Table915[Count of EnergyRating],Table915[MainSpaceHeatingFuel],AL67,Table915[EnergyRating (group)],AM67,Table915[CountyName (group)],AS$4)</f>
        <v>29</v>
      </c>
      <c r="AT67" s="1129">
        <f>SUMIFS(Table915[Count of EnergyRating],Table915[MainSpaceHeatingFuel],AL67,Table915[EnergyRating (group)],AM67,Table915[CountyName (group)],AT$4)</f>
        <v>7</v>
      </c>
      <c r="AU67" s="1129">
        <f>SUMIFS(Table915[Count of EnergyRating],Table915[MainSpaceHeatingFuel],AL67,Table915[EnergyRating (group)],AM67,Table915[CountyName (group)],AU$4)</f>
        <v>0</v>
      </c>
      <c r="AV67" s="1129">
        <f>SUMIFS(Table915[Count of EnergyRating],Table915[MainSpaceHeatingFuel],AL67,Table915[EnergyRating (group)],AM67,Table915[CountyName (group)],AV$4)</f>
        <v>24</v>
      </c>
      <c r="AW67" s="1129">
        <f>SUMIFS(Table915[Count of EnergyRating],Table915[MainSpaceHeatingFuel],AL67,Table915[EnergyRating (group)],AM67,Table915[CountyName (group)],AW$4)</f>
        <v>3</v>
      </c>
      <c r="AX67" s="1129">
        <f>SUMIFS(Table915[Count of EnergyRating],Table915[MainSpaceHeatingFuel],AL67,Table915[EnergyRating (group)],AM67,Table915[CountyName (group)],AX$4)</f>
        <v>13</v>
      </c>
      <c r="AY67" s="1129">
        <f>SUMIFS(Table915[Count of EnergyRating],Table915[MainSpaceHeatingFuel],AL67,Table915[EnergyRating (group)],AM67,Table915[CountyName (group)],AY$4)</f>
        <v>5</v>
      </c>
      <c r="AZ67" s="1129">
        <f>SUMIFS(Table915[Count of EnergyRating],Table915[MainSpaceHeatingFuel],AL67,Table915[EnergyRating (group)],AM67,Table915[CountyName (group)],AZ$4)</f>
        <v>4</v>
      </c>
      <c r="BA67" s="1129">
        <f>SUMIFS(Table915[Count of EnergyRating],Table915[MainSpaceHeatingFuel],AL67,Table915[EnergyRating (group)],AM67,Table915[CountyName (group)],BA$4)</f>
        <v>166</v>
      </c>
      <c r="BB67" s="1129">
        <f>SUMIFS(Table915[Count of EnergyRating],Table915[MainSpaceHeatingFuel],AL67,Table915[EnergyRating (group)],AM67,Table915[CountyName (group)],BB$4)</f>
        <v>7</v>
      </c>
      <c r="BC67" s="1129">
        <f>SUMIFS(Table915[Count of EnergyRating],Table915[MainSpaceHeatingFuel],AL67,Table915[EnergyRating (group)],AM67,Table915[CountyName (group)],BC$4)</f>
        <v>23</v>
      </c>
      <c r="BD67" s="1129">
        <f>SUMIFS(Table915[Count of EnergyRating],Table915[MainSpaceHeatingFuel],AL67,Table915[EnergyRating (group)],AM67,Table915[CountyName (group)],BD$4)</f>
        <v>56</v>
      </c>
      <c r="BE67" s="1129">
        <f>SUMIFS(Table915[Count of EnergyRating],Table915[MainSpaceHeatingFuel],AL67,Table915[EnergyRating (group)],AM67,Table915[CountyName (group)],BE$4)</f>
        <v>64</v>
      </c>
      <c r="BF67" s="1129">
        <f>SUMIFS(Table915[Count of EnergyRating],Table915[MainSpaceHeatingFuel],AL67,Table915[EnergyRating (group)],AM67,Table915[CountyName (group)],BF$4)</f>
        <v>20</v>
      </c>
      <c r="BG67" s="1129">
        <f>SUMIFS(Table915[Count of EnergyRating],Table915[MainSpaceHeatingFuel],AL67,Table915[EnergyRating (group)],AM67,Table915[CountyName (group)],BG$4)</f>
        <v>0</v>
      </c>
      <c r="BH67" s="1129">
        <f>SUMIFS(Table915[Count of EnergyRating],Table915[MainSpaceHeatingFuel],AL67,Table915[EnergyRating (group)],AM67,Table915[CountyName (group)],BH$4)</f>
        <v>17</v>
      </c>
      <c r="BI67" s="1129">
        <f>SUMIFS(Table915[Count of EnergyRating],Table915[MainSpaceHeatingFuel],AL67,Table915[EnergyRating (group)],AM67,Table915[CountyName (group)],BI$4)</f>
        <v>2</v>
      </c>
      <c r="BJ67" s="1129">
        <f>SUMIFS(Table915[Count of EnergyRating],Table915[MainSpaceHeatingFuel],AL67,Table915[EnergyRating (group)],AM67,Table915[CountyName (group)],BJ$4)</f>
        <v>4</v>
      </c>
      <c r="BK67" s="1135">
        <f>SUMIFS(Table915[Count of EnergyRating],Table915[MainSpaceHeatingFuel],AL67,Table915[EnergyRating (group)],AM67,Table915[CountyName (group)],BK$4)</f>
        <v>1</v>
      </c>
      <c r="BL67" s="1129">
        <f>SUMIFS(Table915[Count of EnergyRating],Table915[MainSpaceHeatingFuel],AL67,Table915[EnergyRating (group)],AM67,Table915[CountyName (group)],BL$4)</f>
        <v>6</v>
      </c>
      <c r="BM67" s="1129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65"/>
      <c r="C68" s="1165" t="s">
        <v>1142</v>
      </c>
      <c r="D68" s="1165" t="s">
        <v>1094</v>
      </c>
      <c r="E68" s="1166">
        <f t="shared" ref="E68:AD68" si="201">G222</f>
        <v>0.47653707299936554</v>
      </c>
      <c r="F68" s="1166">
        <f t="shared" si="201"/>
        <v>15.840224877048351</v>
      </c>
      <c r="G68" s="1166">
        <f t="shared" si="201"/>
        <v>2.015790442762174</v>
      </c>
      <c r="H68" s="1166">
        <f t="shared" si="201"/>
        <v>0.66102825943755994</v>
      </c>
      <c r="I68" s="1166">
        <f t="shared" si="201"/>
        <v>0.60829490138629017</v>
      </c>
      <c r="J68" s="1166">
        <f t="shared" si="201"/>
        <v>0.25082447333856073</v>
      </c>
      <c r="K68" s="1166">
        <f t="shared" si="201"/>
        <v>1.2836189240971545</v>
      </c>
      <c r="L68" s="1166">
        <f t="shared" si="201"/>
        <v>1.4323204284630759</v>
      </c>
      <c r="M68" s="1166">
        <f t="shared" si="201"/>
        <v>0.54110970717068407</v>
      </c>
      <c r="N68" s="1166">
        <f t="shared" si="201"/>
        <v>0.64812081081570627</v>
      </c>
      <c r="O68" s="1166">
        <f t="shared" si="201"/>
        <v>0.97161070610898881</v>
      </c>
      <c r="P68" s="1166">
        <f t="shared" si="201"/>
        <v>1.2243144561030135</v>
      </c>
      <c r="Q68" s="1166">
        <f t="shared" si="201"/>
        <v>0.79898677592336953</v>
      </c>
      <c r="R68" s="1166">
        <f t="shared" si="201"/>
        <v>4.832655376060214</v>
      </c>
      <c r="S68" s="1166">
        <f t="shared" si="201"/>
        <v>0.82898828763028787</v>
      </c>
      <c r="T68" s="1166">
        <f t="shared" si="201"/>
        <v>1.675022256596441</v>
      </c>
      <c r="U68" s="1166">
        <f t="shared" si="201"/>
        <v>1.1602059248348406</v>
      </c>
      <c r="V68" s="1166">
        <f t="shared" si="201"/>
        <v>1.1504290172375744</v>
      </c>
      <c r="W68" s="1166">
        <f t="shared" si="201"/>
        <v>1.458008650904848</v>
      </c>
      <c r="X68" s="1166">
        <f t="shared" si="201"/>
        <v>0.14468225151029346</v>
      </c>
      <c r="Y68" s="1166">
        <f t="shared" si="201"/>
        <v>0.66162328202800225</v>
      </c>
      <c r="Z68" s="1166">
        <f t="shared" si="201"/>
        <v>0.28390736598273203</v>
      </c>
      <c r="AA68" s="1166">
        <f t="shared" si="201"/>
        <v>0.46978299299443588</v>
      </c>
      <c r="AB68" s="1166">
        <f t="shared" si="201"/>
        <v>0.40728214914335858</v>
      </c>
      <c r="AC68" s="1166">
        <f t="shared" si="201"/>
        <v>0.8392871736484363</v>
      </c>
      <c r="AD68" s="1166">
        <f t="shared" si="201"/>
        <v>0.34979802647657526</v>
      </c>
      <c r="AE68" s="1175">
        <f t="shared" si="4"/>
        <v>41.01445459070235</v>
      </c>
      <c r="AF68" s="1153"/>
      <c r="AG68" s="58" t="s">
        <v>1163</v>
      </c>
      <c r="AH68" s="1158">
        <f>SUM(E70:AD75)</f>
        <v>22.745316131353707</v>
      </c>
      <c r="AI68" s="1140">
        <f>'SHWLP-Att'!S12</f>
        <v>22.745316131353711</v>
      </c>
      <c r="AJ68" s="1160">
        <f>IFERROR((AI68-AH68)/AI68,"N/A")</f>
        <v>1.5619539681416851E-16</v>
      </c>
      <c r="AL68" s="1144" t="s">
        <v>136</v>
      </c>
      <c r="AM68" s="1144" t="s">
        <v>54</v>
      </c>
      <c r="AN68" s="1135">
        <f>SUMIFS(Table915[Count of EnergyRating],Table915[MainSpaceHeatingFuel],AL68,Table915[EnergyRating (group)],AM68,Table915[CountyName (group)],AN$4)</f>
        <v>28</v>
      </c>
      <c r="AO68" s="1129">
        <f>SUMIFS(Table915[Count of EnergyRating],Table915[MainSpaceHeatingFuel],AL68,Table915[EnergyRating (group)],AM68,Table915[CountyName (group)],AO$4)</f>
        <v>35</v>
      </c>
      <c r="AP68" s="1129">
        <f>SUMIFS(Table915[Count of EnergyRating],Table915[MainSpaceHeatingFuel],AL68,Table915[EnergyRating (group)],AM68,Table915[CountyName (group)],AP$4)</f>
        <v>0</v>
      </c>
      <c r="AQ68" s="1129">
        <f>SUMIFS(Table915[Count of EnergyRating],Table915[MainSpaceHeatingFuel],AL68,Table915[EnergyRating (group)],AM68,Table915[CountyName (group)],AQ$4)</f>
        <v>21</v>
      </c>
      <c r="AR68" s="1129">
        <f>SUMIFS(Table915[Count of EnergyRating],Table915[MainSpaceHeatingFuel],AL68,Table915[EnergyRating (group)],AM68,Table915[CountyName (group)],AR$4)</f>
        <v>0</v>
      </c>
      <c r="AS68" s="1129">
        <f>SUMIFS(Table915[Count of EnergyRating],Table915[MainSpaceHeatingFuel],AL68,Table915[EnergyRating (group)],AM68,Table915[CountyName (group)],AS$4)</f>
        <v>18</v>
      </c>
      <c r="AT68" s="1129">
        <f>SUMIFS(Table915[Count of EnergyRating],Table915[MainSpaceHeatingFuel],AL68,Table915[EnergyRating (group)],AM68,Table915[CountyName (group)],AT$4)</f>
        <v>4</v>
      </c>
      <c r="AU68" s="1129">
        <f>SUMIFS(Table915[Count of EnergyRating],Table915[MainSpaceHeatingFuel],AL68,Table915[EnergyRating (group)],AM68,Table915[CountyName (group)],AU$4)</f>
        <v>0</v>
      </c>
      <c r="AV68" s="1129">
        <f>SUMIFS(Table915[Count of EnergyRating],Table915[MainSpaceHeatingFuel],AL68,Table915[EnergyRating (group)],AM68,Table915[CountyName (group)],AV$4)</f>
        <v>5</v>
      </c>
      <c r="AW68" s="1129">
        <f>SUMIFS(Table915[Count of EnergyRating],Table915[MainSpaceHeatingFuel],AL68,Table915[EnergyRating (group)],AM68,Table915[CountyName (group)],AW$4)</f>
        <v>9</v>
      </c>
      <c r="AX68" s="1129">
        <f>SUMIFS(Table915[Count of EnergyRating],Table915[MainSpaceHeatingFuel],AL68,Table915[EnergyRating (group)],AM68,Table915[CountyName (group)],AX$4)</f>
        <v>42</v>
      </c>
      <c r="AY68" s="1129">
        <f>SUMIFS(Table915[Count of EnergyRating],Table915[MainSpaceHeatingFuel],AL68,Table915[EnergyRating (group)],AM68,Table915[CountyName (group)],AY$4)</f>
        <v>3</v>
      </c>
      <c r="AZ68" s="1129">
        <f>SUMIFS(Table915[Count of EnergyRating],Table915[MainSpaceHeatingFuel],AL68,Table915[EnergyRating (group)],AM68,Table915[CountyName (group)],AZ$4)</f>
        <v>11</v>
      </c>
      <c r="BA68" s="1129">
        <f>SUMIFS(Table915[Count of EnergyRating],Table915[MainSpaceHeatingFuel],AL68,Table915[EnergyRating (group)],AM68,Table915[CountyName (group)],BA$4)</f>
        <v>78</v>
      </c>
      <c r="BB68" s="1129">
        <f>SUMIFS(Table915[Count of EnergyRating],Table915[MainSpaceHeatingFuel],AL68,Table915[EnergyRating (group)],AM68,Table915[CountyName (group)],BB$4)</f>
        <v>10</v>
      </c>
      <c r="BC68" s="1129">
        <f>SUMIFS(Table915[Count of EnergyRating],Table915[MainSpaceHeatingFuel],AL68,Table915[EnergyRating (group)],AM68,Table915[CountyName (group)],BC$4)</f>
        <v>44</v>
      </c>
      <c r="BD68" s="1129">
        <f>SUMIFS(Table915[Count of EnergyRating],Table915[MainSpaceHeatingFuel],AL68,Table915[EnergyRating (group)],AM68,Table915[CountyName (group)],BD$4)</f>
        <v>29</v>
      </c>
      <c r="BE68" s="1129">
        <f>SUMIFS(Table915[Count of EnergyRating],Table915[MainSpaceHeatingFuel],AL68,Table915[EnergyRating (group)],AM68,Table915[CountyName (group)],BE$4)</f>
        <v>44</v>
      </c>
      <c r="BF68" s="1129">
        <f>SUMIFS(Table915[Count of EnergyRating],Table915[MainSpaceHeatingFuel],AL68,Table915[EnergyRating (group)],AM68,Table915[CountyName (group)],BF$4)</f>
        <v>9</v>
      </c>
      <c r="BG68" s="1129">
        <f>SUMIFS(Table915[Count of EnergyRating],Table915[MainSpaceHeatingFuel],AL68,Table915[EnergyRating (group)],AM68,Table915[CountyName (group)],BG$4)</f>
        <v>1</v>
      </c>
      <c r="BH68" s="1129">
        <f>SUMIFS(Table915[Count of EnergyRating],Table915[MainSpaceHeatingFuel],AL68,Table915[EnergyRating (group)],AM68,Table915[CountyName (group)],BH$4)</f>
        <v>5</v>
      </c>
      <c r="BI68" s="1129">
        <f>SUMIFS(Table915[Count of EnergyRating],Table915[MainSpaceHeatingFuel],AL68,Table915[EnergyRating (group)],AM68,Table915[CountyName (group)],BI$4)</f>
        <v>0</v>
      </c>
      <c r="BJ68" s="1129">
        <f>SUMIFS(Table915[Count of EnergyRating],Table915[MainSpaceHeatingFuel],AL68,Table915[EnergyRating (group)],AM68,Table915[CountyName (group)],BJ$4)</f>
        <v>3</v>
      </c>
      <c r="BK68" s="1135">
        <f>SUMIFS(Table915[Count of EnergyRating],Table915[MainSpaceHeatingFuel],AL68,Table915[EnergyRating (group)],AM68,Table915[CountyName (group)],BK$4)</f>
        <v>0</v>
      </c>
      <c r="BL68" s="1129">
        <f>SUMIFS(Table915[Count of EnergyRating],Table915[MainSpaceHeatingFuel],AL68,Table915[EnergyRating (group)],AM68,Table915[CountyName (group)],BL$4)</f>
        <v>0</v>
      </c>
      <c r="BM68" s="1129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37"/>
      <c r="C69" s="1137" t="s">
        <v>1143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F69" s="1153"/>
      <c r="AG69" s="58" t="s">
        <v>1107</v>
      </c>
      <c r="AH69" s="1158">
        <f>SUM(E77:AD77)</f>
        <v>21.57298916181162</v>
      </c>
      <c r="AI69" s="1140">
        <f>'SHWLP-Att'!S38</f>
        <v>21.57298916181162</v>
      </c>
      <c r="AJ69" s="1160">
        <f>(AI69-AH69)/AI69</f>
        <v>0</v>
      </c>
      <c r="AL69" s="1144" t="s">
        <v>136</v>
      </c>
      <c r="AM69" s="1144" t="s">
        <v>56</v>
      </c>
      <c r="AN69" s="1135">
        <f>SUMIFS(Table915[Count of EnergyRating],Table915[MainSpaceHeatingFuel],AL69,Table915[EnergyRating (group)],AM69,Table915[CountyName (group)],AN$4)</f>
        <v>29</v>
      </c>
      <c r="AO69" s="1129">
        <f>SUMIFS(Table915[Count of EnergyRating],Table915[MainSpaceHeatingFuel],AL69,Table915[EnergyRating (group)],AM69,Table915[CountyName (group)],AO$4)</f>
        <v>412</v>
      </c>
      <c r="AP69" s="1129">
        <f>SUMIFS(Table915[Count of EnergyRating],Table915[MainSpaceHeatingFuel],AL69,Table915[EnergyRating (group)],AM69,Table915[CountyName (group)],AP$4)</f>
        <v>62</v>
      </c>
      <c r="AQ69" s="1129">
        <f>SUMIFS(Table915[Count of EnergyRating],Table915[MainSpaceHeatingFuel],AL69,Table915[EnergyRating (group)],AM69,Table915[CountyName (group)],AQ$4)</f>
        <v>41</v>
      </c>
      <c r="AR69" s="1129">
        <f>SUMIFS(Table915[Count of EnergyRating],Table915[MainSpaceHeatingFuel],AL69,Table915[EnergyRating (group)],AM69,Table915[CountyName (group)],AR$4)</f>
        <v>20</v>
      </c>
      <c r="AS69" s="1129">
        <f>SUMIFS(Table915[Count of EnergyRating],Table915[MainSpaceHeatingFuel],AL69,Table915[EnergyRating (group)],AM69,Table915[CountyName (group)],AS$4)</f>
        <v>60</v>
      </c>
      <c r="AT69" s="1129">
        <f>SUMIFS(Table915[Count of EnergyRating],Table915[MainSpaceHeatingFuel],AL69,Table915[EnergyRating (group)],AM69,Table915[CountyName (group)],AT$4)</f>
        <v>11</v>
      </c>
      <c r="AU69" s="1129">
        <f>SUMIFS(Table915[Count of EnergyRating],Table915[MainSpaceHeatingFuel],AL69,Table915[EnergyRating (group)],AM69,Table915[CountyName (group)],AU$4)</f>
        <v>24</v>
      </c>
      <c r="AV69" s="1129">
        <f>SUMIFS(Table915[Count of EnergyRating],Table915[MainSpaceHeatingFuel],AL69,Table915[EnergyRating (group)],AM69,Table915[CountyName (group)],AV$4)</f>
        <v>28</v>
      </c>
      <c r="AW69" s="1129">
        <f>SUMIFS(Table915[Count of EnergyRating],Table915[MainSpaceHeatingFuel],AL69,Table915[EnergyRating (group)],AM69,Table915[CountyName (group)],AW$4)</f>
        <v>42</v>
      </c>
      <c r="AX69" s="1129">
        <f>SUMIFS(Table915[Count of EnergyRating],Table915[MainSpaceHeatingFuel],AL69,Table915[EnergyRating (group)],AM69,Table915[CountyName (group)],AX$4)</f>
        <v>77</v>
      </c>
      <c r="AY69" s="1129">
        <f>SUMIFS(Table915[Count of EnergyRating],Table915[MainSpaceHeatingFuel],AL69,Table915[EnergyRating (group)],AM69,Table915[CountyName (group)],AY$4)</f>
        <v>38</v>
      </c>
      <c r="AZ69" s="1129">
        <f>SUMIFS(Table915[Count of EnergyRating],Table915[MainSpaceHeatingFuel],AL69,Table915[EnergyRating (group)],AM69,Table915[CountyName (group)],AZ$4)</f>
        <v>131</v>
      </c>
      <c r="BA69" s="1129">
        <f>SUMIFS(Table915[Count of EnergyRating],Table915[MainSpaceHeatingFuel],AL69,Table915[EnergyRating (group)],AM69,Table915[CountyName (group)],BA$4)</f>
        <v>357</v>
      </c>
      <c r="BB69" s="1129">
        <f>SUMIFS(Table915[Count of EnergyRating],Table915[MainSpaceHeatingFuel],AL69,Table915[EnergyRating (group)],AM69,Table915[CountyName (group)],BB$4)</f>
        <v>196</v>
      </c>
      <c r="BC69" s="1129">
        <f>SUMIFS(Table915[Count of EnergyRating],Table915[MainSpaceHeatingFuel],AL69,Table915[EnergyRating (group)],AM69,Table915[CountyName (group)],BC$4)</f>
        <v>118</v>
      </c>
      <c r="BD69" s="1129">
        <f>SUMIFS(Table915[Count of EnergyRating],Table915[MainSpaceHeatingFuel],AL69,Table915[EnergyRating (group)],AM69,Table915[CountyName (group)],BD$4)</f>
        <v>52</v>
      </c>
      <c r="BE69" s="1129">
        <f>SUMIFS(Table915[Count of EnergyRating],Table915[MainSpaceHeatingFuel],AL69,Table915[EnergyRating (group)],AM69,Table915[CountyName (group)],BE$4)</f>
        <v>84</v>
      </c>
      <c r="BF69" s="1129">
        <f>SUMIFS(Table915[Count of EnergyRating],Table915[MainSpaceHeatingFuel],AL69,Table915[EnergyRating (group)],AM69,Table915[CountyName (group)],BF$4)</f>
        <v>182</v>
      </c>
      <c r="BG69" s="1129">
        <f>SUMIFS(Table915[Count of EnergyRating],Table915[MainSpaceHeatingFuel],AL69,Table915[EnergyRating (group)],AM69,Table915[CountyName (group)],BG$4)</f>
        <v>57</v>
      </c>
      <c r="BH69" s="1129">
        <f>SUMIFS(Table915[Count of EnergyRating],Table915[MainSpaceHeatingFuel],AL69,Table915[EnergyRating (group)],AM69,Table915[CountyName (group)],BH$4)</f>
        <v>24</v>
      </c>
      <c r="BI69" s="1129">
        <f>SUMIFS(Table915[Count of EnergyRating],Table915[MainSpaceHeatingFuel],AL69,Table915[EnergyRating (group)],AM69,Table915[CountyName (group)],BI$4)</f>
        <v>16</v>
      </c>
      <c r="BJ69" s="1129">
        <f>SUMIFS(Table915[Count of EnergyRating],Table915[MainSpaceHeatingFuel],AL69,Table915[EnergyRating (group)],AM69,Table915[CountyName (group)],BJ$4)</f>
        <v>57</v>
      </c>
      <c r="BK69" s="1135">
        <f>SUMIFS(Table915[Count of EnergyRating],Table915[MainSpaceHeatingFuel],AL69,Table915[EnergyRating (group)],AM69,Table915[CountyName (group)],BK$4)</f>
        <v>17</v>
      </c>
      <c r="BL69" s="1129">
        <f>SUMIFS(Table915[Count of EnergyRating],Table915[MainSpaceHeatingFuel],AL69,Table915[EnergyRating (group)],AM69,Table915[CountyName (group)],BL$4)</f>
        <v>21</v>
      </c>
      <c r="BM69" s="1129">
        <f>SUMIFS(Table915[Count of EnergyRating],Table915[MainSpaceHeatingFuel],AL69,Table915[EnergyRating (group)],AM69,Table915[CountyName (group)],BM$4)</f>
        <v>18</v>
      </c>
      <c r="BO69"/>
    </row>
    <row r="70" spans="2:67">
      <c r="B70" s="1134" t="s">
        <v>1259</v>
      </c>
      <c r="C70" s="1134" t="s">
        <v>1144</v>
      </c>
      <c r="D70" s="1134" t="s">
        <v>1094</v>
      </c>
      <c r="E70" s="1145">
        <f t="shared" ref="E70:AD70" si="202">IFERROR(G224*((SUM(AN$65:AN$68)/SUM(AN$65:AN$73))/(SUM(G$224)/SUM(G$224:G$229))),0)</f>
        <v>0.17544130919759623</v>
      </c>
      <c r="F70" s="1145">
        <f t="shared" si="202"/>
        <v>4.4276808943365555</v>
      </c>
      <c r="G70" s="1145">
        <f t="shared" si="202"/>
        <v>0.79134942320795654</v>
      </c>
      <c r="H70" s="1145">
        <f t="shared" si="202"/>
        <v>0.12149283409559582</v>
      </c>
      <c r="I70" s="1145">
        <f t="shared" si="202"/>
        <v>3.0667369636553549E-2</v>
      </c>
      <c r="J70" s="1145">
        <f t="shared" si="202"/>
        <v>2.5165991847412045E-2</v>
      </c>
      <c r="K70" s="1145">
        <f t="shared" si="202"/>
        <v>0.41068520624860139</v>
      </c>
      <c r="L70" s="1145">
        <f t="shared" si="202"/>
        <v>0.59298412045173299</v>
      </c>
      <c r="M70" s="1145">
        <f t="shared" si="202"/>
        <v>6.1984210190809651E-2</v>
      </c>
      <c r="N70" s="1145">
        <f t="shared" si="202"/>
        <v>4.7771976620754268E-2</v>
      </c>
      <c r="O70" s="1145">
        <f t="shared" si="202"/>
        <v>0.1441329086353394</v>
      </c>
      <c r="P70" s="1145">
        <f t="shared" si="202"/>
        <v>0.41648603496296138</v>
      </c>
      <c r="Q70" s="1145">
        <f t="shared" si="202"/>
        <v>8.8389952023516447E-2</v>
      </c>
      <c r="R70" s="1145">
        <f t="shared" si="202"/>
        <v>0.94022473373119941</v>
      </c>
      <c r="S70" s="1145">
        <f t="shared" si="202"/>
        <v>6.0992054046145404E-2</v>
      </c>
      <c r="T70" s="1145">
        <f t="shared" si="202"/>
        <v>0.2556371977623681</v>
      </c>
      <c r="U70" s="1145">
        <f t="shared" si="202"/>
        <v>0.15432201032006934</v>
      </c>
      <c r="V70" s="1145">
        <f t="shared" si="202"/>
        <v>0.29164092982568995</v>
      </c>
      <c r="W70" s="1145">
        <f t="shared" si="202"/>
        <v>0.1642168285096178</v>
      </c>
      <c r="X70" s="1145">
        <f t="shared" si="202"/>
        <v>3.331606482828397E-3</v>
      </c>
      <c r="Y70" s="1145">
        <f t="shared" si="202"/>
        <v>6.5113206514195901E-2</v>
      </c>
      <c r="Z70" s="1145">
        <f t="shared" si="202"/>
        <v>1.4888512883506341E-2</v>
      </c>
      <c r="AA70" s="1145">
        <f t="shared" si="202"/>
        <v>5.5646490974796112E-2</v>
      </c>
      <c r="AB70" s="1145">
        <f t="shared" si="202"/>
        <v>2.1365680645342229E-2</v>
      </c>
      <c r="AC70" s="1145">
        <f t="shared" si="202"/>
        <v>6.6118871573073293E-2</v>
      </c>
      <c r="AD70" s="1145">
        <f t="shared" si="202"/>
        <v>5.274298065603502E-2</v>
      </c>
      <c r="AE70" s="1172">
        <f t="shared" si="4"/>
        <v>9.4804733353802497</v>
      </c>
      <c r="AF70" s="1153"/>
      <c r="AG70" s="1142"/>
      <c r="AH70" s="1142"/>
      <c r="AL70" s="1144" t="s">
        <v>136</v>
      </c>
      <c r="AM70" s="1144" t="s">
        <v>58</v>
      </c>
      <c r="AN70" s="1135">
        <f>SUMIFS(Table915[Count of EnergyRating],Table915[MainSpaceHeatingFuel],AL70,Table915[EnergyRating (group)],AM70,Table915[CountyName (group)],AN$4)</f>
        <v>31</v>
      </c>
      <c r="AO70" s="1129">
        <f>SUMIFS(Table915[Count of EnergyRating],Table915[MainSpaceHeatingFuel],AL70,Table915[EnergyRating (group)],AM70,Table915[CountyName (group)],AO$4)</f>
        <v>1071</v>
      </c>
      <c r="AP70" s="1129">
        <f>SUMIFS(Table915[Count of EnergyRating],Table915[MainSpaceHeatingFuel],AL70,Table915[EnergyRating (group)],AM70,Table915[CountyName (group)],AP$4)</f>
        <v>219</v>
      </c>
      <c r="AQ70" s="1129">
        <f>SUMIFS(Table915[Count of EnergyRating],Table915[MainSpaceHeatingFuel],AL70,Table915[EnergyRating (group)],AM70,Table915[CountyName (group)],AQ$4)</f>
        <v>61</v>
      </c>
      <c r="AR70" s="1129">
        <f>SUMIFS(Table915[Count of EnergyRating],Table915[MainSpaceHeatingFuel],AL70,Table915[EnergyRating (group)],AM70,Table915[CountyName (group)],AR$4)</f>
        <v>64</v>
      </c>
      <c r="AS70" s="1129">
        <f>SUMIFS(Table915[Count of EnergyRating],Table915[MainSpaceHeatingFuel],AL70,Table915[EnergyRating (group)],AM70,Table915[CountyName (group)],AS$4)</f>
        <v>297</v>
      </c>
      <c r="AT70" s="1129">
        <f>SUMIFS(Table915[Count of EnergyRating],Table915[MainSpaceHeatingFuel],AL70,Table915[EnergyRating (group)],AM70,Table915[CountyName (group)],AT$4)</f>
        <v>28</v>
      </c>
      <c r="AU70" s="1129">
        <f>SUMIFS(Table915[Count of EnergyRating],Table915[MainSpaceHeatingFuel],AL70,Table915[EnergyRating (group)],AM70,Table915[CountyName (group)],AU$4)</f>
        <v>89</v>
      </c>
      <c r="AV70" s="1129">
        <f>SUMIFS(Table915[Count of EnergyRating],Table915[MainSpaceHeatingFuel],AL70,Table915[EnergyRating (group)],AM70,Table915[CountyName (group)],AV$4)</f>
        <v>73</v>
      </c>
      <c r="AW70" s="1129">
        <f>SUMIFS(Table915[Count of EnergyRating],Table915[MainSpaceHeatingFuel],AL70,Table915[EnergyRating (group)],AM70,Table915[CountyName (group)],AW$4)</f>
        <v>76</v>
      </c>
      <c r="AX70" s="1129">
        <f>SUMIFS(Table915[Count of EnergyRating],Table915[MainSpaceHeatingFuel],AL70,Table915[EnergyRating (group)],AM70,Table915[CountyName (group)],AX$4)</f>
        <v>375</v>
      </c>
      <c r="AY70" s="1129">
        <f>SUMIFS(Table915[Count of EnergyRating],Table915[MainSpaceHeatingFuel],AL70,Table915[EnergyRating (group)],AM70,Table915[CountyName (group)],AY$4)</f>
        <v>147</v>
      </c>
      <c r="AZ70" s="1129">
        <f>SUMIFS(Table915[Count of EnergyRating],Table915[MainSpaceHeatingFuel],AL70,Table915[EnergyRating (group)],AM70,Table915[CountyName (group)],AZ$4)</f>
        <v>363</v>
      </c>
      <c r="BA70" s="1129">
        <f>SUMIFS(Table915[Count of EnergyRating],Table915[MainSpaceHeatingFuel],AL70,Table915[EnergyRating (group)],AM70,Table915[CountyName (group)],BA$4)</f>
        <v>794</v>
      </c>
      <c r="BB70" s="1129">
        <f>SUMIFS(Table915[Count of EnergyRating],Table915[MainSpaceHeatingFuel],AL70,Table915[EnergyRating (group)],AM70,Table915[CountyName (group)],BB$4)</f>
        <v>649</v>
      </c>
      <c r="BC70" s="1129">
        <f>SUMIFS(Table915[Count of EnergyRating],Table915[MainSpaceHeatingFuel],AL70,Table915[EnergyRating (group)],AM70,Table915[CountyName (group)],BC$4)</f>
        <v>178</v>
      </c>
      <c r="BD70" s="1129">
        <f>SUMIFS(Table915[Count of EnergyRating],Table915[MainSpaceHeatingFuel],AL70,Table915[EnergyRating (group)],AM70,Table915[CountyName (group)],BD$4)</f>
        <v>209</v>
      </c>
      <c r="BE70" s="1129">
        <f>SUMIFS(Table915[Count of EnergyRating],Table915[MainSpaceHeatingFuel],AL70,Table915[EnergyRating (group)],AM70,Table915[CountyName (group)],BE$4)</f>
        <v>188</v>
      </c>
      <c r="BF70" s="1129">
        <f>SUMIFS(Table915[Count of EnergyRating],Table915[MainSpaceHeatingFuel],AL70,Table915[EnergyRating (group)],AM70,Table915[CountyName (group)],BF$4)</f>
        <v>757</v>
      </c>
      <c r="BG70" s="1129">
        <f>SUMIFS(Table915[Count of EnergyRating],Table915[MainSpaceHeatingFuel],AL70,Table915[EnergyRating (group)],AM70,Table915[CountyName (group)],BG$4)</f>
        <v>132</v>
      </c>
      <c r="BH70" s="1129">
        <f>SUMIFS(Table915[Count of EnergyRating],Table915[MainSpaceHeatingFuel],AL70,Table915[EnergyRating (group)],AM70,Table915[CountyName (group)],BH$4)</f>
        <v>162</v>
      </c>
      <c r="BI70" s="1129">
        <f>SUMIFS(Table915[Count of EnergyRating],Table915[MainSpaceHeatingFuel],AL70,Table915[EnergyRating (group)],AM70,Table915[CountyName (group)],BI$4)</f>
        <v>117</v>
      </c>
      <c r="BJ70" s="1129">
        <f>SUMIFS(Table915[Count of EnergyRating],Table915[MainSpaceHeatingFuel],AL70,Table915[EnergyRating (group)],AM70,Table915[CountyName (group)],BJ$4)</f>
        <v>195</v>
      </c>
      <c r="BK70" s="1135">
        <f>SUMIFS(Table915[Count of EnergyRating],Table915[MainSpaceHeatingFuel],AL70,Table915[EnergyRating (group)],AM70,Table915[CountyName (group)],BK$4)</f>
        <v>74</v>
      </c>
      <c r="BL70" s="1129">
        <f>SUMIFS(Table915[Count of EnergyRating],Table915[MainSpaceHeatingFuel],AL70,Table915[EnergyRating (group)],AM70,Table915[CountyName (group)],BL$4)</f>
        <v>147</v>
      </c>
      <c r="BM70" s="1129">
        <f>SUMIFS(Table915[Count of EnergyRating],Table915[MainSpaceHeatingFuel],AL70,Table915[EnergyRating (group)],AM70,Table915[CountyName (group)],BM$4)</f>
        <v>48</v>
      </c>
      <c r="BO70"/>
    </row>
    <row r="71" spans="2:67">
      <c r="B71" s="1136" t="s">
        <v>56</v>
      </c>
      <c r="C71" s="1136" t="s">
        <v>1144</v>
      </c>
      <c r="D71" s="1136" t="s">
        <v>1094</v>
      </c>
      <c r="E71" s="1146">
        <f t="shared" ref="E71:AD71" si="203">IFERROR(G225*((SUM(AN$69)/SUM(AN$65:AN$73))/(SUM(G$225)/SUM(G$224:G$229))),0)</f>
        <v>1.6100626476994593E-2</v>
      </c>
      <c r="F71" s="1146">
        <f t="shared" si="203"/>
        <v>0.41715173301318559</v>
      </c>
      <c r="G71" s="1146">
        <f t="shared" si="203"/>
        <v>3.4846352442395818E-2</v>
      </c>
      <c r="H71" s="1146">
        <f t="shared" si="203"/>
        <v>2.8793099409938887E-2</v>
      </c>
      <c r="I71" s="1146">
        <f t="shared" si="203"/>
        <v>2.7879426942321407E-2</v>
      </c>
      <c r="J71" s="1146">
        <f t="shared" si="203"/>
        <v>1.3726904644042932E-2</v>
      </c>
      <c r="K71" s="1146">
        <f t="shared" si="203"/>
        <v>1.505845756244872E-2</v>
      </c>
      <c r="L71" s="1146">
        <f t="shared" si="203"/>
        <v>1.763521547811845E-2</v>
      </c>
      <c r="M71" s="1146">
        <f t="shared" si="203"/>
        <v>2.7548537862582066E-2</v>
      </c>
      <c r="N71" s="1146">
        <f t="shared" si="203"/>
        <v>4.7771976620754275E-2</v>
      </c>
      <c r="O71" s="1146">
        <f t="shared" si="203"/>
        <v>2.713504636900033E-2</v>
      </c>
      <c r="P71" s="1146">
        <f t="shared" si="203"/>
        <v>1.6962989634075599E-2</v>
      </c>
      <c r="Q71" s="1146">
        <f t="shared" si="203"/>
        <v>4.9909843599485575E-2</v>
      </c>
      <c r="R71" s="1146">
        <f t="shared" si="203"/>
        <v>0.2024488721001437</v>
      </c>
      <c r="S71" s="1146">
        <f t="shared" si="203"/>
        <v>4.725076123733004E-2</v>
      </c>
      <c r="T71" s="1146">
        <f t="shared" si="203"/>
        <v>8.7689503883603012E-2</v>
      </c>
      <c r="U71" s="1146">
        <f t="shared" si="203"/>
        <v>3.1593482427730732E-2</v>
      </c>
      <c r="V71" s="1146">
        <f t="shared" si="203"/>
        <v>3.6185876078815307E-2</v>
      </c>
      <c r="W71" s="1146">
        <f t="shared" si="203"/>
        <v>6.701224840527005E-2</v>
      </c>
      <c r="X71" s="1146">
        <f t="shared" si="203"/>
        <v>1.5825130793434887E-2</v>
      </c>
      <c r="Y71" s="1146">
        <f t="shared" si="203"/>
        <v>1.1406693111975924E-2</v>
      </c>
      <c r="Z71" s="1146">
        <f t="shared" si="203"/>
        <v>5.9554051534025376E-3</v>
      </c>
      <c r="AA71" s="1146">
        <f t="shared" si="203"/>
        <v>2.0596428477684278E-2</v>
      </c>
      <c r="AB71" s="1146">
        <f t="shared" si="203"/>
        <v>1.7296027189086564E-2</v>
      </c>
      <c r="AC71" s="1146">
        <f t="shared" si="203"/>
        <v>1.8269688197822882E-2</v>
      </c>
      <c r="AD71" s="1146">
        <f t="shared" si="203"/>
        <v>1.6091078844214075E-2</v>
      </c>
      <c r="AE71" s="1173">
        <f t="shared" si="4"/>
        <v>1.318141405955858</v>
      </c>
      <c r="AF71" s="1153"/>
      <c r="AG71" s="1142"/>
      <c r="AH71" s="1142"/>
      <c r="AL71" s="1144" t="s">
        <v>136</v>
      </c>
      <c r="AM71" s="1144" t="s">
        <v>60</v>
      </c>
      <c r="AN71" s="1135">
        <f>SUMIFS(Table915[Count of EnergyRating],Table915[MainSpaceHeatingFuel],AL71,Table915[EnergyRating (group)],AM71,Table915[CountyName (group)],AN$4)</f>
        <v>23</v>
      </c>
      <c r="AO71" s="1129">
        <f>SUMIFS(Table915[Count of EnergyRating],Table915[MainSpaceHeatingFuel],AL71,Table915[EnergyRating (group)],AM71,Table915[CountyName (group)],AO$4)</f>
        <v>887</v>
      </c>
      <c r="AP71" s="1129">
        <f>SUMIFS(Table915[Count of EnergyRating],Table915[MainSpaceHeatingFuel],AL71,Table915[EnergyRating (group)],AM71,Table915[CountyName (group)],AP$4)</f>
        <v>146</v>
      </c>
      <c r="AQ71" s="1129">
        <f>SUMIFS(Table915[Count of EnergyRating],Table915[MainSpaceHeatingFuel],AL71,Table915[EnergyRating (group)],AM71,Table915[CountyName (group)],AQ$4)</f>
        <v>98</v>
      </c>
      <c r="AR71" s="1129">
        <f>SUMIFS(Table915[Count of EnergyRating],Table915[MainSpaceHeatingFuel],AL71,Table915[EnergyRating (group)],AM71,Table915[CountyName (group)],AR$4)</f>
        <v>44</v>
      </c>
      <c r="AS71" s="1129">
        <f>SUMIFS(Table915[Count of EnergyRating],Table915[MainSpaceHeatingFuel],AL71,Table915[EnergyRating (group)],AM71,Table915[CountyName (group)],AS$4)</f>
        <v>84</v>
      </c>
      <c r="AT71" s="1129">
        <f>SUMIFS(Table915[Count of EnergyRating],Table915[MainSpaceHeatingFuel],AL71,Table915[EnergyRating (group)],AM71,Table915[CountyName (group)],AT$4)</f>
        <v>25</v>
      </c>
      <c r="AU71" s="1129">
        <f>SUMIFS(Table915[Count of EnergyRating],Table915[MainSpaceHeatingFuel],AL71,Table915[EnergyRating (group)],AM71,Table915[CountyName (group)],AU$4)</f>
        <v>50</v>
      </c>
      <c r="AV71" s="1129">
        <f>SUMIFS(Table915[Count of EnergyRating],Table915[MainSpaceHeatingFuel],AL71,Table915[EnergyRating (group)],AM71,Table915[CountyName (group)],AV$4)</f>
        <v>59</v>
      </c>
      <c r="AW71" s="1129">
        <f>SUMIFS(Table915[Count of EnergyRating],Table915[MainSpaceHeatingFuel],AL71,Table915[EnergyRating (group)],AM71,Table915[CountyName (group)],AW$4)</f>
        <v>47</v>
      </c>
      <c r="AX71" s="1129">
        <f>SUMIFS(Table915[Count of EnergyRating],Table915[MainSpaceHeatingFuel],AL71,Table915[EnergyRating (group)],AM71,Table915[CountyName (group)],AX$4)</f>
        <v>261</v>
      </c>
      <c r="AY71" s="1129">
        <f>SUMIFS(Table915[Count of EnergyRating],Table915[MainSpaceHeatingFuel],AL71,Table915[EnergyRating (group)],AM71,Table915[CountyName (group)],AY$4)</f>
        <v>142</v>
      </c>
      <c r="AZ71" s="1129">
        <f>SUMIFS(Table915[Count of EnergyRating],Table915[MainSpaceHeatingFuel],AL71,Table915[EnergyRating (group)],AM71,Table915[CountyName (group)],AZ$4)</f>
        <v>250</v>
      </c>
      <c r="BA71" s="1129">
        <f>SUMIFS(Table915[Count of EnergyRating],Table915[MainSpaceHeatingFuel],AL71,Table915[EnergyRating (group)],AM71,Table915[CountyName (group)],BA$4)</f>
        <v>627</v>
      </c>
      <c r="BB71" s="1129">
        <f>SUMIFS(Table915[Count of EnergyRating],Table915[MainSpaceHeatingFuel],AL71,Table915[EnergyRating (group)],AM71,Table915[CountyName (group)],BB$4)</f>
        <v>400</v>
      </c>
      <c r="BC71" s="1129">
        <f>SUMIFS(Table915[Count of EnergyRating],Table915[MainSpaceHeatingFuel],AL71,Table915[EnergyRating (group)],AM71,Table915[CountyName (group)],BC$4)</f>
        <v>247</v>
      </c>
      <c r="BD71" s="1129">
        <f>SUMIFS(Table915[Count of EnergyRating],Table915[MainSpaceHeatingFuel],AL71,Table915[EnergyRating (group)],AM71,Table915[CountyName (group)],BD$4)</f>
        <v>153</v>
      </c>
      <c r="BE71" s="1129">
        <f>SUMIFS(Table915[Count of EnergyRating],Table915[MainSpaceHeatingFuel],AL71,Table915[EnergyRating (group)],AM71,Table915[CountyName (group)],BE$4)</f>
        <v>172</v>
      </c>
      <c r="BF71" s="1129">
        <f>SUMIFS(Table915[Count of EnergyRating],Table915[MainSpaceHeatingFuel],AL71,Table915[EnergyRating (group)],AM71,Table915[CountyName (group)],BF$4)</f>
        <v>413</v>
      </c>
      <c r="BG71" s="1129">
        <f>SUMIFS(Table915[Count of EnergyRating],Table915[MainSpaceHeatingFuel],AL71,Table915[EnergyRating (group)],AM71,Table915[CountyName (group)],BG$4)</f>
        <v>31</v>
      </c>
      <c r="BH71" s="1129">
        <f>SUMIFS(Table915[Count of EnergyRating],Table915[MainSpaceHeatingFuel],AL71,Table915[EnergyRating (group)],AM71,Table915[CountyName (group)],BH$4)</f>
        <v>161</v>
      </c>
      <c r="BI71" s="1129">
        <f>SUMIFS(Table915[Count of EnergyRating],Table915[MainSpaceHeatingFuel],AL71,Table915[EnergyRating (group)],AM71,Table915[CountyName (group)],BI$4)</f>
        <v>132</v>
      </c>
      <c r="BJ71" s="1129">
        <f>SUMIFS(Table915[Count of EnergyRating],Table915[MainSpaceHeatingFuel],AL71,Table915[EnergyRating (group)],AM71,Table915[CountyName (group)],BJ$4)</f>
        <v>169</v>
      </c>
      <c r="BK71" s="1135">
        <f>SUMIFS(Table915[Count of EnergyRating],Table915[MainSpaceHeatingFuel],AL71,Table915[EnergyRating (group)],AM71,Table915[CountyName (group)],BK$4)</f>
        <v>42</v>
      </c>
      <c r="BL71" s="1129">
        <f>SUMIFS(Table915[Count of EnergyRating],Table915[MainSpaceHeatingFuel],AL71,Table915[EnergyRating (group)],AM71,Table915[CountyName (group)],BL$4)</f>
        <v>85</v>
      </c>
      <c r="BM71" s="1129">
        <f>SUMIFS(Table915[Count of EnergyRating],Table915[MainSpaceHeatingFuel],AL71,Table915[EnergyRating (group)],AM71,Table915[CountyName (group)],BM$4)</f>
        <v>36</v>
      </c>
      <c r="BO71"/>
    </row>
    <row r="72" spans="2:67">
      <c r="B72" s="1134" t="s">
        <v>58</v>
      </c>
      <c r="C72" s="1134" t="s">
        <v>1144</v>
      </c>
      <c r="D72" s="1134" t="s">
        <v>1094</v>
      </c>
      <c r="E72" s="1145">
        <f t="shared" ref="E72:AD72" si="204">IFERROR(G226*((SUM(AN$70)/SUM(AN$65:AN$73))/(SUM(G$226)/SUM(G$224:G$229))),0)</f>
        <v>1.7211014509890772E-2</v>
      </c>
      <c r="F72" s="1145">
        <f t="shared" si="204"/>
        <v>1.0843920049930142</v>
      </c>
      <c r="G72" s="1145">
        <f t="shared" si="204"/>
        <v>0.12308630943362392</v>
      </c>
      <c r="H72" s="1145">
        <f t="shared" si="204"/>
        <v>4.283851375625055E-2</v>
      </c>
      <c r="I72" s="1145">
        <f t="shared" si="204"/>
        <v>8.9214166215428506E-2</v>
      </c>
      <c r="J72" s="1145">
        <f t="shared" si="204"/>
        <v>6.7948177988012531E-2</v>
      </c>
      <c r="K72" s="1145">
        <f t="shared" si="204"/>
        <v>3.8330619249869469E-2</v>
      </c>
      <c r="L72" s="1145">
        <f t="shared" si="204"/>
        <v>6.5397257398022601E-2</v>
      </c>
      <c r="M72" s="1145">
        <f t="shared" si="204"/>
        <v>7.182297371316039E-2</v>
      </c>
      <c r="N72" s="1145">
        <f t="shared" si="204"/>
        <v>8.6444529123269637E-2</v>
      </c>
      <c r="O72" s="1145">
        <f t="shared" si="204"/>
        <v>0.13215119984902757</v>
      </c>
      <c r="P72" s="1145">
        <f t="shared" si="204"/>
        <v>6.5619986216029283E-2</v>
      </c>
      <c r="Q72" s="1145">
        <f t="shared" si="204"/>
        <v>0.13829979562300201</v>
      </c>
      <c r="R72" s="1145">
        <f t="shared" si="204"/>
        <v>0.45026443822833073</v>
      </c>
      <c r="S72" s="1145">
        <f t="shared" si="204"/>
        <v>0.1564578777705469</v>
      </c>
      <c r="T72" s="1145">
        <f t="shared" si="204"/>
        <v>0.13227738721424862</v>
      </c>
      <c r="U72" s="1145">
        <f t="shared" si="204"/>
        <v>0.12698149668068698</v>
      </c>
      <c r="V72" s="1145">
        <f t="shared" si="204"/>
        <v>8.0987436938300919E-2</v>
      </c>
      <c r="W72" s="1145">
        <f t="shared" si="204"/>
        <v>0.27872676946587593</v>
      </c>
      <c r="X72" s="1145">
        <f t="shared" si="204"/>
        <v>3.6647671311112372E-2</v>
      </c>
      <c r="Y72" s="1145">
        <f t="shared" si="204"/>
        <v>7.699517850583748E-2</v>
      </c>
      <c r="Z72" s="1145">
        <f t="shared" si="204"/>
        <v>4.3548900184256049E-2</v>
      </c>
      <c r="AA72" s="1145">
        <f t="shared" si="204"/>
        <v>7.0461465844709359E-2</v>
      </c>
      <c r="AB72" s="1145">
        <f t="shared" si="204"/>
        <v>7.5288588940729748E-2</v>
      </c>
      <c r="AC72" s="1145">
        <f t="shared" si="204"/>
        <v>0.12788781738476018</v>
      </c>
      <c r="AD72" s="1145">
        <f t="shared" si="204"/>
        <v>4.2909543584570872E-2</v>
      </c>
      <c r="AE72" s="1172">
        <f t="shared" si="4"/>
        <v>3.722191120122567</v>
      </c>
      <c r="AF72" s="1153"/>
      <c r="AG72" s="1142"/>
      <c r="AH72" s="1142"/>
      <c r="AL72" s="1144" t="s">
        <v>136</v>
      </c>
      <c r="AM72" s="1144" t="s">
        <v>62</v>
      </c>
      <c r="AN72" s="1135">
        <f>SUMIFS(Table915[Count of EnergyRating],Table915[MainSpaceHeatingFuel],AL72,Table915[EnergyRating (group)],AM72,Table915[CountyName (group)],AN$4)</f>
        <v>14</v>
      </c>
      <c r="AO72" s="1129">
        <f>SUMIFS(Table915[Count of EnergyRating],Table915[MainSpaceHeatingFuel],AL72,Table915[EnergyRating (group)],AM72,Table915[CountyName (group)],AO$4)</f>
        <v>415</v>
      </c>
      <c r="AP72" s="1129">
        <f>SUMIFS(Table915[Count of EnergyRating],Table915[MainSpaceHeatingFuel],AL72,Table915[EnergyRating (group)],AM72,Table915[CountyName (group)],AP$4)</f>
        <v>48</v>
      </c>
      <c r="AQ72" s="1129">
        <f>SUMIFS(Table915[Count of EnergyRating],Table915[MainSpaceHeatingFuel],AL72,Table915[EnergyRating (group)],AM72,Table915[CountyName (group)],AQ$4)</f>
        <v>58</v>
      </c>
      <c r="AR72" s="1129">
        <f>SUMIFS(Table915[Count of EnergyRating],Table915[MainSpaceHeatingFuel],AL72,Table915[EnergyRating (group)],AM72,Table915[CountyName (group)],AR$4)</f>
        <v>36</v>
      </c>
      <c r="AS72" s="1129">
        <f>SUMIFS(Table915[Count of EnergyRating],Table915[MainSpaceHeatingFuel],AL72,Table915[EnergyRating (group)],AM72,Table915[CountyName (group)],AS$4)</f>
        <v>26</v>
      </c>
      <c r="AT72" s="1129">
        <f>SUMIFS(Table915[Count of EnergyRating],Table915[MainSpaceHeatingFuel],AL72,Table915[EnergyRating (group)],AM72,Table915[CountyName (group)],AT$4)</f>
        <v>19</v>
      </c>
      <c r="AU72" s="1129">
        <f>SUMIFS(Table915[Count of EnergyRating],Table915[MainSpaceHeatingFuel],AL72,Table915[EnergyRating (group)],AM72,Table915[CountyName (group)],AU$4)</f>
        <v>29</v>
      </c>
      <c r="AV72" s="1129">
        <f>SUMIFS(Table915[Count of EnergyRating],Table915[MainSpaceHeatingFuel],AL72,Table915[EnergyRating (group)],AM72,Table915[CountyName (group)],AV$4)</f>
        <v>21</v>
      </c>
      <c r="AW72" s="1129">
        <f>SUMIFS(Table915[Count of EnergyRating],Table915[MainSpaceHeatingFuel],AL72,Table915[EnergyRating (group)],AM72,Table915[CountyName (group)],AW$4)</f>
        <v>25</v>
      </c>
      <c r="AX72" s="1129">
        <f>SUMIFS(Table915[Count of EnergyRating],Table915[MainSpaceHeatingFuel],AL72,Table915[EnergyRating (group)],AM72,Table915[CountyName (group)],AX$4)</f>
        <v>136</v>
      </c>
      <c r="AY72" s="1129">
        <f>SUMIFS(Table915[Count of EnergyRating],Table915[MainSpaceHeatingFuel],AL72,Table915[EnergyRating (group)],AM72,Table915[CountyName (group)],AY$4)</f>
        <v>92</v>
      </c>
      <c r="AZ72" s="1129">
        <f>SUMIFS(Table915[Count of EnergyRating],Table915[MainSpaceHeatingFuel],AL72,Table915[EnergyRating (group)],AM72,Table915[CountyName (group)],AZ$4)</f>
        <v>56</v>
      </c>
      <c r="BA72" s="1129">
        <f>SUMIFS(Table915[Count of EnergyRating],Table915[MainSpaceHeatingFuel],AL72,Table915[EnergyRating (group)],AM72,Table915[CountyName (group)],BA$4)</f>
        <v>323</v>
      </c>
      <c r="BB72" s="1129">
        <f>SUMIFS(Table915[Count of EnergyRating],Table915[MainSpaceHeatingFuel],AL72,Table915[EnergyRating (group)],AM72,Table915[CountyName (group)],BB$4)</f>
        <v>131</v>
      </c>
      <c r="BC72" s="1129">
        <f>SUMIFS(Table915[Count of EnergyRating],Table915[MainSpaceHeatingFuel],AL72,Table915[EnergyRating (group)],AM72,Table915[CountyName (group)],BC$4)</f>
        <v>117</v>
      </c>
      <c r="BD72" s="1129">
        <f>SUMIFS(Table915[Count of EnergyRating],Table915[MainSpaceHeatingFuel],AL72,Table915[EnergyRating (group)],AM72,Table915[CountyName (group)],BD$4)</f>
        <v>66</v>
      </c>
      <c r="BE72" s="1129">
        <f>SUMIFS(Table915[Count of EnergyRating],Table915[MainSpaceHeatingFuel],AL72,Table915[EnergyRating (group)],AM72,Table915[CountyName (group)],BE$4)</f>
        <v>135</v>
      </c>
      <c r="BF72" s="1152">
        <f>SUMIFS(Table915[Count of EnergyRating],Table915[MainSpaceHeatingFuel],AL72,Table915[EnergyRating (group)],AM72,Table915[CountyName (group)],BF$4)</f>
        <v>160</v>
      </c>
      <c r="BG72" s="1129">
        <f>SUMIFS(Table915[Count of EnergyRating],Table915[MainSpaceHeatingFuel],AL72,Table915[EnergyRating (group)],AM72,Table915[CountyName (group)],BG$4)</f>
        <v>21</v>
      </c>
      <c r="BH72" s="1129">
        <f>SUMIFS(Table915[Count of EnergyRating],Table915[MainSpaceHeatingFuel],AL72,Table915[EnergyRating (group)],AM72,Table915[CountyName (group)],BH$4)</f>
        <v>92</v>
      </c>
      <c r="BI72" s="1129">
        <f>SUMIFS(Table915[Count of EnergyRating],Table915[MainSpaceHeatingFuel],AL72,Table915[EnergyRating (group)],AM72,Table915[CountyName (group)],BI$4)</f>
        <v>70</v>
      </c>
      <c r="BJ72" s="1129">
        <f>SUMIFS(Table915[Count of EnergyRating],Table915[MainSpaceHeatingFuel],AL72,Table915[EnergyRating (group)],AM72,Table915[CountyName (group)],BJ$4)</f>
        <v>37</v>
      </c>
      <c r="BK72" s="1135">
        <f>SUMIFS(Table915[Count of EnergyRating],Table915[MainSpaceHeatingFuel],AL72,Table915[EnergyRating (group)],AM72,Table915[CountyName (group)],BK$4)</f>
        <v>15</v>
      </c>
      <c r="BL72" s="1129">
        <f>SUMIFS(Table915[Count of EnergyRating],Table915[MainSpaceHeatingFuel],AL72,Table915[EnergyRating (group)],AM72,Table915[CountyName (group)],BL$4)</f>
        <v>57</v>
      </c>
      <c r="BM72" s="1129">
        <f>SUMIFS(Table915[Count of EnergyRating],Table915[MainSpaceHeatingFuel],AL72,Table915[EnergyRating (group)],AM72,Table915[CountyName (group)],BM$4)</f>
        <v>14</v>
      </c>
      <c r="BO72"/>
    </row>
    <row r="73" spans="2:67">
      <c r="B73" s="1136" t="s">
        <v>60</v>
      </c>
      <c r="C73" s="1136" t="s">
        <v>1144</v>
      </c>
      <c r="D73" s="1136" t="s">
        <v>1094</v>
      </c>
      <c r="E73" s="1146">
        <f t="shared" ref="E73:AD73" si="205">IFERROR(G227*((SUM(AN$71)/SUM(AN$65:AN$73))/(SUM(G$227)/SUM(G$224:G$229))),0)</f>
        <v>1.2769462378306057E-2</v>
      </c>
      <c r="F73" s="1146">
        <f t="shared" si="205"/>
        <v>0.89809123102596033</v>
      </c>
      <c r="G73" s="1146">
        <f t="shared" si="205"/>
        <v>8.2057539622415965E-2</v>
      </c>
      <c r="H73" s="1146">
        <f t="shared" si="205"/>
        <v>6.8822530296927101E-2</v>
      </c>
      <c r="I73" s="1146">
        <f t="shared" si="205"/>
        <v>6.1334739273107106E-2</v>
      </c>
      <c r="J73" s="1146">
        <f t="shared" si="205"/>
        <v>1.9217666501660107E-2</v>
      </c>
      <c r="K73" s="1146">
        <f t="shared" si="205"/>
        <v>3.4223767187383458E-2</v>
      </c>
      <c r="L73" s="1146">
        <f t="shared" si="205"/>
        <v>3.6740032246080113E-2</v>
      </c>
      <c r="M73" s="1146">
        <f t="shared" si="205"/>
        <v>5.8048704781869361E-2</v>
      </c>
      <c r="N73" s="1146">
        <f t="shared" si="205"/>
        <v>5.3459116694653593E-2</v>
      </c>
      <c r="O73" s="1146">
        <f t="shared" si="205"/>
        <v>9.1977235094923185E-2</v>
      </c>
      <c r="P73" s="1146">
        <f t="shared" si="205"/>
        <v>6.3388013895756171E-2</v>
      </c>
      <c r="Q73" s="1146">
        <f t="shared" si="205"/>
        <v>9.5247793128789268E-2</v>
      </c>
      <c r="R73" s="1146">
        <f t="shared" si="205"/>
        <v>0.3555614644447902</v>
      </c>
      <c r="S73" s="1146">
        <f t="shared" si="205"/>
        <v>9.6430124974142939E-2</v>
      </c>
      <c r="T73" s="1146">
        <f t="shared" si="205"/>
        <v>0.18355345304449106</v>
      </c>
      <c r="U73" s="1146">
        <f t="shared" si="205"/>
        <v>9.295774637390003E-2</v>
      </c>
      <c r="V73" s="1146">
        <f t="shared" si="205"/>
        <v>7.4094889113764661E-2</v>
      </c>
      <c r="W73" s="1146">
        <f t="shared" si="205"/>
        <v>0.15206625599657433</v>
      </c>
      <c r="X73" s="1146">
        <f t="shared" si="205"/>
        <v>8.6066500806400281E-3</v>
      </c>
      <c r="Y73" s="1146">
        <f t="shared" si="205"/>
        <v>7.6519899626171825E-2</v>
      </c>
      <c r="Z73" s="1146">
        <f t="shared" si="205"/>
        <v>4.9132092515570928E-2</v>
      </c>
      <c r="AA73" s="1146">
        <f t="shared" si="205"/>
        <v>6.1066603732081455E-2</v>
      </c>
      <c r="AB73" s="1146">
        <f t="shared" si="205"/>
        <v>4.2731361290684465E-2</v>
      </c>
      <c r="AC73" s="1146">
        <f t="shared" si="205"/>
        <v>7.3948737943568821E-2</v>
      </c>
      <c r="AD73" s="1146">
        <f t="shared" si="205"/>
        <v>3.2182157688428151E-2</v>
      </c>
      <c r="AE73" s="1173">
        <f t="shared" si="4"/>
        <v>2.8742292689526412</v>
      </c>
      <c r="AF73" s="1153"/>
      <c r="AG73" s="1142"/>
      <c r="AH73" s="1142"/>
      <c r="AL73" s="1144" t="s">
        <v>136</v>
      </c>
      <c r="AM73" s="1144" t="s">
        <v>64</v>
      </c>
      <c r="AN73" s="1135">
        <f>SUMIFS(Table915[Count of EnergyRating],Table915[MainSpaceHeatingFuel],AL73,Table915[EnergyRating (group)],AM73,Table915[CountyName (group)],AN$4)</f>
        <v>63</v>
      </c>
      <c r="AO73" s="1129">
        <f>SUMIFS(Table915[Count of EnergyRating],Table915[MainSpaceHeatingFuel],AL73,Table915[EnergyRating (group)],AM73,Table915[CountyName (group)],AO$4)</f>
        <v>1518</v>
      </c>
      <c r="AP73" s="1129">
        <f>SUMIFS(Table915[Count of EnergyRating],Table915[MainSpaceHeatingFuel],AL73,Table915[EnergyRating (group)],AM73,Table915[CountyName (group)],AP$4)</f>
        <v>106</v>
      </c>
      <c r="AQ73" s="1129">
        <f>SUMIFS(Table915[Count of EnergyRating],Table915[MainSpaceHeatingFuel],AL73,Table915[EnergyRating (group)],AM73,Table915[CountyName (group)],AQ$4)</f>
        <v>91</v>
      </c>
      <c r="AR73" s="1129">
        <f>SUMIFS(Table915[Count of EnergyRating],Table915[MainSpaceHeatingFuel],AL73,Table915[EnergyRating (group)],AM73,Table915[CountyName (group)],AR$4)</f>
        <v>56</v>
      </c>
      <c r="AS73" s="1129">
        <f>SUMIFS(Table915[Count of EnergyRating],Table915[MainSpaceHeatingFuel],AL73,Table915[EnergyRating (group)],AM73,Table915[CountyName (group)],AS$4)</f>
        <v>31</v>
      </c>
      <c r="AT73" s="1129">
        <f>SUMIFS(Table915[Count of EnergyRating],Table915[MainSpaceHeatingFuel],AL73,Table915[EnergyRating (group)],AM73,Table915[CountyName (group)],AT$4)</f>
        <v>137</v>
      </c>
      <c r="AU73" s="1129">
        <f>SUMIFS(Table915[Count of EnergyRating],Table915[MainSpaceHeatingFuel],AL73,Table915[EnergyRating (group)],AM73,Table915[CountyName (group)],AU$4)</f>
        <v>82</v>
      </c>
      <c r="AV73" s="1129">
        <f>SUMIFS(Table915[Count of EnergyRating],Table915[MainSpaceHeatingFuel],AL73,Table915[EnergyRating (group)],AM73,Table915[CountyName (group)],AV$4)</f>
        <v>61</v>
      </c>
      <c r="AW73" s="1129">
        <f>SUMIFS(Table915[Count of EnergyRating],Table915[MainSpaceHeatingFuel],AL73,Table915[EnergyRating (group)],AM73,Table915[CountyName (group)],AW$4)</f>
        <v>84</v>
      </c>
      <c r="AX73" s="1129">
        <f>SUMIFS(Table915[Count of EnergyRating],Table915[MainSpaceHeatingFuel],AL73,Table915[EnergyRating (group)],AM73,Table915[CountyName (group)],AX$4)</f>
        <v>271</v>
      </c>
      <c r="AY73" s="1129">
        <f>SUMIFS(Table915[Count of EnergyRating],Table915[MainSpaceHeatingFuel],AL73,Table915[EnergyRating (group)],AM73,Table915[CountyName (group)],AY$4)</f>
        <v>169</v>
      </c>
      <c r="AZ73" s="1129">
        <f>SUMIFS(Table915[Count of EnergyRating],Table915[MainSpaceHeatingFuel],AL73,Table915[EnergyRating (group)],AM73,Table915[CountyName (group)],AZ$4)</f>
        <v>131</v>
      </c>
      <c r="BA73" s="1129">
        <f>SUMIFS(Table915[Count of EnergyRating],Table915[MainSpaceHeatingFuel],AL73,Table915[EnergyRating (group)],AM73,Table915[CountyName (group)],BA$4)</f>
        <v>967</v>
      </c>
      <c r="BB73" s="1129">
        <f>SUMIFS(Table915[Count of EnergyRating],Table915[MainSpaceHeatingFuel],AL73,Table915[EnergyRating (group)],AM73,Table915[CountyName (group)],BB$4)</f>
        <v>278</v>
      </c>
      <c r="BC73" s="1129">
        <f>SUMIFS(Table915[Count of EnergyRating],Table915[MainSpaceHeatingFuel],AL73,Table915[EnergyRating (group)],AM73,Table915[CountyName (group)],BC$4)</f>
        <v>246</v>
      </c>
      <c r="BD73" s="1129">
        <f>SUMIFS(Table915[Count of EnergyRating],Table915[MainSpaceHeatingFuel],AL73,Table915[EnergyRating (group)],AM73,Table915[CountyName (group)],BD$4)</f>
        <v>325</v>
      </c>
      <c r="BE73" s="1129">
        <f>SUMIFS(Table915[Count of EnergyRating],Table915[MainSpaceHeatingFuel],AL73,Table915[EnergyRating (group)],AM73,Table915[CountyName (group)],BE$4)</f>
        <v>225</v>
      </c>
      <c r="BF73" s="1129">
        <f>SUMIFS(Table915[Count of EnergyRating],Table915[MainSpaceHeatingFuel],AL73,Table915[EnergyRating (group)],AM73,Table915[CountyName (group)],BF$4)</f>
        <v>238</v>
      </c>
      <c r="BG73" s="1129">
        <f>SUMIFS(Table915[Count of EnergyRating],Table915[MainSpaceHeatingFuel],AL73,Table915[EnergyRating (group)],AM73,Table915[CountyName (group)],BG$4)</f>
        <v>36</v>
      </c>
      <c r="BH73" s="1129">
        <f>SUMIFS(Table915[Count of EnergyRating],Table915[MainSpaceHeatingFuel],AL73,Table915[EnergyRating (group)],AM73,Table915[CountyName (group)],BH$4)</f>
        <v>196</v>
      </c>
      <c r="BI73" s="1129">
        <f>SUMIFS(Table915[Count of EnergyRating],Table915[MainSpaceHeatingFuel],AL73,Table915[EnergyRating (group)],AM73,Table915[CountyName (group)],BI$4)</f>
        <v>48</v>
      </c>
      <c r="BJ73" s="1129">
        <f>SUMIFS(Table915[Count of EnergyRating],Table915[MainSpaceHeatingFuel],AL73,Table915[EnergyRating (group)],AM73,Table915[CountyName (group)],BJ$4)</f>
        <v>109</v>
      </c>
      <c r="BK73" s="1135">
        <f>SUMIFS(Table915[Count of EnergyRating],Table915[MainSpaceHeatingFuel],AL73,Table915[EnergyRating (group)],AM73,Table915[CountyName (group)],BK$4)</f>
        <v>53</v>
      </c>
      <c r="BL73" s="1129">
        <f>SUMIFS(Table915[Count of EnergyRating],Table915[MainSpaceHeatingFuel],AL73,Table915[EnergyRating (group)],AM73,Table915[CountyName (group)],BL$4)</f>
        <v>149</v>
      </c>
      <c r="BM73" s="1129">
        <f>SUMIFS(Table915[Count of EnergyRating],Table915[MainSpaceHeatingFuel],AL73,Table915[EnergyRating (group)],AM73,Table915[CountyName (group)],BM$4)</f>
        <v>42</v>
      </c>
      <c r="BO73"/>
    </row>
    <row r="74" spans="2:67">
      <c r="B74" s="1134" t="s">
        <v>62</v>
      </c>
      <c r="C74" s="1134" t="s">
        <v>1144</v>
      </c>
      <c r="D74" s="1134" t="s">
        <v>1094</v>
      </c>
      <c r="E74" s="1145">
        <f t="shared" ref="E74:AD74" si="206">IFERROR(G228*((SUM(AN$72)/SUM(AN$65:AN$73))/(SUM(G$228)/SUM(G$224:G$229))),0)</f>
        <v>7.7727162302732517E-3</v>
      </c>
      <c r="F74" s="1145">
        <f t="shared" si="206"/>
        <v>0.42018924563221366</v>
      </c>
      <c r="G74" s="1145">
        <f t="shared" si="206"/>
        <v>2.6977821245725789E-2</v>
      </c>
      <c r="H74" s="1145">
        <f t="shared" si="206"/>
        <v>4.073170160430379E-2</v>
      </c>
      <c r="I74" s="1145">
        <f t="shared" si="206"/>
        <v>5.018296849617853E-2</v>
      </c>
      <c r="J74" s="1145">
        <f t="shared" si="206"/>
        <v>5.9483253457519383E-3</v>
      </c>
      <c r="K74" s="1145">
        <f t="shared" si="206"/>
        <v>2.6010063062411427E-2</v>
      </c>
      <c r="L74" s="1145">
        <f t="shared" si="206"/>
        <v>2.1309218702726462E-2</v>
      </c>
      <c r="M74" s="1145">
        <f t="shared" si="206"/>
        <v>2.0661403396936551E-2</v>
      </c>
      <c r="N74" s="1145">
        <f t="shared" si="206"/>
        <v>2.8435700369496594E-2</v>
      </c>
      <c r="O74" s="1145">
        <f t="shared" si="206"/>
        <v>4.7926835145247336E-2</v>
      </c>
      <c r="P74" s="1145">
        <f t="shared" si="206"/>
        <v>4.1068290693025138E-2</v>
      </c>
      <c r="Q74" s="1145">
        <f t="shared" si="206"/>
        <v>2.1335505660848797E-2</v>
      </c>
      <c r="R74" s="1145">
        <f t="shared" si="206"/>
        <v>0.18316802713822525</v>
      </c>
      <c r="S74" s="1145">
        <f t="shared" si="206"/>
        <v>3.1580865929031816E-2</v>
      </c>
      <c r="T74" s="1145">
        <f t="shared" si="206"/>
        <v>8.6946372494758936E-2</v>
      </c>
      <c r="U74" s="1145">
        <f t="shared" si="206"/>
        <v>4.0099420004427462E-2</v>
      </c>
      <c r="V74" s="1145">
        <f t="shared" si="206"/>
        <v>5.8155872269524587E-2</v>
      </c>
      <c r="W74" s="1145">
        <f t="shared" si="206"/>
        <v>5.8911866729907732E-2</v>
      </c>
      <c r="X74" s="1145">
        <f t="shared" si="206"/>
        <v>5.8303113449496959E-3</v>
      </c>
      <c r="Y74" s="1145">
        <f t="shared" si="206"/>
        <v>4.3725656929241047E-2</v>
      </c>
      <c r="Z74" s="1145">
        <f t="shared" si="206"/>
        <v>2.6054897546136099E-2</v>
      </c>
      <c r="AA74" s="1145">
        <f t="shared" si="206"/>
        <v>1.3369611467970496E-2</v>
      </c>
      <c r="AB74" s="1145">
        <f t="shared" si="206"/>
        <v>1.5261200460958736E-2</v>
      </c>
      <c r="AC74" s="1145">
        <f t="shared" si="206"/>
        <v>4.9589153679804973E-2</v>
      </c>
      <c r="AD74" s="1145">
        <f t="shared" si="206"/>
        <v>1.2515283545499835E-2</v>
      </c>
      <c r="AE74" s="1172">
        <f t="shared" si="4"/>
        <v>1.3837583351255758</v>
      </c>
      <c r="AF74" s="1153"/>
      <c r="AG74" s="1142"/>
      <c r="AH74" s="1142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  <c r="BO74"/>
    </row>
    <row r="75" spans="2:67" ht="15.75" thickBot="1">
      <c r="B75" s="1138" t="s">
        <v>64</v>
      </c>
      <c r="C75" s="1138" t="s">
        <v>1144</v>
      </c>
      <c r="D75" s="1138" t="s">
        <v>1094</v>
      </c>
      <c r="E75" s="1147">
        <f t="shared" ref="E75:AD75" si="207">IFERROR(G229*((SUM(AN$73)/SUM(AN$65:AN$73))/(SUM(G$229)/SUM(G$224:G$229))),0)</f>
        <v>3.4977223036229632E-2</v>
      </c>
      <c r="F75" s="1147">
        <f t="shared" si="207"/>
        <v>1.5369813852281937</v>
      </c>
      <c r="G75" s="1147">
        <f t="shared" si="207"/>
        <v>5.957602191764446E-2</v>
      </c>
      <c r="H75" s="1147">
        <f t="shared" si="207"/>
        <v>6.3906635275718035E-2</v>
      </c>
      <c r="I75" s="1147">
        <f t="shared" si="207"/>
        <v>7.8062395438499937E-2</v>
      </c>
      <c r="J75" s="1147">
        <f t="shared" si="207"/>
        <v>7.092234066088849E-3</v>
      </c>
      <c r="K75" s="1147">
        <f t="shared" si="207"/>
        <v>0.18754624418686133</v>
      </c>
      <c r="L75" s="1147">
        <f t="shared" si="207"/>
        <v>6.0253652883571374E-2</v>
      </c>
      <c r="M75" s="1147">
        <f t="shared" si="207"/>
        <v>6.0016457486339513E-2</v>
      </c>
      <c r="N75" s="1147">
        <f t="shared" si="207"/>
        <v>9.554395324150855E-2</v>
      </c>
      <c r="O75" s="1147">
        <f t="shared" si="207"/>
        <v>9.5501267090897263E-2</v>
      </c>
      <c r="P75" s="1147">
        <f t="shared" si="207"/>
        <v>7.5440664425230938E-2</v>
      </c>
      <c r="Q75" s="1147">
        <f t="shared" si="207"/>
        <v>4.9909843599485582E-2</v>
      </c>
      <c r="R75" s="1147">
        <f t="shared" si="207"/>
        <v>0.54836991406397462</v>
      </c>
      <c r="S75" s="1147">
        <f t="shared" si="207"/>
        <v>6.7018936857029338E-2</v>
      </c>
      <c r="T75" s="1147">
        <f t="shared" si="207"/>
        <v>0.18281032165564698</v>
      </c>
      <c r="U75" s="1147">
        <f t="shared" si="207"/>
        <v>0.19745926517331711</v>
      </c>
      <c r="V75" s="1147">
        <f t="shared" si="207"/>
        <v>9.6926453782540986E-2</v>
      </c>
      <c r="W75" s="1147">
        <f t="shared" si="207"/>
        <v>8.7631401760737762E-2</v>
      </c>
      <c r="X75" s="1147">
        <f t="shared" si="207"/>
        <v>9.994819448485192E-3</v>
      </c>
      <c r="Y75" s="1147">
        <f t="shared" si="207"/>
        <v>9.3154660414470042E-2</v>
      </c>
      <c r="Z75" s="1147">
        <f t="shared" si="207"/>
        <v>1.7866215460207609E-2</v>
      </c>
      <c r="AA75" s="1147">
        <f t="shared" si="207"/>
        <v>3.938615270294011E-2</v>
      </c>
      <c r="AB75" s="1147">
        <f t="shared" si="207"/>
        <v>5.3922908295387532E-2</v>
      </c>
      <c r="AC75" s="1147">
        <f t="shared" si="207"/>
        <v>0.12962778768931477</v>
      </c>
      <c r="AD75" s="1147">
        <f t="shared" si="207"/>
        <v>3.7545850636499511E-2</v>
      </c>
      <c r="AE75" s="1174">
        <f t="shared" si="4"/>
        <v>3.9665226658168211</v>
      </c>
      <c r="AF75" s="1153"/>
      <c r="AG75" s="1142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SUMIFS(Table915[Count of EnergyRating],Table915[MainSpaceHeatingFuel],AL75,Table915[EnergyRating (group)],AM75,Table915[CountyName (group)],AN$4)</f>
        <v>0</v>
      </c>
      <c r="AO75" s="1129">
        <f>SUMIFS(Table915[Count of EnergyRating],Table915[MainSpaceHeatingFuel],AL75,Table915[EnergyRating (group)],AM75,Table915[CountyName (group)],AO$4)</f>
        <v>0</v>
      </c>
      <c r="AP75" s="1129">
        <f>SUMIFS(Table915[Count of EnergyRating],Table915[MainSpaceHeatingFuel],AL75,Table915[EnergyRating (group)],AM75,Table915[CountyName (group)],AP$4)</f>
        <v>0</v>
      </c>
      <c r="AQ75" s="1129">
        <f>SUMIFS(Table915[Count of EnergyRating],Table915[MainSpaceHeatingFuel],AL75,Table915[EnergyRating (group)],AM75,Table915[CountyName (group)],AQ$4)</f>
        <v>0</v>
      </c>
      <c r="AR75" s="1129">
        <f>SUMIFS(Table915[Count of EnergyRating],Table915[MainSpaceHeatingFuel],AL75,Table915[EnergyRating (group)],AM75,Table915[CountyName (group)],AR$4)</f>
        <v>0</v>
      </c>
      <c r="AS75" s="1129">
        <f>SUMIFS(Table915[Count of EnergyRating],Table915[MainSpaceHeatingFuel],AL75,Table915[EnergyRating (group)],AM75,Table915[CountyName (group)],AS$4)</f>
        <v>0</v>
      </c>
      <c r="AT75" s="1129">
        <f>SUMIFS(Table915[Count of EnergyRating],Table915[MainSpaceHeatingFuel],AL75,Table915[EnergyRating (group)],AM75,Table915[CountyName (group)],AT$4)</f>
        <v>0</v>
      </c>
      <c r="AU75" s="1129">
        <f>SUMIFS(Table915[Count of EnergyRating],Table915[MainSpaceHeatingFuel],AL75,Table915[EnergyRating (group)],AM75,Table915[CountyName (group)],AU$4)</f>
        <v>0</v>
      </c>
      <c r="AV75" s="1129">
        <f>SUMIFS(Table915[Count of EnergyRating],Table915[MainSpaceHeatingFuel],AL75,Table915[EnergyRating (group)],AM75,Table915[CountyName (group)],AV$4)</f>
        <v>0</v>
      </c>
      <c r="AW75" s="1129">
        <f>SUMIFS(Table915[Count of EnergyRating],Table915[MainSpaceHeatingFuel],AL75,Table915[EnergyRating (group)],AM75,Table915[CountyName (group)],AW$4)</f>
        <v>0</v>
      </c>
      <c r="AX75" s="1129">
        <f>SUMIFS(Table915[Count of EnergyRating],Table915[MainSpaceHeatingFuel],AL75,Table915[EnergyRating (group)],AM75,Table915[CountyName (group)],AX$4)</f>
        <v>0</v>
      </c>
      <c r="AY75" s="1129">
        <f>SUMIFS(Table915[Count of EnergyRating],Table915[MainSpaceHeatingFuel],AL75,Table915[EnergyRating (group)],AM75,Table915[CountyName (group)],AY$4)</f>
        <v>0</v>
      </c>
      <c r="AZ75" s="1129">
        <f>SUMIFS(Table915[Count of EnergyRating],Table915[MainSpaceHeatingFuel],AL75,Table915[EnergyRating (group)],AM75,Table915[CountyName (group)],AZ$4)</f>
        <v>0</v>
      </c>
      <c r="BA75" s="1129">
        <f>SUMIFS(Table915[Count of EnergyRating],Table915[MainSpaceHeatingFuel],AL75,Table915[EnergyRating (group)],AM75,Table915[CountyName (group)],BA$4)</f>
        <v>0</v>
      </c>
      <c r="BB75" s="1129">
        <f>SUMIFS(Table915[Count of EnergyRating],Table915[MainSpaceHeatingFuel],AL75,Table915[EnergyRating (group)],AM75,Table915[CountyName (group)],BB$4)</f>
        <v>0</v>
      </c>
      <c r="BC75" s="1129">
        <f>SUMIFS(Table915[Count of EnergyRating],Table915[MainSpaceHeatingFuel],AL75,Table915[EnergyRating (group)],AM75,Table915[CountyName (group)],BC$4)</f>
        <v>0</v>
      </c>
      <c r="BD75" s="1129">
        <f>SUMIFS(Table915[Count of EnergyRating],Table915[MainSpaceHeatingFuel],AL75,Table915[EnergyRating (group)],AM75,Table915[CountyName (group)],BD$4)</f>
        <v>0</v>
      </c>
      <c r="BE75" s="1129">
        <f>SUMIFS(Table915[Count of EnergyRating],Table915[MainSpaceHeatingFuel],AL75,Table915[EnergyRating (group)],AM75,Table915[CountyName (group)],BE$4)</f>
        <v>0</v>
      </c>
      <c r="BF75" s="1129">
        <f>SUMIFS(Table915[Count of EnergyRating],Table915[MainSpaceHeatingFuel],AL75,Table915[EnergyRating (group)],AM75,Table915[CountyName (group)],BF$4)</f>
        <v>0</v>
      </c>
      <c r="BG75" s="1129">
        <f>SUMIFS(Table915[Count of EnergyRating],Table915[MainSpaceHeatingFuel],AL75,Table915[EnergyRating (group)],AM75,Table915[CountyName (group)],BG$4)</f>
        <v>0</v>
      </c>
      <c r="BH75" s="1129">
        <f>SUMIFS(Table915[Count of EnergyRating],Table915[MainSpaceHeatingFuel],AL75,Table915[EnergyRating (group)],AM75,Table915[CountyName (group)],BH$4)</f>
        <v>0</v>
      </c>
      <c r="BI75" s="1129">
        <f>SUMIFS(Table915[Count of EnergyRating],Table915[MainSpaceHeatingFuel],AL75,Table915[EnergyRating (group)],AM75,Table915[CountyName (group)],BI$4)</f>
        <v>0</v>
      </c>
      <c r="BJ75" s="1129">
        <f>SUMIFS(Table915[Count of EnergyRating],Table915[MainSpaceHeatingFuel],AL75,Table915[EnergyRating (group)],AM75,Table915[CountyName (group)],BJ$4)</f>
        <v>0</v>
      </c>
      <c r="BK75" s="1135">
        <f>SUMIFS(Table915[Count of EnergyRating],Table915[MainSpaceHeatingFuel],AL75,Table915[EnergyRating (group)],AM75,Table915[CountyName (group)],BK$4)</f>
        <v>0</v>
      </c>
      <c r="BL75" s="1129">
        <f>SUMIFS(Table915[Count of EnergyRating],Table915[MainSpaceHeatingFuel],AL75,Table915[EnergyRating (group)],AM75,Table915[CountyName (group)],BL$4)</f>
        <v>0</v>
      </c>
      <c r="BM75" s="1129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38" t="s">
        <v>1075</v>
      </c>
      <c r="C76" s="1138" t="s">
        <v>1144</v>
      </c>
      <c r="D76" s="1138" t="s">
        <v>1094</v>
      </c>
      <c r="E76" s="1147">
        <f>SUM(E70:E75)</f>
        <v>0.26427235182929054</v>
      </c>
      <c r="F76" s="1147">
        <f t="shared" ref="F76" si="208">SUM(F70:F75)</f>
        <v>8.7844864942291228</v>
      </c>
      <c r="G76" s="1147">
        <f t="shared" ref="G76" si="209">SUM(G70:G75)</f>
        <v>1.1178934678697625</v>
      </c>
      <c r="H76" s="1147">
        <f t="shared" ref="H76" si="210">SUM(H70:H75)</f>
        <v>0.36658531443873421</v>
      </c>
      <c r="I76" s="1147">
        <f t="shared" ref="I76" si="211">SUM(I70:I75)</f>
        <v>0.33734106600208902</v>
      </c>
      <c r="J76" s="1147">
        <f t="shared" ref="J76" si="212">SUM(J70:J75)</f>
        <v>0.13909930039296839</v>
      </c>
      <c r="K76" s="1147">
        <f t="shared" ref="K76" si="213">SUM(K70:K75)</f>
        <v>0.71185435749757575</v>
      </c>
      <c r="L76" s="1147">
        <f t="shared" ref="L76" si="214">SUM(L70:L75)</f>
        <v>0.79431949716025207</v>
      </c>
      <c r="M76" s="1147">
        <f t="shared" ref="M76" si="215">SUM(M70:M75)</f>
        <v>0.30008228743169751</v>
      </c>
      <c r="N76" s="1147">
        <f t="shared" ref="N76" si="216">SUM(N70:N75)</f>
        <v>0.3594272526704369</v>
      </c>
      <c r="O76" s="1147">
        <f t="shared" ref="O76" si="217">SUM(O70:O75)</f>
        <v>0.53882449218443507</v>
      </c>
      <c r="P76" s="1147">
        <f t="shared" ref="P76" si="218">SUM(P70:P75)</f>
        <v>0.6789659798270784</v>
      </c>
      <c r="Q76" s="1147">
        <f t="shared" ref="Q76" si="219">SUM(Q70:Q75)</f>
        <v>0.44309273363512769</v>
      </c>
      <c r="R76" s="1147">
        <f t="shared" ref="R76" si="220">SUM(R70:R75)</f>
        <v>2.6800374497066644</v>
      </c>
      <c r="S76" s="1147">
        <f t="shared" ref="S76" si="221">SUM(S70:S75)</f>
        <v>0.45973062081422644</v>
      </c>
      <c r="T76" s="1147">
        <f t="shared" ref="T76" si="222">SUM(T70:T75)</f>
        <v>0.9289142360551168</v>
      </c>
      <c r="U76" s="1147">
        <f t="shared" ref="U76" si="223">SUM(U70:U75)</f>
        <v>0.64341342098013166</v>
      </c>
      <c r="V76" s="1147">
        <f t="shared" ref="V76" si="224">SUM(V70:V75)</f>
        <v>0.63799145800863633</v>
      </c>
      <c r="W76" s="1147">
        <f t="shared" ref="W76" si="225">SUM(W70:W75)</f>
        <v>0.80856537086798375</v>
      </c>
      <c r="X76" s="1147">
        <f t="shared" ref="X76" si="226">SUM(X70:X75)</f>
        <v>8.0236189461450572E-2</v>
      </c>
      <c r="Y76" s="1147">
        <f t="shared" ref="Y76" si="227">SUM(Y70:Y75)</f>
        <v>0.36691529510189225</v>
      </c>
      <c r="Z76" s="1147">
        <f t="shared" ref="Z76" si="228">SUM(Z70:Z75)</f>
        <v>0.15744602374307956</v>
      </c>
      <c r="AA76" s="1147">
        <f t="shared" ref="AA76" si="229">SUM(AA70:AA75)</f>
        <v>0.26052675320018182</v>
      </c>
      <c r="AB76" s="1147">
        <f t="shared" ref="AB76" si="230">SUM(AB70:AB75)</f>
        <v>0.22586576682218928</v>
      </c>
      <c r="AC76" s="1147">
        <f t="shared" ref="AC76" si="231">SUM(AC70:AC75)</f>
        <v>0.46544205646834497</v>
      </c>
      <c r="AD76" s="1147">
        <f t="shared" ref="AD76" si="232">SUM(AD70:AD75)</f>
        <v>0.19398689495524746</v>
      </c>
      <c r="AE76" s="1147">
        <f t="shared" ref="AE76" si="233">SUM(AE70:AE75)</f>
        <v>22.745316131353714</v>
      </c>
      <c r="AF76" s="1153"/>
      <c r="AG76" s="58" t="s">
        <v>1163</v>
      </c>
      <c r="AH76" s="1158">
        <f>SUM(E79:AD84)</f>
        <v>1.1577366097892425</v>
      </c>
      <c r="AI76" s="1140">
        <f>'SHWLP-Att'!S18</f>
        <v>1.1577366097892419</v>
      </c>
      <c r="AJ76" s="1160">
        <f>IFERROR((AI76-AH76)/AI76,"N/A")</f>
        <v>-5.7537596128739431E-16</v>
      </c>
      <c r="AL76" s="1144" t="s">
        <v>1133</v>
      </c>
      <c r="AM76" s="1144" t="s">
        <v>50</v>
      </c>
      <c r="AN76" s="1135">
        <f>SUMIFS(Table915[Count of EnergyRating],Table915[MainSpaceHeatingFuel],AL76,Table915[EnergyRating (group)],AM76,Table915[CountyName (group)],AN$4)</f>
        <v>0</v>
      </c>
      <c r="AO76" s="1129">
        <f>SUMIFS(Table915[Count of EnergyRating],Table915[MainSpaceHeatingFuel],AL76,Table915[EnergyRating (group)],AM76,Table915[CountyName (group)],AO$4)</f>
        <v>0</v>
      </c>
      <c r="AP76" s="1129">
        <f>SUMIFS(Table915[Count of EnergyRating],Table915[MainSpaceHeatingFuel],AL76,Table915[EnergyRating (group)],AM76,Table915[CountyName (group)],AP$4)</f>
        <v>0</v>
      </c>
      <c r="AQ76" s="1129">
        <f>SUMIFS(Table915[Count of EnergyRating],Table915[MainSpaceHeatingFuel],AL76,Table915[EnergyRating (group)],AM76,Table915[CountyName (group)],AQ$4)</f>
        <v>0</v>
      </c>
      <c r="AR76" s="1129">
        <f>SUMIFS(Table915[Count of EnergyRating],Table915[MainSpaceHeatingFuel],AL76,Table915[EnergyRating (group)],AM76,Table915[CountyName (group)],AR$4)</f>
        <v>0</v>
      </c>
      <c r="AS76" s="1129">
        <f>SUMIFS(Table915[Count of EnergyRating],Table915[MainSpaceHeatingFuel],AL76,Table915[EnergyRating (group)],AM76,Table915[CountyName (group)],AS$4)</f>
        <v>0</v>
      </c>
      <c r="AT76" s="1129">
        <f>SUMIFS(Table915[Count of EnergyRating],Table915[MainSpaceHeatingFuel],AL76,Table915[EnergyRating (group)],AM76,Table915[CountyName (group)],AT$4)</f>
        <v>0</v>
      </c>
      <c r="AU76" s="1129">
        <f>SUMIFS(Table915[Count of EnergyRating],Table915[MainSpaceHeatingFuel],AL76,Table915[EnergyRating (group)],AM76,Table915[CountyName (group)],AU$4)</f>
        <v>0</v>
      </c>
      <c r="AV76" s="1129">
        <f>SUMIFS(Table915[Count of EnergyRating],Table915[MainSpaceHeatingFuel],AL76,Table915[EnergyRating (group)],AM76,Table915[CountyName (group)],AV$4)</f>
        <v>0</v>
      </c>
      <c r="AW76" s="1129">
        <f>SUMIFS(Table915[Count of EnergyRating],Table915[MainSpaceHeatingFuel],AL76,Table915[EnergyRating (group)],AM76,Table915[CountyName (group)],AW$4)</f>
        <v>0</v>
      </c>
      <c r="AX76" s="1129">
        <f>SUMIFS(Table915[Count of EnergyRating],Table915[MainSpaceHeatingFuel],AL76,Table915[EnergyRating (group)],AM76,Table915[CountyName (group)],AX$4)</f>
        <v>0</v>
      </c>
      <c r="AY76" s="1129">
        <f>SUMIFS(Table915[Count of EnergyRating],Table915[MainSpaceHeatingFuel],AL76,Table915[EnergyRating (group)],AM76,Table915[CountyName (group)],AY$4)</f>
        <v>0</v>
      </c>
      <c r="AZ76" s="1129">
        <f>SUMIFS(Table915[Count of EnergyRating],Table915[MainSpaceHeatingFuel],AL76,Table915[EnergyRating (group)],AM76,Table915[CountyName (group)],AZ$4)</f>
        <v>0</v>
      </c>
      <c r="BA76" s="1129">
        <f>SUMIFS(Table915[Count of EnergyRating],Table915[MainSpaceHeatingFuel],AL76,Table915[EnergyRating (group)],AM76,Table915[CountyName (group)],BA$4)</f>
        <v>0</v>
      </c>
      <c r="BB76" s="1129">
        <f>SUMIFS(Table915[Count of EnergyRating],Table915[MainSpaceHeatingFuel],AL76,Table915[EnergyRating (group)],AM76,Table915[CountyName (group)],BB$4)</f>
        <v>0</v>
      </c>
      <c r="BC76" s="1129">
        <f>SUMIFS(Table915[Count of EnergyRating],Table915[MainSpaceHeatingFuel],AL76,Table915[EnergyRating (group)],AM76,Table915[CountyName (group)],BC$4)</f>
        <v>0</v>
      </c>
      <c r="BD76" s="1129">
        <f>SUMIFS(Table915[Count of EnergyRating],Table915[MainSpaceHeatingFuel],AL76,Table915[EnergyRating (group)],AM76,Table915[CountyName (group)],BD$4)</f>
        <v>0</v>
      </c>
      <c r="BE76" s="1129">
        <f>SUMIFS(Table915[Count of EnergyRating],Table915[MainSpaceHeatingFuel],AL76,Table915[EnergyRating (group)],AM76,Table915[CountyName (group)],BE$4)</f>
        <v>0</v>
      </c>
      <c r="BF76" s="1129">
        <f>SUMIFS(Table915[Count of EnergyRating],Table915[MainSpaceHeatingFuel],AL76,Table915[EnergyRating (group)],AM76,Table915[CountyName (group)],BF$4)</f>
        <v>0</v>
      </c>
      <c r="BG76" s="1129">
        <f>SUMIFS(Table915[Count of EnergyRating],Table915[MainSpaceHeatingFuel],AL76,Table915[EnergyRating (group)],AM76,Table915[CountyName (group)],BG$4)</f>
        <v>0</v>
      </c>
      <c r="BH76" s="1129">
        <f>SUMIFS(Table915[Count of EnergyRating],Table915[MainSpaceHeatingFuel],AL76,Table915[EnergyRating (group)],AM76,Table915[CountyName (group)],BH$4)</f>
        <v>0</v>
      </c>
      <c r="BI76" s="1129">
        <f>SUMIFS(Table915[Count of EnergyRating],Table915[MainSpaceHeatingFuel],AL76,Table915[EnergyRating (group)],AM76,Table915[CountyName (group)],BI$4)</f>
        <v>0</v>
      </c>
      <c r="BJ76" s="1129">
        <f>SUMIFS(Table915[Count of EnergyRating],Table915[MainSpaceHeatingFuel],AL76,Table915[EnergyRating (group)],AM76,Table915[CountyName (group)],BJ$4)</f>
        <v>0</v>
      </c>
      <c r="BK76" s="1135">
        <f>SUMIFS(Table915[Count of EnergyRating],Table915[MainSpaceHeatingFuel],AL76,Table915[EnergyRating (group)],AM76,Table915[CountyName (group)],BK$4)</f>
        <v>0</v>
      </c>
      <c r="BL76" s="1129">
        <f>SUMIFS(Table915[Count of EnergyRating],Table915[MainSpaceHeatingFuel],AL76,Table915[EnergyRating (group)],AM76,Table915[CountyName (group)],BL$4)</f>
        <v>0</v>
      </c>
      <c r="BM76" s="1129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65"/>
      <c r="C77" s="1165" t="s">
        <v>1145</v>
      </c>
      <c r="D77" s="1165" t="s">
        <v>1094</v>
      </c>
      <c r="E77" s="1166">
        <f t="shared" ref="E77:AD77" si="234">G230</f>
        <v>0.25065136702676571</v>
      </c>
      <c r="F77" s="1166">
        <f t="shared" si="234"/>
        <v>8.3317211700942266</v>
      </c>
      <c r="G77" s="1166">
        <f t="shared" si="234"/>
        <v>1.0602755981558247</v>
      </c>
      <c r="H77" s="1166">
        <f t="shared" si="234"/>
        <v>0.34769096941082805</v>
      </c>
      <c r="I77" s="1166">
        <f t="shared" si="234"/>
        <v>0.31995401245117455</v>
      </c>
      <c r="J77" s="1166">
        <f t="shared" si="234"/>
        <v>0.13192991833850984</v>
      </c>
      <c r="K77" s="1166">
        <f t="shared" si="234"/>
        <v>0.67516433934785669</v>
      </c>
      <c r="L77" s="1166">
        <f t="shared" si="234"/>
        <v>0.75337910470422265</v>
      </c>
      <c r="M77" s="1166">
        <f t="shared" si="234"/>
        <v>0.2846156060012679</v>
      </c>
      <c r="N77" s="1166">
        <f t="shared" si="234"/>
        <v>0.34090184464970025</v>
      </c>
      <c r="O77" s="1166">
        <f t="shared" si="234"/>
        <v>0.51105268719435681</v>
      </c>
      <c r="P77" s="1166">
        <f t="shared" si="234"/>
        <v>0.64397107692240363</v>
      </c>
      <c r="Q77" s="1166">
        <f t="shared" si="234"/>
        <v>0.42025508395601224</v>
      </c>
      <c r="R77" s="1166">
        <f t="shared" si="234"/>
        <v>2.541904386902452</v>
      </c>
      <c r="S77" s="1166">
        <f t="shared" si="234"/>
        <v>0.43603543001571665</v>
      </c>
      <c r="T77" s="1166">
        <f t="shared" si="234"/>
        <v>0.88103663325416626</v>
      </c>
      <c r="U77" s="1166">
        <f t="shared" si="234"/>
        <v>0.61025094912771449</v>
      </c>
      <c r="V77" s="1166">
        <f t="shared" si="234"/>
        <v>0.6051084420838766</v>
      </c>
      <c r="W77" s="1166">
        <f t="shared" si="234"/>
        <v>0.76689072517687862</v>
      </c>
      <c r="X77" s="1166">
        <f t="shared" si="234"/>
        <v>7.6100698519239188E-2</v>
      </c>
      <c r="Y77" s="1166">
        <f t="shared" si="234"/>
        <v>0.34800394238639837</v>
      </c>
      <c r="Z77" s="1166">
        <f t="shared" si="234"/>
        <v>0.14933102464545253</v>
      </c>
      <c r="AA77" s="1166">
        <f t="shared" si="234"/>
        <v>0.24709882204723585</v>
      </c>
      <c r="AB77" s="1166">
        <f t="shared" si="234"/>
        <v>0.21422431376817103</v>
      </c>
      <c r="AC77" s="1166">
        <f t="shared" si="234"/>
        <v>0.44145248989534785</v>
      </c>
      <c r="AD77" s="1166">
        <f t="shared" si="234"/>
        <v>0.18398852573582478</v>
      </c>
      <c r="AE77" s="1175">
        <f t="shared" si="4"/>
        <v>21.57298916181162</v>
      </c>
      <c r="AF77" s="1153"/>
      <c r="AG77" s="58" t="s">
        <v>1107</v>
      </c>
      <c r="AH77" s="1158">
        <f>SUM(E86:AD86)</f>
        <v>1.2042719584291575</v>
      </c>
      <c r="AI77" s="1140">
        <f>'SHWLP-Att'!S44</f>
        <v>1.2042719584291575</v>
      </c>
      <c r="AJ77" s="1160">
        <f>(AI77-AH77)/AI77</f>
        <v>0</v>
      </c>
      <c r="AL77" s="1144" t="s">
        <v>1133</v>
      </c>
      <c r="AM77" s="1144" t="s">
        <v>52</v>
      </c>
      <c r="AN77" s="1135">
        <f>SUMIFS(Table915[Count of EnergyRating],Table915[MainSpaceHeatingFuel],AL77,Table915[EnergyRating (group)],AM77,Table915[CountyName (group)],AN$4)</f>
        <v>0</v>
      </c>
      <c r="AO77" s="1129">
        <f>SUMIFS(Table915[Count of EnergyRating],Table915[MainSpaceHeatingFuel],AL77,Table915[EnergyRating (group)],AM77,Table915[CountyName (group)],AO$4)</f>
        <v>0</v>
      </c>
      <c r="AP77" s="1129">
        <f>SUMIFS(Table915[Count of EnergyRating],Table915[MainSpaceHeatingFuel],AL77,Table915[EnergyRating (group)],AM77,Table915[CountyName (group)],AP$4)</f>
        <v>0</v>
      </c>
      <c r="AQ77" s="1129">
        <f>SUMIFS(Table915[Count of EnergyRating],Table915[MainSpaceHeatingFuel],AL77,Table915[EnergyRating (group)],AM77,Table915[CountyName (group)],AQ$4)</f>
        <v>0</v>
      </c>
      <c r="AR77" s="1129">
        <f>SUMIFS(Table915[Count of EnergyRating],Table915[MainSpaceHeatingFuel],AL77,Table915[EnergyRating (group)],AM77,Table915[CountyName (group)],AR$4)</f>
        <v>0</v>
      </c>
      <c r="AS77" s="1129">
        <f>SUMIFS(Table915[Count of EnergyRating],Table915[MainSpaceHeatingFuel],AL77,Table915[EnergyRating (group)],AM77,Table915[CountyName (group)],AS$4)</f>
        <v>0</v>
      </c>
      <c r="AT77" s="1129">
        <f>SUMIFS(Table915[Count of EnergyRating],Table915[MainSpaceHeatingFuel],AL77,Table915[EnergyRating (group)],AM77,Table915[CountyName (group)],AT$4)</f>
        <v>0</v>
      </c>
      <c r="AU77" s="1129">
        <f>SUMIFS(Table915[Count of EnergyRating],Table915[MainSpaceHeatingFuel],AL77,Table915[EnergyRating (group)],AM77,Table915[CountyName (group)],AU$4)</f>
        <v>0</v>
      </c>
      <c r="AV77" s="1129">
        <f>SUMIFS(Table915[Count of EnergyRating],Table915[MainSpaceHeatingFuel],AL77,Table915[EnergyRating (group)],AM77,Table915[CountyName (group)],AV$4)</f>
        <v>0</v>
      </c>
      <c r="AW77" s="1129">
        <f>SUMIFS(Table915[Count of EnergyRating],Table915[MainSpaceHeatingFuel],AL77,Table915[EnergyRating (group)],AM77,Table915[CountyName (group)],AW$4)</f>
        <v>0</v>
      </c>
      <c r="AX77" s="1129">
        <f>SUMIFS(Table915[Count of EnergyRating],Table915[MainSpaceHeatingFuel],AL77,Table915[EnergyRating (group)],AM77,Table915[CountyName (group)],AX$4)</f>
        <v>0</v>
      </c>
      <c r="AY77" s="1129">
        <f>SUMIFS(Table915[Count of EnergyRating],Table915[MainSpaceHeatingFuel],AL77,Table915[EnergyRating (group)],AM77,Table915[CountyName (group)],AY$4)</f>
        <v>0</v>
      </c>
      <c r="AZ77" s="1129">
        <f>SUMIFS(Table915[Count of EnergyRating],Table915[MainSpaceHeatingFuel],AL77,Table915[EnergyRating (group)],AM77,Table915[CountyName (group)],AZ$4)</f>
        <v>0</v>
      </c>
      <c r="BA77" s="1129">
        <f>SUMIFS(Table915[Count of EnergyRating],Table915[MainSpaceHeatingFuel],AL77,Table915[EnergyRating (group)],AM77,Table915[CountyName (group)],BA$4)</f>
        <v>0</v>
      </c>
      <c r="BB77" s="1129">
        <f>SUMIFS(Table915[Count of EnergyRating],Table915[MainSpaceHeatingFuel],AL77,Table915[EnergyRating (group)],AM77,Table915[CountyName (group)],BB$4)</f>
        <v>0</v>
      </c>
      <c r="BC77" s="1129">
        <f>SUMIFS(Table915[Count of EnergyRating],Table915[MainSpaceHeatingFuel],AL77,Table915[EnergyRating (group)],AM77,Table915[CountyName (group)],BC$4)</f>
        <v>0</v>
      </c>
      <c r="BD77" s="1129">
        <f>SUMIFS(Table915[Count of EnergyRating],Table915[MainSpaceHeatingFuel],AL77,Table915[EnergyRating (group)],AM77,Table915[CountyName (group)],BD$4)</f>
        <v>0</v>
      </c>
      <c r="BE77" s="1129">
        <f>SUMIFS(Table915[Count of EnergyRating],Table915[MainSpaceHeatingFuel],AL77,Table915[EnergyRating (group)],AM77,Table915[CountyName (group)],BE$4)</f>
        <v>0</v>
      </c>
      <c r="BF77" s="1129">
        <f>SUMIFS(Table915[Count of EnergyRating],Table915[MainSpaceHeatingFuel],AL77,Table915[EnergyRating (group)],AM77,Table915[CountyName (group)],BF$4)</f>
        <v>0</v>
      </c>
      <c r="BG77" s="1129">
        <f>SUMIFS(Table915[Count of EnergyRating],Table915[MainSpaceHeatingFuel],AL77,Table915[EnergyRating (group)],AM77,Table915[CountyName (group)],BG$4)</f>
        <v>0</v>
      </c>
      <c r="BH77" s="1129">
        <f>SUMIFS(Table915[Count of EnergyRating],Table915[MainSpaceHeatingFuel],AL77,Table915[EnergyRating (group)],AM77,Table915[CountyName (group)],BH$4)</f>
        <v>0</v>
      </c>
      <c r="BI77" s="1129">
        <f>SUMIFS(Table915[Count of EnergyRating],Table915[MainSpaceHeatingFuel],AL77,Table915[EnergyRating (group)],AM77,Table915[CountyName (group)],BI$4)</f>
        <v>0</v>
      </c>
      <c r="BJ77" s="1129">
        <f>SUMIFS(Table915[Count of EnergyRating],Table915[MainSpaceHeatingFuel],AL77,Table915[EnergyRating (group)],AM77,Table915[CountyName (group)],BJ$4)</f>
        <v>0</v>
      </c>
      <c r="BK77" s="1135">
        <f>SUMIFS(Table915[Count of EnergyRating],Table915[MainSpaceHeatingFuel],AL77,Table915[EnergyRating (group)],AM77,Table915[CountyName (group)],BK$4)</f>
        <v>0</v>
      </c>
      <c r="BL77" s="1129">
        <f>SUMIFS(Table915[Count of EnergyRating],Table915[MainSpaceHeatingFuel],AL77,Table915[EnergyRating (group)],AM77,Table915[CountyName (group)],BL$4)</f>
        <v>0</v>
      </c>
      <c r="BM77" s="1129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37"/>
      <c r="C78" s="1137" t="s">
        <v>1126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F78" s="1153"/>
      <c r="AG78" s="1142"/>
      <c r="AH78" s="1142"/>
      <c r="AL78" s="1144" t="s">
        <v>1133</v>
      </c>
      <c r="AM78" s="1144" t="s">
        <v>54</v>
      </c>
      <c r="AN78" s="1135">
        <f>SUMIFS(Table915[Count of EnergyRating],Table915[MainSpaceHeatingFuel],AL78,Table915[EnergyRating (group)],AM78,Table915[CountyName (group)],AN$4)</f>
        <v>0</v>
      </c>
      <c r="AO78" s="1129">
        <f>SUMIFS(Table915[Count of EnergyRating],Table915[MainSpaceHeatingFuel],AL78,Table915[EnergyRating (group)],AM78,Table915[CountyName (group)],AO$4)</f>
        <v>0</v>
      </c>
      <c r="AP78" s="1129">
        <f>SUMIFS(Table915[Count of EnergyRating],Table915[MainSpaceHeatingFuel],AL78,Table915[EnergyRating (group)],AM78,Table915[CountyName (group)],AP$4)</f>
        <v>0</v>
      </c>
      <c r="AQ78" s="1129">
        <f>SUMIFS(Table915[Count of EnergyRating],Table915[MainSpaceHeatingFuel],AL78,Table915[EnergyRating (group)],AM78,Table915[CountyName (group)],AQ$4)</f>
        <v>0</v>
      </c>
      <c r="AR78" s="1129">
        <f>SUMIFS(Table915[Count of EnergyRating],Table915[MainSpaceHeatingFuel],AL78,Table915[EnergyRating (group)],AM78,Table915[CountyName (group)],AR$4)</f>
        <v>0</v>
      </c>
      <c r="AS78" s="1129">
        <f>SUMIFS(Table915[Count of EnergyRating],Table915[MainSpaceHeatingFuel],AL78,Table915[EnergyRating (group)],AM78,Table915[CountyName (group)],AS$4)</f>
        <v>0</v>
      </c>
      <c r="AT78" s="1129">
        <f>SUMIFS(Table915[Count of EnergyRating],Table915[MainSpaceHeatingFuel],AL78,Table915[EnergyRating (group)],AM78,Table915[CountyName (group)],AT$4)</f>
        <v>0</v>
      </c>
      <c r="AU78" s="1129">
        <f>SUMIFS(Table915[Count of EnergyRating],Table915[MainSpaceHeatingFuel],AL78,Table915[EnergyRating (group)],AM78,Table915[CountyName (group)],AU$4)</f>
        <v>0</v>
      </c>
      <c r="AV78" s="1129">
        <f>SUMIFS(Table915[Count of EnergyRating],Table915[MainSpaceHeatingFuel],AL78,Table915[EnergyRating (group)],AM78,Table915[CountyName (group)],AV$4)</f>
        <v>0</v>
      </c>
      <c r="AW78" s="1129">
        <f>SUMIFS(Table915[Count of EnergyRating],Table915[MainSpaceHeatingFuel],AL78,Table915[EnergyRating (group)],AM78,Table915[CountyName (group)],AW$4)</f>
        <v>0</v>
      </c>
      <c r="AX78" s="1129">
        <f>SUMIFS(Table915[Count of EnergyRating],Table915[MainSpaceHeatingFuel],AL78,Table915[EnergyRating (group)],AM78,Table915[CountyName (group)],AX$4)</f>
        <v>0</v>
      </c>
      <c r="AY78" s="1129">
        <f>SUMIFS(Table915[Count of EnergyRating],Table915[MainSpaceHeatingFuel],AL78,Table915[EnergyRating (group)],AM78,Table915[CountyName (group)],AY$4)</f>
        <v>0</v>
      </c>
      <c r="AZ78" s="1129">
        <f>SUMIFS(Table915[Count of EnergyRating],Table915[MainSpaceHeatingFuel],AL78,Table915[EnergyRating (group)],AM78,Table915[CountyName (group)],AZ$4)</f>
        <v>0</v>
      </c>
      <c r="BA78" s="1129">
        <f>SUMIFS(Table915[Count of EnergyRating],Table915[MainSpaceHeatingFuel],AL78,Table915[EnergyRating (group)],AM78,Table915[CountyName (group)],BA$4)</f>
        <v>0</v>
      </c>
      <c r="BB78" s="1129">
        <f>SUMIFS(Table915[Count of EnergyRating],Table915[MainSpaceHeatingFuel],AL78,Table915[EnergyRating (group)],AM78,Table915[CountyName (group)],BB$4)</f>
        <v>0</v>
      </c>
      <c r="BC78" s="1129">
        <f>SUMIFS(Table915[Count of EnergyRating],Table915[MainSpaceHeatingFuel],AL78,Table915[EnergyRating (group)],AM78,Table915[CountyName (group)],BC$4)</f>
        <v>0</v>
      </c>
      <c r="BD78" s="1129">
        <f>SUMIFS(Table915[Count of EnergyRating],Table915[MainSpaceHeatingFuel],AL78,Table915[EnergyRating (group)],AM78,Table915[CountyName (group)],BD$4)</f>
        <v>0</v>
      </c>
      <c r="BE78" s="1129">
        <f>SUMIFS(Table915[Count of EnergyRating],Table915[MainSpaceHeatingFuel],AL78,Table915[EnergyRating (group)],AM78,Table915[CountyName (group)],BE$4)</f>
        <v>0</v>
      </c>
      <c r="BF78" s="1129">
        <f>SUMIFS(Table915[Count of EnergyRating],Table915[MainSpaceHeatingFuel],AL78,Table915[EnergyRating (group)],AM78,Table915[CountyName (group)],BF$4)</f>
        <v>0</v>
      </c>
      <c r="BG78" s="1129">
        <f>SUMIFS(Table915[Count of EnergyRating],Table915[MainSpaceHeatingFuel],AL78,Table915[EnergyRating (group)],AM78,Table915[CountyName (group)],BG$4)</f>
        <v>0</v>
      </c>
      <c r="BH78" s="1129">
        <f>SUMIFS(Table915[Count of EnergyRating],Table915[MainSpaceHeatingFuel],AL78,Table915[EnergyRating (group)],AM78,Table915[CountyName (group)],BH$4)</f>
        <v>0</v>
      </c>
      <c r="BI78" s="1129">
        <f>SUMIFS(Table915[Count of EnergyRating],Table915[MainSpaceHeatingFuel],AL78,Table915[EnergyRating (group)],AM78,Table915[CountyName (group)],BI$4)</f>
        <v>0</v>
      </c>
      <c r="BJ78" s="1129">
        <f>SUMIFS(Table915[Count of EnergyRating],Table915[MainSpaceHeatingFuel],AL78,Table915[EnergyRating (group)],AM78,Table915[CountyName (group)],BJ$4)</f>
        <v>0</v>
      </c>
      <c r="BK78" s="1135">
        <f>SUMIFS(Table915[Count of EnergyRating],Table915[MainSpaceHeatingFuel],AL78,Table915[EnergyRating (group)],AM78,Table915[CountyName (group)],BK$4)</f>
        <v>0</v>
      </c>
      <c r="BL78" s="1129">
        <f>SUMIFS(Table915[Count of EnergyRating],Table915[MainSpaceHeatingFuel],AL78,Table915[EnergyRating (group)],AM78,Table915[CountyName (group)],BL$4)</f>
        <v>0</v>
      </c>
      <c r="BM78" s="1129">
        <f>SUMIFS(Table915[Count of EnergyRating],Table915[MainSpaceHeatingFuel],AL78,Table915[EnergyRating (group)],AM78,Table915[CountyName (group)],BM$4)</f>
        <v>0</v>
      </c>
      <c r="BO78"/>
    </row>
    <row r="79" spans="2:67">
      <c r="B79" s="1134" t="s">
        <v>1259</v>
      </c>
      <c r="C79" s="1134" t="s">
        <v>1146</v>
      </c>
      <c r="D79" s="1134" t="s">
        <v>1094</v>
      </c>
      <c r="E79" s="1145">
        <f>G232*((SUM(AN$75:AN$78)/SUM(AN$75:AN$83))/(SUM(G$232)/SUM(G$232:G$237)))</f>
        <v>0</v>
      </c>
      <c r="F79" s="1145">
        <f t="shared" ref="F79:AD79" si="235">IFERROR(H232*((SUM(AO$65:AO$68)/SUM(AO$65:AO$73))/(SUM(H$224)/SUM(H$224:H$229))),0)</f>
        <v>0.22536896116258626</v>
      </c>
      <c r="G79" s="1145">
        <f t="shared" si="235"/>
        <v>4.0279686292006907E-2</v>
      </c>
      <c r="H79" s="1145">
        <f t="shared" si="235"/>
        <v>6.1839853553686602E-3</v>
      </c>
      <c r="I79" s="1145">
        <f t="shared" si="235"/>
        <v>1.5609691397181708E-3</v>
      </c>
      <c r="J79" s="1145">
        <f t="shared" si="235"/>
        <v>1.2809490057271182E-3</v>
      </c>
      <c r="K79" s="1145">
        <f t="shared" si="235"/>
        <v>2.0903877335757805E-2</v>
      </c>
      <c r="L79" s="1145">
        <f t="shared" si="235"/>
        <v>3.0182892218600516E-2</v>
      </c>
      <c r="M79" s="1145">
        <f t="shared" si="235"/>
        <v>3.1549963496814576E-3</v>
      </c>
      <c r="N79" s="1145">
        <f t="shared" si="235"/>
        <v>2.4315936492790039E-3</v>
      </c>
      <c r="O79" s="1145">
        <f t="shared" si="235"/>
        <v>7.3363651680584067E-3</v>
      </c>
      <c r="P79" s="1145">
        <f t="shared" si="235"/>
        <v>2.1199139522088718E-2</v>
      </c>
      <c r="Q79" s="1145">
        <f t="shared" si="235"/>
        <v>4.4990486306795176E-3</v>
      </c>
      <c r="R79" s="1145">
        <f t="shared" si="235"/>
        <v>4.785743972005925E-2</v>
      </c>
      <c r="S79" s="1145">
        <f t="shared" si="235"/>
        <v>3.1044956011022033E-3</v>
      </c>
      <c r="T79" s="1145">
        <f t="shared" si="235"/>
        <v>1.3011933576313481E-2</v>
      </c>
      <c r="U79" s="1145">
        <f t="shared" si="235"/>
        <v>7.8549904521895992E-3</v>
      </c>
      <c r="V79" s="1145">
        <f t="shared" si="235"/>
        <v>1.4844523567942219E-2</v>
      </c>
      <c r="W79" s="1145">
        <f t="shared" si="235"/>
        <v>8.3586367061740646E-3</v>
      </c>
      <c r="X79" s="1145">
        <f t="shared" si="235"/>
        <v>1.6957877271552558E-4</v>
      </c>
      <c r="Y79" s="1145">
        <f t="shared" si="235"/>
        <v>3.3142622651147723E-3</v>
      </c>
      <c r="Z79" s="1145">
        <f t="shared" si="235"/>
        <v>7.5782531801320827E-4</v>
      </c>
      <c r="AA79" s="1145">
        <f t="shared" si="235"/>
        <v>2.8324064363749002E-3</v>
      </c>
      <c r="AB79" s="1145">
        <f t="shared" si="235"/>
        <v>1.0875131624167914E-3</v>
      </c>
      <c r="AC79" s="1145">
        <f t="shared" si="235"/>
        <v>3.3654506174385854E-3</v>
      </c>
      <c r="AD79" s="1145">
        <f t="shared" si="235"/>
        <v>2.6846177587624212E-3</v>
      </c>
      <c r="AE79" s="1172">
        <f t="shared" si="4"/>
        <v>0.47362613778416962</v>
      </c>
      <c r="AF79" s="1153"/>
      <c r="AG79" s="1142"/>
      <c r="AH79" s="1142"/>
      <c r="AL79" s="1144" t="s">
        <v>1133</v>
      </c>
      <c r="AM79" s="1144" t="s">
        <v>56</v>
      </c>
      <c r="AN79" s="1135">
        <f>SUMIFS(Table915[Count of EnergyRating],Table915[MainSpaceHeatingFuel],AL79,Table915[EnergyRating (group)],AM79,Table915[CountyName (group)],AN$4)</f>
        <v>0</v>
      </c>
      <c r="AO79" s="1129">
        <f>SUMIFS(Table915[Count of EnergyRating],Table915[MainSpaceHeatingFuel],AL79,Table915[EnergyRating (group)],AM79,Table915[CountyName (group)],AO$4)</f>
        <v>0</v>
      </c>
      <c r="AP79" s="1129">
        <f>SUMIFS(Table915[Count of EnergyRating],Table915[MainSpaceHeatingFuel],AL79,Table915[EnergyRating (group)],AM79,Table915[CountyName (group)],AP$4)</f>
        <v>0</v>
      </c>
      <c r="AQ79" s="1129">
        <f>SUMIFS(Table915[Count of EnergyRating],Table915[MainSpaceHeatingFuel],AL79,Table915[EnergyRating (group)],AM79,Table915[CountyName (group)],AQ$4)</f>
        <v>0</v>
      </c>
      <c r="AR79" s="1129">
        <f>SUMIFS(Table915[Count of EnergyRating],Table915[MainSpaceHeatingFuel],AL79,Table915[EnergyRating (group)],AM79,Table915[CountyName (group)],AR$4)</f>
        <v>1</v>
      </c>
      <c r="AS79" s="1129">
        <f>SUMIFS(Table915[Count of EnergyRating],Table915[MainSpaceHeatingFuel],AL79,Table915[EnergyRating (group)],AM79,Table915[CountyName (group)],AS$4)</f>
        <v>1</v>
      </c>
      <c r="AT79" s="1129">
        <f>SUMIFS(Table915[Count of EnergyRating],Table915[MainSpaceHeatingFuel],AL79,Table915[EnergyRating (group)],AM79,Table915[CountyName (group)],AT$4)</f>
        <v>0</v>
      </c>
      <c r="AU79" s="1129">
        <f>SUMIFS(Table915[Count of EnergyRating],Table915[MainSpaceHeatingFuel],AL79,Table915[EnergyRating (group)],AM79,Table915[CountyName (group)],AU$4)</f>
        <v>0</v>
      </c>
      <c r="AV79" s="1129">
        <f>SUMIFS(Table915[Count of EnergyRating],Table915[MainSpaceHeatingFuel],AL79,Table915[EnergyRating (group)],AM79,Table915[CountyName (group)],AV$4)</f>
        <v>0</v>
      </c>
      <c r="AW79" s="1129">
        <f>SUMIFS(Table915[Count of EnergyRating],Table915[MainSpaceHeatingFuel],AL79,Table915[EnergyRating (group)],AM79,Table915[CountyName (group)],AW$4)</f>
        <v>1</v>
      </c>
      <c r="AX79" s="1129">
        <f>SUMIFS(Table915[Count of EnergyRating],Table915[MainSpaceHeatingFuel],AL79,Table915[EnergyRating (group)],AM79,Table915[CountyName (group)],AX$4)</f>
        <v>0</v>
      </c>
      <c r="AY79" s="1129">
        <f>SUMIFS(Table915[Count of EnergyRating],Table915[MainSpaceHeatingFuel],AL79,Table915[EnergyRating (group)],AM79,Table915[CountyName (group)],AY$4)</f>
        <v>0</v>
      </c>
      <c r="AZ79" s="1129">
        <f>SUMIFS(Table915[Count of EnergyRating],Table915[MainSpaceHeatingFuel],AL79,Table915[EnergyRating (group)],AM79,Table915[CountyName (group)],AZ$4)</f>
        <v>9</v>
      </c>
      <c r="BA79" s="1129">
        <f>SUMIFS(Table915[Count of EnergyRating],Table915[MainSpaceHeatingFuel],AL79,Table915[EnergyRating (group)],AM79,Table915[CountyName (group)],BA$4)</f>
        <v>0</v>
      </c>
      <c r="BB79" s="1129">
        <f>SUMIFS(Table915[Count of EnergyRating],Table915[MainSpaceHeatingFuel],AL79,Table915[EnergyRating (group)],AM79,Table915[CountyName (group)],BB$4)</f>
        <v>0</v>
      </c>
      <c r="BC79" s="1129">
        <f>SUMIFS(Table915[Count of EnergyRating],Table915[MainSpaceHeatingFuel],AL79,Table915[EnergyRating (group)],AM79,Table915[CountyName (group)],BC$4)</f>
        <v>0</v>
      </c>
      <c r="BD79" s="1129">
        <f>SUMIFS(Table915[Count of EnergyRating],Table915[MainSpaceHeatingFuel],AL79,Table915[EnergyRating (group)],AM79,Table915[CountyName (group)],BD$4)</f>
        <v>1</v>
      </c>
      <c r="BE79" s="1129">
        <f>SUMIFS(Table915[Count of EnergyRating],Table915[MainSpaceHeatingFuel],AL79,Table915[EnergyRating (group)],AM79,Table915[CountyName (group)],BE$4)</f>
        <v>1</v>
      </c>
      <c r="BF79" s="1129">
        <f>SUMIFS(Table915[Count of EnergyRating],Table915[MainSpaceHeatingFuel],AL79,Table915[EnergyRating (group)],AM79,Table915[CountyName (group)],BF$4)</f>
        <v>2</v>
      </c>
      <c r="BG79" s="1129">
        <f>SUMIFS(Table915[Count of EnergyRating],Table915[MainSpaceHeatingFuel],AL79,Table915[EnergyRating (group)],AM79,Table915[CountyName (group)],BG$4)</f>
        <v>0</v>
      </c>
      <c r="BH79" s="1129">
        <f>SUMIFS(Table915[Count of EnergyRating],Table915[MainSpaceHeatingFuel],AL79,Table915[EnergyRating (group)],AM79,Table915[CountyName (group)],BH$4)</f>
        <v>1</v>
      </c>
      <c r="BI79" s="1129">
        <f>SUMIFS(Table915[Count of EnergyRating],Table915[MainSpaceHeatingFuel],AL79,Table915[EnergyRating (group)],AM79,Table915[CountyName (group)],BI$4)</f>
        <v>1</v>
      </c>
      <c r="BJ79" s="1129">
        <f>SUMIFS(Table915[Count of EnergyRating],Table915[MainSpaceHeatingFuel],AL79,Table915[EnergyRating (group)],AM79,Table915[CountyName (group)],BJ$4)</f>
        <v>0</v>
      </c>
      <c r="BK79" s="1135">
        <f>SUMIFS(Table915[Count of EnergyRating],Table915[MainSpaceHeatingFuel],AL79,Table915[EnergyRating (group)],AM79,Table915[CountyName (group)],BK$4)</f>
        <v>0</v>
      </c>
      <c r="BL79" s="1129">
        <f>SUMIFS(Table915[Count of EnergyRating],Table915[MainSpaceHeatingFuel],AL79,Table915[EnergyRating (group)],AM79,Table915[CountyName (group)],BL$4)</f>
        <v>0</v>
      </c>
      <c r="BM79" s="1129">
        <f>SUMIFS(Table915[Count of EnergyRating],Table915[MainSpaceHeatingFuel],AL79,Table915[EnergyRating (group)],AM79,Table915[CountyName (group)],BM$4)</f>
        <v>0</v>
      </c>
      <c r="BO79"/>
    </row>
    <row r="80" spans="2:67">
      <c r="B80" s="1136" t="s">
        <v>56</v>
      </c>
      <c r="C80" s="1136" t="s">
        <v>1146</v>
      </c>
      <c r="D80" s="1136" t="s">
        <v>1094</v>
      </c>
      <c r="E80" s="1146">
        <f>G233*((SUM(AN$76)/SUM(AN$75:AN$83))/(SUM(G$233)/SUM(G$232:G$237)))</f>
        <v>0</v>
      </c>
      <c r="F80" s="1146">
        <f t="shared" ref="F80:AD80" si="236">IFERROR(H233*((SUM(AO$69)/SUM(AO$65:AO$73))/(SUM(H$225)/SUM(H$224:H$229))),0)</f>
        <v>2.123302355339253E-2</v>
      </c>
      <c r="G80" s="1146">
        <f t="shared" si="236"/>
        <v>1.7736793679718952E-3</v>
      </c>
      <c r="H80" s="1146">
        <f t="shared" si="236"/>
        <v>1.4655687836422834E-3</v>
      </c>
      <c r="I80" s="1146">
        <f t="shared" si="236"/>
        <v>1.4190628542892463E-3</v>
      </c>
      <c r="J80" s="1146">
        <f t="shared" si="236"/>
        <v>6.9869945766933711E-4</v>
      </c>
      <c r="K80" s="1146">
        <f t="shared" si="236"/>
        <v>7.6647550231111975E-4</v>
      </c>
      <c r="L80" s="1146">
        <f t="shared" si="236"/>
        <v>8.976324823375617E-4</v>
      </c>
      <c r="M80" s="1146">
        <f t="shared" si="236"/>
        <v>1.4022205998584255E-3</v>
      </c>
      <c r="N80" s="1146">
        <f t="shared" si="236"/>
        <v>2.4315936492790039E-3</v>
      </c>
      <c r="O80" s="1146">
        <f t="shared" si="236"/>
        <v>1.3811738824951038E-3</v>
      </c>
      <c r="P80" s="1146">
        <f t="shared" si="236"/>
        <v>8.6341618632301321E-4</v>
      </c>
      <c r="Q80" s="1146">
        <f t="shared" si="236"/>
        <v>2.5404110802543828E-3</v>
      </c>
      <c r="R80" s="1146">
        <f t="shared" si="236"/>
        <v>1.0304647756369814E-2</v>
      </c>
      <c r="S80" s="1146">
        <f t="shared" si="236"/>
        <v>2.4050637858341181E-3</v>
      </c>
      <c r="T80" s="1146">
        <f t="shared" si="236"/>
        <v>4.4633958197819491E-3</v>
      </c>
      <c r="U80" s="1146">
        <f t="shared" si="236"/>
        <v>1.6081082815506264E-3</v>
      </c>
      <c r="V80" s="1146">
        <f t="shared" si="236"/>
        <v>1.841861122167129E-3</v>
      </c>
      <c r="W80" s="1146">
        <f t="shared" si="236"/>
        <v>3.4109234989320178E-3</v>
      </c>
      <c r="X80" s="1146">
        <f t="shared" si="236"/>
        <v>8.0549917039874643E-4</v>
      </c>
      <c r="Y80" s="1146">
        <f t="shared" si="236"/>
        <v>5.8060068877923028E-4</v>
      </c>
      <c r="Z80" s="1146">
        <f t="shared" si="236"/>
        <v>3.0313012720528329E-4</v>
      </c>
      <c r="AA80" s="1146">
        <f t="shared" si="236"/>
        <v>1.0483582264504503E-3</v>
      </c>
      <c r="AB80" s="1146">
        <f t="shared" si="236"/>
        <v>8.8036779814692611E-4</v>
      </c>
      <c r="AC80" s="1146">
        <f t="shared" si="236"/>
        <v>9.2992714429224047E-4</v>
      </c>
      <c r="AD80" s="1146">
        <f t="shared" si="236"/>
        <v>8.1903592640209454E-4</v>
      </c>
      <c r="AE80" s="1173">
        <f t="shared" ref="AE80:AE115" si="237">SUM(E80:AD80)</f>
        <v>6.6273876746134538E-2</v>
      </c>
      <c r="AF80" s="1153"/>
      <c r="AG80" s="1142"/>
      <c r="AH80" s="1142"/>
      <c r="AL80" s="1144" t="s">
        <v>1133</v>
      </c>
      <c r="AM80" s="1144" t="s">
        <v>58</v>
      </c>
      <c r="AN80" s="1135">
        <f>SUMIFS(Table915[Count of EnergyRating],Table915[MainSpaceHeatingFuel],AL80,Table915[EnergyRating (group)],AM80,Table915[CountyName (group)],AN$4)</f>
        <v>1</v>
      </c>
      <c r="AO80" s="1129">
        <f>SUMIFS(Table915[Count of EnergyRating],Table915[MainSpaceHeatingFuel],AL80,Table915[EnergyRating (group)],AM80,Table915[CountyName (group)],AO$4)</f>
        <v>0</v>
      </c>
      <c r="AP80" s="1129">
        <f>SUMIFS(Table915[Count of EnergyRating],Table915[MainSpaceHeatingFuel],AL80,Table915[EnergyRating (group)],AM80,Table915[CountyName (group)],AP$4)</f>
        <v>5</v>
      </c>
      <c r="AQ80" s="1129">
        <f>SUMIFS(Table915[Count of EnergyRating],Table915[MainSpaceHeatingFuel],AL80,Table915[EnergyRating (group)],AM80,Table915[CountyName (group)],AQ$4)</f>
        <v>1</v>
      </c>
      <c r="AR80" s="1129">
        <f>SUMIFS(Table915[Count of EnergyRating],Table915[MainSpaceHeatingFuel],AL80,Table915[EnergyRating (group)],AM80,Table915[CountyName (group)],AR$4)</f>
        <v>19</v>
      </c>
      <c r="AS80" s="1129">
        <f>SUMIFS(Table915[Count of EnergyRating],Table915[MainSpaceHeatingFuel],AL80,Table915[EnergyRating (group)],AM80,Table915[CountyName (group)],AS$4)</f>
        <v>0</v>
      </c>
      <c r="AT80" s="1129">
        <f>SUMIFS(Table915[Count of EnergyRating],Table915[MainSpaceHeatingFuel],AL80,Table915[EnergyRating (group)],AM80,Table915[CountyName (group)],AT$4)</f>
        <v>0</v>
      </c>
      <c r="AU80" s="1129">
        <f>SUMIFS(Table915[Count of EnergyRating],Table915[MainSpaceHeatingFuel],AL80,Table915[EnergyRating (group)],AM80,Table915[CountyName (group)],AU$4)</f>
        <v>2</v>
      </c>
      <c r="AV80" s="1129">
        <f>SUMIFS(Table915[Count of EnergyRating],Table915[MainSpaceHeatingFuel],AL80,Table915[EnergyRating (group)],AM80,Table915[CountyName (group)],AV$4)</f>
        <v>26</v>
      </c>
      <c r="AW80" s="1129">
        <f>SUMIFS(Table915[Count of EnergyRating],Table915[MainSpaceHeatingFuel],AL80,Table915[EnergyRating (group)],AM80,Table915[CountyName (group)],AW$4)</f>
        <v>43</v>
      </c>
      <c r="AX80" s="1129">
        <f>SUMIFS(Table915[Count of EnergyRating],Table915[MainSpaceHeatingFuel],AL80,Table915[EnergyRating (group)],AM80,Table915[CountyName (group)],AX$4)</f>
        <v>2</v>
      </c>
      <c r="AY80" s="1129">
        <f>SUMIFS(Table915[Count of EnergyRating],Table915[MainSpaceHeatingFuel],AL80,Table915[EnergyRating (group)],AM80,Table915[CountyName (group)],AY$4)</f>
        <v>0</v>
      </c>
      <c r="AZ80" s="1129">
        <f>SUMIFS(Table915[Count of EnergyRating],Table915[MainSpaceHeatingFuel],AL80,Table915[EnergyRating (group)],AM80,Table915[CountyName (group)],AZ$4)</f>
        <v>7</v>
      </c>
      <c r="BA80" s="1129">
        <f>SUMIFS(Table915[Count of EnergyRating],Table915[MainSpaceHeatingFuel],AL80,Table915[EnergyRating (group)],AM80,Table915[CountyName (group)],BA$4)</f>
        <v>0</v>
      </c>
      <c r="BB80" s="1129">
        <f>SUMIFS(Table915[Count of EnergyRating],Table915[MainSpaceHeatingFuel],AL80,Table915[EnergyRating (group)],AM80,Table915[CountyName (group)],BB$4)</f>
        <v>1</v>
      </c>
      <c r="BC80" s="1129">
        <f>SUMIFS(Table915[Count of EnergyRating],Table915[MainSpaceHeatingFuel],AL80,Table915[EnergyRating (group)],AM80,Table915[CountyName (group)],BC$4)</f>
        <v>0</v>
      </c>
      <c r="BD80" s="1129">
        <f>SUMIFS(Table915[Count of EnergyRating],Table915[MainSpaceHeatingFuel],AL80,Table915[EnergyRating (group)],AM80,Table915[CountyName (group)],BD$4)</f>
        <v>13</v>
      </c>
      <c r="BE80" s="1129">
        <f>SUMIFS(Table915[Count of EnergyRating],Table915[MainSpaceHeatingFuel],AL80,Table915[EnergyRating (group)],AM80,Table915[CountyName (group)],BE$4)</f>
        <v>0</v>
      </c>
      <c r="BF80" s="1129">
        <f>SUMIFS(Table915[Count of EnergyRating],Table915[MainSpaceHeatingFuel],AL80,Table915[EnergyRating (group)],AM80,Table915[CountyName (group)],BF$4)</f>
        <v>5</v>
      </c>
      <c r="BG80" s="1129">
        <f>SUMIFS(Table915[Count of EnergyRating],Table915[MainSpaceHeatingFuel],AL80,Table915[EnergyRating (group)],AM80,Table915[CountyName (group)],BG$4)</f>
        <v>0</v>
      </c>
      <c r="BH80" s="1129">
        <f>SUMIFS(Table915[Count of EnergyRating],Table915[MainSpaceHeatingFuel],AL80,Table915[EnergyRating (group)],AM80,Table915[CountyName (group)],BH$4)</f>
        <v>10</v>
      </c>
      <c r="BI80" s="1129">
        <f>SUMIFS(Table915[Count of EnergyRating],Table915[MainSpaceHeatingFuel],AL80,Table915[EnergyRating (group)],AM80,Table915[CountyName (group)],BI$4)</f>
        <v>2</v>
      </c>
      <c r="BJ80" s="1129">
        <f>SUMIFS(Table915[Count of EnergyRating],Table915[MainSpaceHeatingFuel],AL80,Table915[EnergyRating (group)],AM80,Table915[CountyName (group)],BJ$4)</f>
        <v>0</v>
      </c>
      <c r="BK80" s="1135">
        <f>SUMIFS(Table915[Count of EnergyRating],Table915[MainSpaceHeatingFuel],AL80,Table915[EnergyRating (group)],AM80,Table915[CountyName (group)],BK$4)</f>
        <v>0</v>
      </c>
      <c r="BL80" s="1129">
        <f>SUMIFS(Table915[Count of EnergyRating],Table915[MainSpaceHeatingFuel],AL80,Table915[EnergyRating (group)],AM80,Table915[CountyName (group)],BL$4)</f>
        <v>2</v>
      </c>
      <c r="BM80" s="1129">
        <f>SUMIFS(Table915[Count of EnergyRating],Table915[MainSpaceHeatingFuel],AL80,Table915[EnergyRating (group)],AM80,Table915[CountyName (group)],BM$4)</f>
        <v>0</v>
      </c>
      <c r="BO80"/>
    </row>
    <row r="81" spans="2:67">
      <c r="B81" s="1134" t="s">
        <v>58</v>
      </c>
      <c r="C81" s="1134" t="s">
        <v>1146</v>
      </c>
      <c r="D81" s="1134" t="s">
        <v>1094</v>
      </c>
      <c r="E81" s="1145">
        <f>G234*((SUM(AN$80)/SUM(AN$75:AN$83))/(SUM(G$234)/SUM(G$232:G$237)))</f>
        <v>3.362865731355118E-3</v>
      </c>
      <c r="F81" s="1145">
        <f t="shared" ref="F81:AD81" si="238">IFERROR(H234*((SUM(AO$70)/SUM(AO$65:AO$73))/(SUM(H$226)/SUM(H$224:H$229))),0)</f>
        <v>5.5195553945833503E-2</v>
      </c>
      <c r="G81" s="1145">
        <f t="shared" si="238"/>
        <v>6.2650932513845957E-3</v>
      </c>
      <c r="H81" s="1145">
        <f t="shared" si="238"/>
        <v>2.1804803854190069E-3</v>
      </c>
      <c r="I81" s="1145">
        <f t="shared" si="238"/>
        <v>4.5410011337255881E-3</v>
      </c>
      <c r="J81" s="1145">
        <f t="shared" si="238"/>
        <v>3.458562315463219E-3</v>
      </c>
      <c r="K81" s="1145">
        <f t="shared" si="238"/>
        <v>1.9510285513373957E-3</v>
      </c>
      <c r="L81" s="1145">
        <f t="shared" si="238"/>
        <v>3.3287204553351249E-3</v>
      </c>
      <c r="M81" s="1145">
        <f t="shared" si="238"/>
        <v>3.6557894210594668E-3</v>
      </c>
      <c r="N81" s="1145">
        <f t="shared" si="238"/>
        <v>4.4000266034572456E-3</v>
      </c>
      <c r="O81" s="1145">
        <f t="shared" si="238"/>
        <v>6.7264961809826466E-3</v>
      </c>
      <c r="P81" s="1145">
        <f t="shared" si="238"/>
        <v>3.3400573523548133E-3</v>
      </c>
      <c r="Q81" s="1145">
        <f t="shared" si="238"/>
        <v>7.0394597109339008E-3</v>
      </c>
      <c r="R81" s="1145">
        <f t="shared" si="238"/>
        <v>2.2918460276071799E-2</v>
      </c>
      <c r="S81" s="1145">
        <f t="shared" si="238"/>
        <v>7.9637061071752176E-3</v>
      </c>
      <c r="T81" s="1145">
        <f t="shared" si="238"/>
        <v>6.7329191179761605E-3</v>
      </c>
      <c r="U81" s="1145">
        <f t="shared" si="238"/>
        <v>6.4633582854630956E-3</v>
      </c>
      <c r="V81" s="1145">
        <f t="shared" si="238"/>
        <v>4.122260606755003E-3</v>
      </c>
      <c r="W81" s="1145">
        <f t="shared" si="238"/>
        <v>1.4187192795008446E-2</v>
      </c>
      <c r="X81" s="1145">
        <f t="shared" si="238"/>
        <v>1.8653664998707813E-3</v>
      </c>
      <c r="Y81" s="1145">
        <f t="shared" si="238"/>
        <v>3.9190546492598038E-3</v>
      </c>
      <c r="Z81" s="1145">
        <f t="shared" si="238"/>
        <v>2.2166390551886339E-3</v>
      </c>
      <c r="AA81" s="1145">
        <f t="shared" si="238"/>
        <v>3.58648866943575E-3</v>
      </c>
      <c r="AB81" s="1145">
        <f t="shared" si="238"/>
        <v>3.8321892389925022E-3</v>
      </c>
      <c r="AC81" s="1145">
        <f t="shared" si="238"/>
        <v>6.5094900100456836E-3</v>
      </c>
      <c r="AD81" s="1145">
        <f t="shared" si="238"/>
        <v>2.1840958037389192E-3</v>
      </c>
      <c r="AE81" s="1172">
        <f t="shared" si="237"/>
        <v>0.19194635615362346</v>
      </c>
      <c r="AF81" s="1179"/>
      <c r="AG81" s="1142"/>
      <c r="AH81" s="1142"/>
      <c r="AL81" s="1144" t="s">
        <v>1133</v>
      </c>
      <c r="AM81" s="1144" t="s">
        <v>60</v>
      </c>
      <c r="AN81" s="1135">
        <f>SUMIFS(Table915[Count of EnergyRating],Table915[MainSpaceHeatingFuel],AL81,Table915[EnergyRating (group)],AM81,Table915[CountyName (group)],AN$4)</f>
        <v>0</v>
      </c>
      <c r="AO81" s="1129">
        <f>SUMIFS(Table915[Count of EnergyRating],Table915[MainSpaceHeatingFuel],AL81,Table915[EnergyRating (group)],AM81,Table915[CountyName (group)],AO$4)</f>
        <v>1</v>
      </c>
      <c r="AP81" s="1129">
        <f>SUMIFS(Table915[Count of EnergyRating],Table915[MainSpaceHeatingFuel],AL81,Table915[EnergyRating (group)],AM81,Table915[CountyName (group)],AP$4)</f>
        <v>6</v>
      </c>
      <c r="AQ81" s="1129">
        <f>SUMIFS(Table915[Count of EnergyRating],Table915[MainSpaceHeatingFuel],AL81,Table915[EnergyRating (group)],AM81,Table915[CountyName (group)],AQ$4)</f>
        <v>2</v>
      </c>
      <c r="AR81" s="1129">
        <f>SUMIFS(Table915[Count of EnergyRating],Table915[MainSpaceHeatingFuel],AL81,Table915[EnergyRating (group)],AM81,Table915[CountyName (group)],AR$4)</f>
        <v>68</v>
      </c>
      <c r="AS81" s="1129">
        <f>SUMIFS(Table915[Count of EnergyRating],Table915[MainSpaceHeatingFuel],AL81,Table915[EnergyRating (group)],AM81,Table915[CountyName (group)],AS$4)</f>
        <v>4</v>
      </c>
      <c r="AT81" s="1129">
        <f>SUMIFS(Table915[Count of EnergyRating],Table915[MainSpaceHeatingFuel],AL81,Table915[EnergyRating (group)],AM81,Table915[CountyName (group)],AT$4)</f>
        <v>1</v>
      </c>
      <c r="AU81" s="1129">
        <f>SUMIFS(Table915[Count of EnergyRating],Table915[MainSpaceHeatingFuel],AL81,Table915[EnergyRating (group)],AM81,Table915[CountyName (group)],AU$4)</f>
        <v>2</v>
      </c>
      <c r="AV81" s="1129">
        <f>SUMIFS(Table915[Count of EnergyRating],Table915[MainSpaceHeatingFuel],AL81,Table915[EnergyRating (group)],AM81,Table915[CountyName (group)],AV$4)</f>
        <v>56</v>
      </c>
      <c r="AW81" s="1129">
        <f>SUMIFS(Table915[Count of EnergyRating],Table915[MainSpaceHeatingFuel],AL81,Table915[EnergyRating (group)],AM81,Table915[CountyName (group)],AW$4)</f>
        <v>24</v>
      </c>
      <c r="AX81" s="1129">
        <f>SUMIFS(Table915[Count of EnergyRating],Table915[MainSpaceHeatingFuel],AL81,Table915[EnergyRating (group)],AM81,Table915[CountyName (group)],AX$4)</f>
        <v>1</v>
      </c>
      <c r="AY81" s="1129">
        <f>SUMIFS(Table915[Count of EnergyRating],Table915[MainSpaceHeatingFuel],AL81,Table915[EnergyRating (group)],AM81,Table915[CountyName (group)],AY$4)</f>
        <v>0</v>
      </c>
      <c r="AZ81" s="1129">
        <f>SUMIFS(Table915[Count of EnergyRating],Table915[MainSpaceHeatingFuel],AL81,Table915[EnergyRating (group)],AM81,Table915[CountyName (group)],AZ$4)</f>
        <v>1</v>
      </c>
      <c r="BA81" s="1129">
        <f>SUMIFS(Table915[Count of EnergyRating],Table915[MainSpaceHeatingFuel],AL81,Table915[EnergyRating (group)],AM81,Table915[CountyName (group)],BA$4)</f>
        <v>0</v>
      </c>
      <c r="BB81" s="1129">
        <f>SUMIFS(Table915[Count of EnergyRating],Table915[MainSpaceHeatingFuel],AL81,Table915[EnergyRating (group)],AM81,Table915[CountyName (group)],BB$4)</f>
        <v>3</v>
      </c>
      <c r="BC81" s="1129">
        <f>SUMIFS(Table915[Count of EnergyRating],Table915[MainSpaceHeatingFuel],AL81,Table915[EnergyRating (group)],AM81,Table915[CountyName (group)],BC$4)</f>
        <v>0</v>
      </c>
      <c r="BD81" s="1129">
        <f>SUMIFS(Table915[Count of EnergyRating],Table915[MainSpaceHeatingFuel],AL81,Table915[EnergyRating (group)],AM81,Table915[CountyName (group)],BD$4)</f>
        <v>17</v>
      </c>
      <c r="BE81" s="1129">
        <f>SUMIFS(Table915[Count of EnergyRating],Table915[MainSpaceHeatingFuel],AL81,Table915[EnergyRating (group)],AM81,Table915[CountyName (group)],BE$4)</f>
        <v>0</v>
      </c>
      <c r="BF81" s="1129">
        <f>SUMIFS(Table915[Count of EnergyRating],Table915[MainSpaceHeatingFuel],AL81,Table915[EnergyRating (group)],AM81,Table915[CountyName (group)],BF$4)</f>
        <v>18</v>
      </c>
      <c r="BG81" s="1129">
        <f>SUMIFS(Table915[Count of EnergyRating],Table915[MainSpaceHeatingFuel],AL81,Table915[EnergyRating (group)],AM81,Table915[CountyName (group)],BG$4)</f>
        <v>1</v>
      </c>
      <c r="BH81" s="1129">
        <f>SUMIFS(Table915[Count of EnergyRating],Table915[MainSpaceHeatingFuel],AL81,Table915[EnergyRating (group)],AM81,Table915[CountyName (group)],BH$4)</f>
        <v>12</v>
      </c>
      <c r="BI81" s="1129">
        <f>SUMIFS(Table915[Count of EnergyRating],Table915[MainSpaceHeatingFuel],AL81,Table915[EnergyRating (group)],AM81,Table915[CountyName (group)],BI$4)</f>
        <v>7</v>
      </c>
      <c r="BJ81" s="1129">
        <f>SUMIFS(Table915[Count of EnergyRating],Table915[MainSpaceHeatingFuel],AL81,Table915[EnergyRating (group)],AM81,Table915[CountyName (group)],BJ$4)</f>
        <v>1</v>
      </c>
      <c r="BK81" s="1135">
        <f>SUMIFS(Table915[Count of EnergyRating],Table915[MainSpaceHeatingFuel],AL81,Table915[EnergyRating (group)],AM81,Table915[CountyName (group)],BK$4)</f>
        <v>1</v>
      </c>
      <c r="BL81" s="1129">
        <f>SUMIFS(Table915[Count of EnergyRating],Table915[MainSpaceHeatingFuel],AL81,Table915[EnergyRating (group)],AM81,Table915[CountyName (group)],BL$4)</f>
        <v>2</v>
      </c>
      <c r="BM81" s="1129">
        <f>SUMIFS(Table915[Count of EnergyRating],Table915[MainSpaceHeatingFuel],AL81,Table915[EnergyRating (group)],AM81,Table915[CountyName (group)],BM$4)</f>
        <v>0</v>
      </c>
      <c r="BO81"/>
    </row>
    <row r="82" spans="2:67">
      <c r="B82" s="1136" t="s">
        <v>60</v>
      </c>
      <c r="C82" s="1136" t="s">
        <v>1146</v>
      </c>
      <c r="D82" s="1136" t="s">
        <v>1094</v>
      </c>
      <c r="E82" s="1146">
        <f>G235*((SUM(AN$81)/SUM(AN$75:AN$83))/(SUM(G$235)/SUM(G$232:G$237)))</f>
        <v>0</v>
      </c>
      <c r="F82" s="1146">
        <f t="shared" ref="F82:AD82" si="239">IFERROR(H235*((SUM(AO$71)/SUM(AO$65:AO$73))/(SUM(H$227)/SUM(H$224:H$229))),0)</f>
        <v>4.5712844397716453E-2</v>
      </c>
      <c r="G82" s="1146">
        <f t="shared" si="239"/>
        <v>4.1767288342563977E-3</v>
      </c>
      <c r="H82" s="1146">
        <f t="shared" si="239"/>
        <v>3.5030668487059458E-3</v>
      </c>
      <c r="I82" s="1146">
        <f t="shared" si="239"/>
        <v>3.121938279436342E-3</v>
      </c>
      <c r="J82" s="1146">
        <f t="shared" si="239"/>
        <v>9.7817924073707201E-4</v>
      </c>
      <c r="K82" s="1146">
        <f t="shared" si="239"/>
        <v>1.7419897779798179E-3</v>
      </c>
      <c r="L82" s="1146">
        <f t="shared" si="239"/>
        <v>1.8700676715365872E-3</v>
      </c>
      <c r="M82" s="1146">
        <f t="shared" si="239"/>
        <v>2.9546791211302543E-3</v>
      </c>
      <c r="N82" s="1146">
        <f t="shared" si="239"/>
        <v>2.7210690837169808E-3</v>
      </c>
      <c r="O82" s="1146">
        <f t="shared" si="239"/>
        <v>4.6816413419639227E-3</v>
      </c>
      <c r="P82" s="1146">
        <f t="shared" si="239"/>
        <v>3.2264499594175751E-3</v>
      </c>
      <c r="Q82" s="1146">
        <f t="shared" si="239"/>
        <v>4.8481127485770674E-3</v>
      </c>
      <c r="R82" s="1146">
        <f t="shared" si="239"/>
        <v>1.8098078832615893E-2</v>
      </c>
      <c r="S82" s="1146">
        <f t="shared" si="239"/>
        <v>4.9082934404777925E-3</v>
      </c>
      <c r="T82" s="1146">
        <f t="shared" si="239"/>
        <v>9.342870910899503E-3</v>
      </c>
      <c r="U82" s="1146">
        <f t="shared" si="239"/>
        <v>4.7315493668701122E-3</v>
      </c>
      <c r="V82" s="1146">
        <f t="shared" si="239"/>
        <v>3.771429916818407E-3</v>
      </c>
      <c r="W82" s="1146">
        <f t="shared" si="239"/>
        <v>7.7401725552688101E-3</v>
      </c>
      <c r="X82" s="1146">
        <f t="shared" si="239"/>
        <v>4.3807849618177449E-4</v>
      </c>
      <c r="Y82" s="1146">
        <f t="shared" si="239"/>
        <v>3.894862953894004E-3</v>
      </c>
      <c r="Z82" s="1146">
        <f t="shared" si="239"/>
        <v>2.5008235494435871E-3</v>
      </c>
      <c r="AA82" s="1146">
        <f t="shared" si="239"/>
        <v>3.1082901801776502E-3</v>
      </c>
      <c r="AB82" s="1146">
        <f t="shared" si="239"/>
        <v>2.1750263248335828E-3</v>
      </c>
      <c r="AC82" s="1146">
        <f t="shared" si="239"/>
        <v>3.7639908221352592E-3</v>
      </c>
      <c r="AD82" s="1146">
        <f t="shared" si="239"/>
        <v>1.6380718528041897E-3</v>
      </c>
      <c r="AE82" s="1173">
        <f t="shared" si="237"/>
        <v>0.14564830650759494</v>
      </c>
      <c r="AF82" s="1179"/>
      <c r="AG82" s="1142"/>
      <c r="AH82" s="1142"/>
      <c r="AL82" s="1144" t="s">
        <v>1133</v>
      </c>
      <c r="AM82" s="1144" t="s">
        <v>62</v>
      </c>
      <c r="AN82" s="1135">
        <f>SUMIFS(Table915[Count of EnergyRating],Table915[MainSpaceHeatingFuel],AL82,Table915[EnergyRating (group)],AM82,Table915[CountyName (group)],AN$4)</f>
        <v>0</v>
      </c>
      <c r="AO82" s="1129">
        <f>SUMIFS(Table915[Count of EnergyRating],Table915[MainSpaceHeatingFuel],AL82,Table915[EnergyRating (group)],AM82,Table915[CountyName (group)],AO$4)</f>
        <v>0</v>
      </c>
      <c r="AP82" s="1129">
        <f>SUMIFS(Table915[Count of EnergyRating],Table915[MainSpaceHeatingFuel],AL82,Table915[EnergyRating (group)],AM82,Table915[CountyName (group)],AP$4)</f>
        <v>17</v>
      </c>
      <c r="AQ82" s="1129">
        <f>SUMIFS(Table915[Count of EnergyRating],Table915[MainSpaceHeatingFuel],AL82,Table915[EnergyRating (group)],AM82,Table915[CountyName (group)],AQ$4)</f>
        <v>1</v>
      </c>
      <c r="AR82" s="1129">
        <f>SUMIFS(Table915[Count of EnergyRating],Table915[MainSpaceHeatingFuel],AL82,Table915[EnergyRating (group)],AM82,Table915[CountyName (group)],AR$4)</f>
        <v>29</v>
      </c>
      <c r="AS82" s="1129">
        <f>SUMIFS(Table915[Count of EnergyRating],Table915[MainSpaceHeatingFuel],AL82,Table915[EnergyRating (group)],AM82,Table915[CountyName (group)],AS$4)</f>
        <v>1</v>
      </c>
      <c r="AT82" s="1129">
        <f>SUMIFS(Table915[Count of EnergyRating],Table915[MainSpaceHeatingFuel],AL82,Table915[EnergyRating (group)],AM82,Table915[CountyName (group)],AT$4)</f>
        <v>0</v>
      </c>
      <c r="AU82" s="1129">
        <f>SUMIFS(Table915[Count of EnergyRating],Table915[MainSpaceHeatingFuel],AL82,Table915[EnergyRating (group)],AM82,Table915[CountyName (group)],AU$4)</f>
        <v>2</v>
      </c>
      <c r="AV82" s="1129">
        <f>SUMIFS(Table915[Count of EnergyRating],Table915[MainSpaceHeatingFuel],AL82,Table915[EnergyRating (group)],AM82,Table915[CountyName (group)],AV$4)</f>
        <v>23</v>
      </c>
      <c r="AW82" s="1129">
        <f>SUMIFS(Table915[Count of EnergyRating],Table915[MainSpaceHeatingFuel],AL82,Table915[EnergyRating (group)],AM82,Table915[CountyName (group)],AW$4)</f>
        <v>11</v>
      </c>
      <c r="AX82" s="1129">
        <f>SUMIFS(Table915[Count of EnergyRating],Table915[MainSpaceHeatingFuel],AL82,Table915[EnergyRating (group)],AM82,Table915[CountyName (group)],AX$4)</f>
        <v>0</v>
      </c>
      <c r="AY82" s="1129">
        <f>SUMIFS(Table915[Count of EnergyRating],Table915[MainSpaceHeatingFuel],AL82,Table915[EnergyRating (group)],AM82,Table915[CountyName (group)],AY$4)</f>
        <v>0</v>
      </c>
      <c r="AZ82" s="1129">
        <f>SUMIFS(Table915[Count of EnergyRating],Table915[MainSpaceHeatingFuel],AL82,Table915[EnergyRating (group)],AM82,Table915[CountyName (group)],AZ$4)</f>
        <v>1</v>
      </c>
      <c r="BA82" s="1129">
        <f>SUMIFS(Table915[Count of EnergyRating],Table915[MainSpaceHeatingFuel],AL82,Table915[EnergyRating (group)],AM82,Table915[CountyName (group)],BA$4)</f>
        <v>0</v>
      </c>
      <c r="BB82" s="1129">
        <f>SUMIFS(Table915[Count of EnergyRating],Table915[MainSpaceHeatingFuel],AL82,Table915[EnergyRating (group)],AM82,Table915[CountyName (group)],BB$4)</f>
        <v>2</v>
      </c>
      <c r="BC82" s="1129">
        <f>SUMIFS(Table915[Count of EnergyRating],Table915[MainSpaceHeatingFuel],AL82,Table915[EnergyRating (group)],AM82,Table915[CountyName (group)],BC$4)</f>
        <v>1</v>
      </c>
      <c r="BD82" s="1129">
        <f>SUMIFS(Table915[Count of EnergyRating],Table915[MainSpaceHeatingFuel],AL82,Table915[EnergyRating (group)],AM82,Table915[CountyName (group)],BD$4)</f>
        <v>0</v>
      </c>
      <c r="BE82" s="1129">
        <f>SUMIFS(Table915[Count of EnergyRating],Table915[MainSpaceHeatingFuel],AL82,Table915[EnergyRating (group)],AM82,Table915[CountyName (group)],BE$4)</f>
        <v>0</v>
      </c>
      <c r="BF82" s="1152">
        <f>SUMIFS(Table915[Count of EnergyRating],Table915[MainSpaceHeatingFuel],AL82,Table915[EnergyRating (group)],AM82,Table915[CountyName (group)],BF$4)</f>
        <v>6</v>
      </c>
      <c r="BG82" s="1129">
        <f>SUMIFS(Table915[Count of EnergyRating],Table915[MainSpaceHeatingFuel],AL82,Table915[EnergyRating (group)],AM82,Table915[CountyName (group)],BG$4)</f>
        <v>3</v>
      </c>
      <c r="BH82" s="1129">
        <f>SUMIFS(Table915[Count of EnergyRating],Table915[MainSpaceHeatingFuel],AL82,Table915[EnergyRating (group)],AM82,Table915[CountyName (group)],BH$4)</f>
        <v>5</v>
      </c>
      <c r="BI82" s="1129">
        <f>SUMIFS(Table915[Count of EnergyRating],Table915[MainSpaceHeatingFuel],AL82,Table915[EnergyRating (group)],AM82,Table915[CountyName (group)],BI$4)</f>
        <v>3</v>
      </c>
      <c r="BJ82" s="1129">
        <f>SUMIFS(Table915[Count of EnergyRating],Table915[MainSpaceHeatingFuel],AL82,Table915[EnergyRating (group)],AM82,Table915[CountyName (group)],BJ$4)</f>
        <v>0</v>
      </c>
      <c r="BK82" s="1135">
        <f>SUMIFS(Table915[Count of EnergyRating],Table915[MainSpaceHeatingFuel],AL82,Table915[EnergyRating (group)],AM82,Table915[CountyName (group)],BK$4)</f>
        <v>0</v>
      </c>
      <c r="BL82" s="1129">
        <f>SUMIFS(Table915[Count of EnergyRating],Table915[MainSpaceHeatingFuel],AL82,Table915[EnergyRating (group)],AM82,Table915[CountyName (group)],BL$4)</f>
        <v>2</v>
      </c>
      <c r="BM82" s="1129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34" t="s">
        <v>62</v>
      </c>
      <c r="C83" s="1134" t="s">
        <v>1146</v>
      </c>
      <c r="D83" s="1134" t="s">
        <v>1094</v>
      </c>
      <c r="E83" s="1145">
        <f>G236*((SUM(AN$82)/SUM(AN$75:AN$83))/(SUM(G$236)/SUM(G$232:G$237)))</f>
        <v>0</v>
      </c>
      <c r="F83" s="1145">
        <f t="shared" ref="F83:AD83" si="240">IFERROR(H236*((SUM(AO$72)/SUM(AO$65:AO$73))/(SUM(H$228)/SUM(H$224:H$229))),0)</f>
        <v>2.1387632948198787E-2</v>
      </c>
      <c r="G83" s="1145">
        <f t="shared" si="240"/>
        <v>1.3731711235911443E-3</v>
      </c>
      <c r="H83" s="1145">
        <f t="shared" si="240"/>
        <v>2.0732436451524985E-3</v>
      </c>
      <c r="I83" s="1145">
        <f t="shared" si="240"/>
        <v>2.5543131377206429E-3</v>
      </c>
      <c r="J83" s="1145">
        <f t="shared" si="240"/>
        <v>3.0276976499004612E-4</v>
      </c>
      <c r="K83" s="1145">
        <f t="shared" si="240"/>
        <v>1.3239122312646615E-3</v>
      </c>
      <c r="L83" s="1145">
        <f t="shared" si="240"/>
        <v>1.0846392494912205E-3</v>
      </c>
      <c r="M83" s="1145">
        <f t="shared" si="240"/>
        <v>1.0516654498938193E-3</v>
      </c>
      <c r="N83" s="1145">
        <f t="shared" si="240"/>
        <v>1.4473771721898838E-3</v>
      </c>
      <c r="O83" s="1145">
        <f t="shared" si="240"/>
        <v>2.4394759483030402E-3</v>
      </c>
      <c r="P83" s="1145">
        <f t="shared" si="240"/>
        <v>2.09037603004519E-3</v>
      </c>
      <c r="Q83" s="1145">
        <f t="shared" si="240"/>
        <v>1.085977255681263E-3</v>
      </c>
      <c r="R83" s="1145">
        <f t="shared" si="240"/>
        <v>9.3232527319536407E-3</v>
      </c>
      <c r="S83" s="1145">
        <f t="shared" si="240"/>
        <v>1.607466101756477E-3</v>
      </c>
      <c r="T83" s="1145">
        <f t="shared" si="240"/>
        <v>4.4255704314787141E-3</v>
      </c>
      <c r="U83" s="1145">
        <f t="shared" si="240"/>
        <v>2.0410605111988718E-3</v>
      </c>
      <c r="V83" s="1145">
        <f t="shared" si="240"/>
        <v>2.9601339463400291E-3</v>
      </c>
      <c r="W83" s="1145">
        <f t="shared" si="240"/>
        <v>2.9986140649951804E-3</v>
      </c>
      <c r="X83" s="1145">
        <f t="shared" si="240"/>
        <v>2.9676285225216972E-4</v>
      </c>
      <c r="Y83" s="1145">
        <f t="shared" si="240"/>
        <v>2.2256359736537164E-3</v>
      </c>
      <c r="Z83" s="1145">
        <f t="shared" si="240"/>
        <v>1.3261943065231143E-3</v>
      </c>
      <c r="AA83" s="1145">
        <f t="shared" si="240"/>
        <v>6.8051323471345006E-4</v>
      </c>
      <c r="AB83" s="1145">
        <f t="shared" si="240"/>
        <v>7.7679511601199379E-4</v>
      </c>
      <c r="AC83" s="1145">
        <f t="shared" si="240"/>
        <v>2.5240879630789386E-3</v>
      </c>
      <c r="AD83" s="1145">
        <f t="shared" si="240"/>
        <v>6.3702794275718468E-4</v>
      </c>
      <c r="AE83" s="1172">
        <f t="shared" si="237"/>
        <v>7.0037669133235683E-2</v>
      </c>
      <c r="AF83" s="1179"/>
      <c r="AG83" s="1142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SUMIFS(Table915[Count of EnergyRating],Table915[MainSpaceHeatingFuel],AL83,Table915[EnergyRating (group)],AM83,Table915[CountyName (group)],AN$4)</f>
        <v>3</v>
      </c>
      <c r="AO83" s="1129">
        <f>SUMIFS(Table915[Count of EnergyRating],Table915[MainSpaceHeatingFuel],AL83,Table915[EnergyRating (group)],AM83,Table915[CountyName (group)],AO$4)</f>
        <v>7</v>
      </c>
      <c r="AP83" s="1129">
        <f>SUMIFS(Table915[Count of EnergyRating],Table915[MainSpaceHeatingFuel],AL83,Table915[EnergyRating (group)],AM83,Table915[CountyName (group)],AP$4)</f>
        <v>7</v>
      </c>
      <c r="AQ83" s="1129">
        <f>SUMIFS(Table915[Count of EnergyRating],Table915[MainSpaceHeatingFuel],AL83,Table915[EnergyRating (group)],AM83,Table915[CountyName (group)],AQ$4)</f>
        <v>1</v>
      </c>
      <c r="AR83" s="1129">
        <f>SUMIFS(Table915[Count of EnergyRating],Table915[MainSpaceHeatingFuel],AL83,Table915[EnergyRating (group)],AM83,Table915[CountyName (group)],AR$4)</f>
        <v>19</v>
      </c>
      <c r="AS83" s="1129">
        <f>SUMIFS(Table915[Count of EnergyRating],Table915[MainSpaceHeatingFuel],AL83,Table915[EnergyRating (group)],AM83,Table915[CountyName (group)],AS$4)</f>
        <v>2</v>
      </c>
      <c r="AT83" s="1129">
        <f>SUMIFS(Table915[Count of EnergyRating],Table915[MainSpaceHeatingFuel],AL83,Table915[EnergyRating (group)],AM83,Table915[CountyName (group)],AT$4)</f>
        <v>0</v>
      </c>
      <c r="AU83" s="1129">
        <f>SUMIFS(Table915[Count of EnergyRating],Table915[MainSpaceHeatingFuel],AL83,Table915[EnergyRating (group)],AM83,Table915[CountyName (group)],AU$4)</f>
        <v>2</v>
      </c>
      <c r="AV83" s="1129">
        <f>SUMIFS(Table915[Count of EnergyRating],Table915[MainSpaceHeatingFuel],AL83,Table915[EnergyRating (group)],AM83,Table915[CountyName (group)],AV$4)</f>
        <v>34</v>
      </c>
      <c r="AW83" s="1129">
        <f>SUMIFS(Table915[Count of EnergyRating],Table915[MainSpaceHeatingFuel],AL83,Table915[EnergyRating (group)],AM83,Table915[CountyName (group)],AW$4)</f>
        <v>23</v>
      </c>
      <c r="AX83" s="1129">
        <f>SUMIFS(Table915[Count of EnergyRating],Table915[MainSpaceHeatingFuel],AL83,Table915[EnergyRating (group)],AM83,Table915[CountyName (group)],AX$4)</f>
        <v>0</v>
      </c>
      <c r="AY83" s="1129">
        <f>SUMIFS(Table915[Count of EnergyRating],Table915[MainSpaceHeatingFuel],AL83,Table915[EnergyRating (group)],AM83,Table915[CountyName (group)],AY$4)</f>
        <v>1</v>
      </c>
      <c r="AZ83" s="1129">
        <f>SUMIFS(Table915[Count of EnergyRating],Table915[MainSpaceHeatingFuel],AL83,Table915[EnergyRating (group)],AM83,Table915[CountyName (group)],AZ$4)</f>
        <v>0</v>
      </c>
      <c r="BA83" s="1129">
        <f>SUMIFS(Table915[Count of EnergyRating],Table915[MainSpaceHeatingFuel],AL83,Table915[EnergyRating (group)],AM83,Table915[CountyName (group)],BA$4)</f>
        <v>1</v>
      </c>
      <c r="BB83" s="1129">
        <f>SUMIFS(Table915[Count of EnergyRating],Table915[MainSpaceHeatingFuel],AL83,Table915[EnergyRating (group)],AM83,Table915[CountyName (group)],BB$4)</f>
        <v>2</v>
      </c>
      <c r="BC83" s="1129">
        <f>SUMIFS(Table915[Count of EnergyRating],Table915[MainSpaceHeatingFuel],AL83,Table915[EnergyRating (group)],AM83,Table915[CountyName (group)],BC$4)</f>
        <v>0</v>
      </c>
      <c r="BD83" s="1129">
        <f>SUMIFS(Table915[Count of EnergyRating],Table915[MainSpaceHeatingFuel],AL83,Table915[EnergyRating (group)],AM83,Table915[CountyName (group)],BD$4)</f>
        <v>3</v>
      </c>
      <c r="BE83" s="1129">
        <f>SUMIFS(Table915[Count of EnergyRating],Table915[MainSpaceHeatingFuel],AL83,Table915[EnergyRating (group)],AM83,Table915[CountyName (group)],BE$4)</f>
        <v>0</v>
      </c>
      <c r="BF83" s="1129">
        <f>SUMIFS(Table915[Count of EnergyRating],Table915[MainSpaceHeatingFuel],AL83,Table915[EnergyRating (group)],AM83,Table915[CountyName (group)],BF$4)</f>
        <v>15</v>
      </c>
      <c r="BG83" s="1129">
        <f>SUMIFS(Table915[Count of EnergyRating],Table915[MainSpaceHeatingFuel],AL83,Table915[EnergyRating (group)],AM83,Table915[CountyName (group)],BG$4)</f>
        <v>0</v>
      </c>
      <c r="BH83" s="1129">
        <f>SUMIFS(Table915[Count of EnergyRating],Table915[MainSpaceHeatingFuel],AL83,Table915[EnergyRating (group)],AM83,Table915[CountyName (group)],BH$4)</f>
        <v>4</v>
      </c>
      <c r="BI83" s="1129">
        <f>SUMIFS(Table915[Count of EnergyRating],Table915[MainSpaceHeatingFuel],AL83,Table915[EnergyRating (group)],AM83,Table915[CountyName (group)],BI$4)</f>
        <v>0</v>
      </c>
      <c r="BJ83" s="1129">
        <f>SUMIFS(Table915[Count of EnergyRating],Table915[MainSpaceHeatingFuel],AL83,Table915[EnergyRating (group)],AM83,Table915[CountyName (group)],BJ$4)</f>
        <v>0</v>
      </c>
      <c r="BK83" s="1135">
        <f>SUMIFS(Table915[Count of EnergyRating],Table915[MainSpaceHeatingFuel],AL83,Table915[EnergyRating (group)],AM83,Table915[CountyName (group)],BK$4)</f>
        <v>0</v>
      </c>
      <c r="BL83" s="1129">
        <f>SUMIFS(Table915[Count of EnergyRating],Table915[MainSpaceHeatingFuel],AL83,Table915[EnergyRating (group)],AM83,Table915[CountyName (group)],BL$4)</f>
        <v>3</v>
      </c>
      <c r="BM83" s="1129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38" t="s">
        <v>64</v>
      </c>
      <c r="C84" s="1138" t="s">
        <v>1146</v>
      </c>
      <c r="D84" s="1138" t="s">
        <v>1094</v>
      </c>
      <c r="E84" s="1147">
        <f>G237*((SUM(AN$83)/SUM(AN$75:AN$83))/(SUM(G$237)/SUM(G$232:G$237)))</f>
        <v>1.0088597194065354E-2</v>
      </c>
      <c r="F84" s="1147">
        <f t="shared" ref="F84:AD84" si="241">IFERROR(H237*((SUM(AO$73)/SUM(AO$65:AO$73))/(SUM(H$229)/SUM(H$224:H$229))),0)</f>
        <v>7.8232353771965676E-2</v>
      </c>
      <c r="G84" s="1147">
        <f t="shared" si="241"/>
        <v>3.0324195645971106E-3</v>
      </c>
      <c r="H84" s="1147">
        <f t="shared" si="241"/>
        <v>3.2528477880840929E-3</v>
      </c>
      <c r="I84" s="1147">
        <f t="shared" si="241"/>
        <v>3.9733759920098895E-3</v>
      </c>
      <c r="J84" s="1147">
        <f t="shared" si="241"/>
        <v>3.6099471979582424E-4</v>
      </c>
      <c r="K84" s="1147">
        <f t="shared" si="241"/>
        <v>9.546103983329399E-3</v>
      </c>
      <c r="L84" s="1147">
        <f t="shared" si="241"/>
        <v>3.0669109813200026E-3</v>
      </c>
      <c r="M84" s="1147">
        <f t="shared" si="241"/>
        <v>3.0548377354058564E-3</v>
      </c>
      <c r="N84" s="1147">
        <f t="shared" si="241"/>
        <v>4.8631872985580088E-3</v>
      </c>
      <c r="O84" s="1147">
        <f t="shared" si="241"/>
        <v>4.8610145734567928E-3</v>
      </c>
      <c r="P84" s="1147">
        <f t="shared" si="241"/>
        <v>3.8399298812786631E-3</v>
      </c>
      <c r="Q84" s="1147">
        <f t="shared" si="241"/>
        <v>2.5404110802543828E-3</v>
      </c>
      <c r="R84" s="1147">
        <f t="shared" si="241"/>
        <v>2.791202907677762E-2</v>
      </c>
      <c r="S84" s="1147">
        <f t="shared" si="241"/>
        <v>3.4112639411320654E-3</v>
      </c>
      <c r="T84" s="1147">
        <f t="shared" si="241"/>
        <v>9.305045522596268E-3</v>
      </c>
      <c r="U84" s="1147">
        <f t="shared" si="241"/>
        <v>1.0050676759691417E-2</v>
      </c>
      <c r="V84" s="1147">
        <f t="shared" si="241"/>
        <v>4.9335565772333813E-3</v>
      </c>
      <c r="W84" s="1147">
        <f t="shared" si="241"/>
        <v>4.460438421680331E-3</v>
      </c>
      <c r="X84" s="1147">
        <f t="shared" si="241"/>
        <v>5.0873631814657666E-4</v>
      </c>
      <c r="Y84" s="1147">
        <f t="shared" si="241"/>
        <v>4.741572291697047E-3</v>
      </c>
      <c r="Z84" s="1147">
        <f t="shared" si="241"/>
        <v>9.0939038161584986E-4</v>
      </c>
      <c r="AA84" s="1147">
        <f t="shared" si="241"/>
        <v>2.00475520496665E-3</v>
      </c>
      <c r="AB84" s="1147">
        <f t="shared" si="241"/>
        <v>2.7446760765757116E-3</v>
      </c>
      <c r="AC84" s="1147">
        <f t="shared" si="241"/>
        <v>6.5980544999782774E-3</v>
      </c>
      <c r="AD84" s="1147">
        <f t="shared" si="241"/>
        <v>1.9110838282715543E-3</v>
      </c>
      <c r="AE84" s="1174">
        <f t="shared" si="237"/>
        <v>0.21020426346448379</v>
      </c>
      <c r="AF84" s="1179"/>
      <c r="AG84" s="58" t="s">
        <v>1163</v>
      </c>
      <c r="AH84" s="1158">
        <f>SUM(E88:AD93)</f>
        <v>31.591807877140706</v>
      </c>
      <c r="AI84" s="1140">
        <f>'SHWLP-Att'!S20</f>
        <v>31.591807877140681</v>
      </c>
      <c r="AJ84" s="1160">
        <f>IFERROR((AI84-AH84)/AI84,"N/A")</f>
        <v>-7.8719761301151456E-16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  <c r="BO84"/>
    </row>
    <row r="85" spans="2:67" ht="15.75" thickBot="1">
      <c r="B85" s="1138" t="s">
        <v>1075</v>
      </c>
      <c r="C85" s="1138" t="s">
        <v>1146</v>
      </c>
      <c r="D85" s="1138" t="s">
        <v>1094</v>
      </c>
      <c r="E85" s="1147">
        <f>SUM(E79:E84)</f>
        <v>1.3451462925420472E-2</v>
      </c>
      <c r="F85" s="1147">
        <f t="shared" ref="F85" si="242">SUM(F79:F84)</f>
        <v>0.44713036977969317</v>
      </c>
      <c r="G85" s="1147">
        <f t="shared" ref="G85" si="243">SUM(G79:G84)</f>
        <v>5.6900778433808051E-2</v>
      </c>
      <c r="H85" s="1147">
        <f t="shared" ref="H85" si="244">SUM(H79:H84)</f>
        <v>1.8659192806372488E-2</v>
      </c>
      <c r="I85" s="1147">
        <f t="shared" ref="I85" si="245">SUM(I79:I84)</f>
        <v>1.717066053689988E-2</v>
      </c>
      <c r="J85" s="1147">
        <f t="shared" ref="J85" si="246">SUM(J79:J84)</f>
        <v>7.0801545043826164E-3</v>
      </c>
      <c r="K85" s="1147">
        <f t="shared" ref="K85" si="247">SUM(K79:K84)</f>
        <v>3.6233387381980196E-2</v>
      </c>
      <c r="L85" s="1147">
        <f t="shared" ref="L85" si="248">SUM(L79:L84)</f>
        <v>4.0430863058621008E-2</v>
      </c>
      <c r="M85" s="1147">
        <f t="shared" ref="M85" si="249">SUM(M79:M84)</f>
        <v>1.5274188677029281E-2</v>
      </c>
      <c r="N85" s="1147">
        <f t="shared" ref="N85" si="250">SUM(N79:N84)</f>
        <v>1.8294847456480128E-2</v>
      </c>
      <c r="O85" s="1147">
        <f t="shared" ref="O85" si="251">SUM(O79:O84)</f>
        <v>2.7426167095259912E-2</v>
      </c>
      <c r="P85" s="1147">
        <f t="shared" ref="P85" si="252">SUM(P79:P84)</f>
        <v>3.4559368931507975E-2</v>
      </c>
      <c r="Q85" s="1147">
        <f t="shared" ref="Q85" si="253">SUM(Q79:Q84)</f>
        <v>2.2553420506380512E-2</v>
      </c>
      <c r="R85" s="1147">
        <f t="shared" ref="R85" si="254">SUM(R79:R84)</f>
        <v>0.13641390839384804</v>
      </c>
      <c r="S85" s="1147">
        <f t="shared" ref="S85" si="255">SUM(S79:S84)</f>
        <v>2.3400288977477871E-2</v>
      </c>
      <c r="T85" s="1147">
        <f t="shared" ref="T85" si="256">SUM(T79:T84)</f>
        <v>4.7281735379046078E-2</v>
      </c>
      <c r="U85" s="1147">
        <f t="shared" ref="U85" si="257">SUM(U79:U84)</f>
        <v>3.2749743656963724E-2</v>
      </c>
      <c r="V85" s="1147">
        <f t="shared" ref="V85" si="258">SUM(V79:V84)</f>
        <v>3.2473765737256174E-2</v>
      </c>
      <c r="W85" s="1147">
        <f t="shared" ref="W85" si="259">SUM(W79:W84)</f>
        <v>4.1155978042058852E-2</v>
      </c>
      <c r="X85" s="1147">
        <f t="shared" ref="X85" si="260">SUM(X79:X84)</f>
        <v>4.0840221095655741E-3</v>
      </c>
      <c r="Y85" s="1147">
        <f t="shared" ref="Y85" si="261">SUM(Y79:Y84)</f>
        <v>1.8675988822398574E-2</v>
      </c>
      <c r="Z85" s="1147">
        <f t="shared" ref="Z85" si="262">SUM(Z79:Z84)</f>
        <v>8.0140027379896773E-3</v>
      </c>
      <c r="AA85" s="1147">
        <f t="shared" ref="AA85" si="263">SUM(AA79:AA84)</f>
        <v>1.3260811952118852E-2</v>
      </c>
      <c r="AB85" s="1147">
        <f t="shared" ref="AB85" si="264">SUM(AB79:AB84)</f>
        <v>1.1496567716977508E-2</v>
      </c>
      <c r="AC85" s="1147">
        <f t="shared" ref="AC85" si="265">SUM(AC79:AC84)</f>
        <v>2.3691001056968985E-2</v>
      </c>
      <c r="AD85" s="1147">
        <f t="shared" ref="AD85" si="266">SUM(AD79:AD84)</f>
        <v>9.8739331127363633E-3</v>
      </c>
      <c r="AE85" s="1147">
        <f t="shared" ref="AE85" si="267">SUM(AE79:AE84)</f>
        <v>1.1577366097892421</v>
      </c>
      <c r="AF85" s="1179"/>
      <c r="AG85" s="58" t="s">
        <v>1107</v>
      </c>
      <c r="AH85" s="1158">
        <f>SUM(E95:AD95)</f>
        <v>30.277617411332372</v>
      </c>
      <c r="AI85" s="1140">
        <f>'SHWLP-Att'!S46</f>
        <v>30.277617411332368</v>
      </c>
      <c r="AJ85" s="1160">
        <f>(AI85-AH85)/AI85</f>
        <v>-1.1733795399207284E-16</v>
      </c>
      <c r="AL85" s="1144" t="s">
        <v>420</v>
      </c>
      <c r="AM85" s="1144" t="s">
        <v>48</v>
      </c>
      <c r="AN85" s="1157">
        <f>SUMIFS(Table915[Count of EnergyRating],Table915[MainSpaceHeatingFuel],AL85,Table915[EnergyRating (group)],AM85,Table915[CountyName (group)],AN$4)</f>
        <v>0</v>
      </c>
      <c r="AO85" s="1142">
        <f>SUMIFS(Table915[Count of EnergyRating],Table915[MainSpaceHeatingFuel],AL85,Table915[EnergyRating (group)],AM85,Table915[CountyName (group)],AO$4)</f>
        <v>0</v>
      </c>
      <c r="AP85" s="1142">
        <f>SUMIFS(Table915[Count of EnergyRating],Table915[MainSpaceHeatingFuel],AL85,Table915[EnergyRating (group)],AM85,Table915[CountyName (group)],AP$4)</f>
        <v>0</v>
      </c>
      <c r="AQ85" s="1142">
        <f>SUMIFS(Table915[Count of EnergyRating],Table915[MainSpaceHeatingFuel],AL85,Table915[EnergyRating (group)],AM85,Table915[CountyName (group)],AQ$4)</f>
        <v>0</v>
      </c>
      <c r="AR85" s="1142">
        <f>SUMIFS(Table915[Count of EnergyRating],Table915[MainSpaceHeatingFuel],AL85,Table915[EnergyRating (group)],AM85,Table915[CountyName (group)],AR$4)</f>
        <v>0</v>
      </c>
      <c r="AS85" s="1142">
        <f>SUMIFS(Table915[Count of EnergyRating],Table915[MainSpaceHeatingFuel],AL85,Table915[EnergyRating (group)],AM85,Table915[CountyName (group)],AS$4)</f>
        <v>0</v>
      </c>
      <c r="AT85" s="1142">
        <f>SUMIFS(Table915[Count of EnergyRating],Table915[MainSpaceHeatingFuel],AL85,Table915[EnergyRating (group)],AM85,Table915[CountyName (group)],AT$4)</f>
        <v>0</v>
      </c>
      <c r="AU85" s="1142">
        <f>SUMIFS(Table915[Count of EnergyRating],Table915[MainSpaceHeatingFuel],AL85,Table915[EnergyRating (group)],AM85,Table915[CountyName (group)],AU$4)</f>
        <v>0</v>
      </c>
      <c r="AV85" s="1142">
        <f>SUMIFS(Table915[Count of EnergyRating],Table915[MainSpaceHeatingFuel],AL85,Table915[EnergyRating (group)],AM85,Table915[CountyName (group)],AV$4)</f>
        <v>0</v>
      </c>
      <c r="AW85" s="1142">
        <f>SUMIFS(Table915[Count of EnergyRating],Table915[MainSpaceHeatingFuel],AL85,Table915[EnergyRating (group)],AM85,Table915[CountyName (group)],AW$4)</f>
        <v>0</v>
      </c>
      <c r="AX85" s="1142">
        <f>SUMIFS(Table915[Count of EnergyRating],Table915[MainSpaceHeatingFuel],AL85,Table915[EnergyRating (group)],AM85,Table915[CountyName (group)],AX$4)</f>
        <v>0</v>
      </c>
      <c r="AY85" s="1142">
        <f>SUMIFS(Table915[Count of EnergyRating],Table915[MainSpaceHeatingFuel],AL85,Table915[EnergyRating (group)],AM85,Table915[CountyName (group)],AY$4)</f>
        <v>0</v>
      </c>
      <c r="AZ85" s="1142">
        <f>SUMIFS(Table915[Count of EnergyRating],Table915[MainSpaceHeatingFuel],AL85,Table915[EnergyRating (group)],AM85,Table915[CountyName (group)],AZ$4)</f>
        <v>0</v>
      </c>
      <c r="BA85" s="1142">
        <f>SUMIFS(Table915[Count of EnergyRating],Table915[MainSpaceHeatingFuel],AL85,Table915[EnergyRating (group)],AM85,Table915[CountyName (group)],BA$4)</f>
        <v>0</v>
      </c>
      <c r="BB85" s="1142">
        <f>SUMIFS(Table915[Count of EnergyRating],Table915[MainSpaceHeatingFuel],AL85,Table915[EnergyRating (group)],AM85,Table915[CountyName (group)],BB$4)</f>
        <v>0</v>
      </c>
      <c r="BC85" s="1142">
        <f>SUMIFS(Table915[Count of EnergyRating],Table915[MainSpaceHeatingFuel],AL85,Table915[EnergyRating (group)],AM85,Table915[CountyName (group)],BC$4)</f>
        <v>0</v>
      </c>
      <c r="BD85" s="1142">
        <f>SUMIFS(Table915[Count of EnergyRating],Table915[MainSpaceHeatingFuel],AL85,Table915[EnergyRating (group)],AM85,Table915[CountyName (group)],BD$4)</f>
        <v>0</v>
      </c>
      <c r="BE85" s="1142">
        <f>SUMIFS(Table915[Count of EnergyRating],Table915[MainSpaceHeatingFuel],AL85,Table915[EnergyRating (group)],AM85,Table915[CountyName (group)],BE$4)</f>
        <v>0</v>
      </c>
      <c r="BF85" s="1142">
        <f>SUMIFS(Table915[Count of EnergyRating],Table915[MainSpaceHeatingFuel],AL85,Table915[EnergyRating (group)],AM85,Table915[CountyName (group)],BF$4)</f>
        <v>0</v>
      </c>
      <c r="BG85" s="1142">
        <f>SUMIFS(Table915[Count of EnergyRating],Table915[MainSpaceHeatingFuel],AL85,Table915[EnergyRating (group)],AM85,Table915[CountyName (group)],BG$4)</f>
        <v>0</v>
      </c>
      <c r="BH85" s="1142">
        <f>SUMIFS(Table915[Count of EnergyRating],Table915[MainSpaceHeatingFuel],AL85,Table915[EnergyRating (group)],AM85,Table915[CountyName (group)],BH$4)</f>
        <v>0</v>
      </c>
      <c r="BI85" s="1142">
        <f>SUMIFS(Table915[Count of EnergyRating],Table915[MainSpaceHeatingFuel],AL85,Table915[EnergyRating (group)],AM85,Table915[CountyName (group)],BI$4)</f>
        <v>0</v>
      </c>
      <c r="BJ85" s="1142">
        <f>SUMIFS(Table915[Count of EnergyRating],Table915[MainSpaceHeatingFuel],AL85,Table915[EnergyRating (group)],AM85,Table915[CountyName (group)],BJ$4)</f>
        <v>0</v>
      </c>
      <c r="BK85" s="1135">
        <f>SUMIFS(Table915[Count of EnergyRating],Table915[MainSpaceHeatingFuel],AL85,Table915[EnergyRating (group)],AM85,Table915[CountyName (group)],BK$4)</f>
        <v>0</v>
      </c>
      <c r="BL85" s="1142">
        <f>SUMIFS(Table915[Count of EnergyRating],Table915[MainSpaceHeatingFuel],AL85,Table915[EnergyRating (group)],AM85,Table915[CountyName (group)],BL$4)</f>
        <v>0</v>
      </c>
      <c r="BM85" s="1142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65"/>
      <c r="C86" s="1165" t="s">
        <v>1147</v>
      </c>
      <c r="D86" s="1165" t="s">
        <v>1094</v>
      </c>
      <c r="E86" s="1166">
        <f t="shared" ref="E86:AD86" si="268">G238</f>
        <v>1.3992145937133556E-2</v>
      </c>
      <c r="F86" s="1166">
        <f t="shared" si="268"/>
        <v>0.46510282350470783</v>
      </c>
      <c r="G86" s="1166">
        <f t="shared" si="268"/>
        <v>5.9187911396444401E-2</v>
      </c>
      <c r="H86" s="1166">
        <f t="shared" si="268"/>
        <v>1.9409201085666707E-2</v>
      </c>
      <c r="I86" s="1166">
        <f t="shared" si="268"/>
        <v>1.786083710012331E-2</v>
      </c>
      <c r="J86" s="1166">
        <f t="shared" si="268"/>
        <v>7.3647420828525535E-3</v>
      </c>
      <c r="K86" s="1166">
        <f t="shared" si="268"/>
        <v>3.7689792318965409E-2</v>
      </c>
      <c r="L86" s="1166">
        <f t="shared" si="268"/>
        <v>4.205598598583684E-2</v>
      </c>
      <c r="M86" s="1166">
        <f t="shared" si="268"/>
        <v>1.5888136348086179E-2</v>
      </c>
      <c r="N86" s="1166">
        <f t="shared" si="268"/>
        <v>1.9030210834905525E-2</v>
      </c>
      <c r="O86" s="1166">
        <f t="shared" si="268"/>
        <v>2.8528564857274921E-2</v>
      </c>
      <c r="P86" s="1166">
        <f t="shared" si="268"/>
        <v>3.5948486515252655E-2</v>
      </c>
      <c r="Q86" s="1166">
        <f t="shared" si="268"/>
        <v>2.3459957690583493E-2</v>
      </c>
      <c r="R86" s="1166">
        <f t="shared" si="268"/>
        <v>0.14189708024206041</v>
      </c>
      <c r="S86" s="1166">
        <f t="shared" si="268"/>
        <v>2.434086613175819E-2</v>
      </c>
      <c r="T86" s="1166">
        <f t="shared" si="268"/>
        <v>4.9182229862471533E-2</v>
      </c>
      <c r="U86" s="1166">
        <f t="shared" si="268"/>
        <v>3.4066123156461556E-2</v>
      </c>
      <c r="V86" s="1166">
        <f t="shared" si="268"/>
        <v>3.3779052274328945E-2</v>
      </c>
      <c r="W86" s="1166">
        <f t="shared" si="268"/>
        <v>4.2810247044705818E-2</v>
      </c>
      <c r="X86" s="1166">
        <f t="shared" si="268"/>
        <v>4.2481798213583758E-3</v>
      </c>
      <c r="Y86" s="1166">
        <f t="shared" si="268"/>
        <v>1.942667221937926E-2</v>
      </c>
      <c r="Z86" s="1166">
        <f t="shared" si="268"/>
        <v>8.3361264475279601E-3</v>
      </c>
      <c r="AA86" s="1166">
        <f t="shared" si="268"/>
        <v>1.3793831727275267E-2</v>
      </c>
      <c r="AB86" s="1166">
        <f t="shared" si="268"/>
        <v>1.1958673503689513E-2</v>
      </c>
      <c r="AC86" s="1166">
        <f t="shared" si="268"/>
        <v>2.4643263414825461E-2</v>
      </c>
      <c r="AD86" s="1166">
        <f t="shared" si="268"/>
        <v>1.0270816925482028E-2</v>
      </c>
      <c r="AE86" s="1175">
        <f t="shared" si="237"/>
        <v>1.2042719584291575</v>
      </c>
      <c r="AF86" s="1179"/>
      <c r="AG86" s="1142"/>
      <c r="AH86" s="1142"/>
      <c r="AL86" s="1144" t="s">
        <v>420</v>
      </c>
      <c r="AM86" s="1144" t="s">
        <v>50</v>
      </c>
      <c r="AN86" s="1157">
        <f>SUMIFS(Table915[Count of EnergyRating],Table915[MainSpaceHeatingFuel],AL86,Table915[EnergyRating (group)],AM86,Table915[CountyName (group)],AN$4)</f>
        <v>0</v>
      </c>
      <c r="AO86" s="1142">
        <f>SUMIFS(Table915[Count of EnergyRating],Table915[MainSpaceHeatingFuel],AL86,Table915[EnergyRating (group)],AM86,Table915[CountyName (group)],AO$4)</f>
        <v>0</v>
      </c>
      <c r="AP86" s="1142">
        <f>SUMIFS(Table915[Count of EnergyRating],Table915[MainSpaceHeatingFuel],AL86,Table915[EnergyRating (group)],AM86,Table915[CountyName (group)],AP$4)</f>
        <v>0</v>
      </c>
      <c r="AQ86" s="1142">
        <f>SUMIFS(Table915[Count of EnergyRating],Table915[MainSpaceHeatingFuel],AL86,Table915[EnergyRating (group)],AM86,Table915[CountyName (group)],AQ$4)</f>
        <v>0</v>
      </c>
      <c r="AR86" s="1142">
        <f>SUMIFS(Table915[Count of EnergyRating],Table915[MainSpaceHeatingFuel],AL86,Table915[EnergyRating (group)],AM86,Table915[CountyName (group)],AR$4)</f>
        <v>0</v>
      </c>
      <c r="AS86" s="1142">
        <f>SUMIFS(Table915[Count of EnergyRating],Table915[MainSpaceHeatingFuel],AL86,Table915[EnergyRating (group)],AM86,Table915[CountyName (group)],AS$4)</f>
        <v>0</v>
      </c>
      <c r="AT86" s="1142">
        <f>SUMIFS(Table915[Count of EnergyRating],Table915[MainSpaceHeatingFuel],AL86,Table915[EnergyRating (group)],AM86,Table915[CountyName (group)],AT$4)</f>
        <v>0</v>
      </c>
      <c r="AU86" s="1142">
        <f>SUMIFS(Table915[Count of EnergyRating],Table915[MainSpaceHeatingFuel],AL86,Table915[EnergyRating (group)],AM86,Table915[CountyName (group)],AU$4)</f>
        <v>0</v>
      </c>
      <c r="AV86" s="1142">
        <f>SUMIFS(Table915[Count of EnergyRating],Table915[MainSpaceHeatingFuel],AL86,Table915[EnergyRating (group)],AM86,Table915[CountyName (group)],AV$4)</f>
        <v>0</v>
      </c>
      <c r="AW86" s="1142">
        <f>SUMIFS(Table915[Count of EnergyRating],Table915[MainSpaceHeatingFuel],AL86,Table915[EnergyRating (group)],AM86,Table915[CountyName (group)],AW$4)</f>
        <v>0</v>
      </c>
      <c r="AX86" s="1142">
        <f>SUMIFS(Table915[Count of EnergyRating],Table915[MainSpaceHeatingFuel],AL86,Table915[EnergyRating (group)],AM86,Table915[CountyName (group)],AX$4)</f>
        <v>1</v>
      </c>
      <c r="AY86" s="1142">
        <f>SUMIFS(Table915[Count of EnergyRating],Table915[MainSpaceHeatingFuel],AL86,Table915[EnergyRating (group)],AM86,Table915[CountyName (group)],AY$4)</f>
        <v>0</v>
      </c>
      <c r="AZ86" s="1142">
        <f>SUMIFS(Table915[Count of EnergyRating],Table915[MainSpaceHeatingFuel],AL86,Table915[EnergyRating (group)],AM86,Table915[CountyName (group)],AZ$4)</f>
        <v>0</v>
      </c>
      <c r="BA86" s="1142">
        <f>SUMIFS(Table915[Count of EnergyRating],Table915[MainSpaceHeatingFuel],AL86,Table915[EnergyRating (group)],AM86,Table915[CountyName (group)],BA$4)</f>
        <v>0</v>
      </c>
      <c r="BB86" s="1142">
        <f>SUMIFS(Table915[Count of EnergyRating],Table915[MainSpaceHeatingFuel],AL86,Table915[EnergyRating (group)],AM86,Table915[CountyName (group)],BB$4)</f>
        <v>0</v>
      </c>
      <c r="BC86" s="1142">
        <f>SUMIFS(Table915[Count of EnergyRating],Table915[MainSpaceHeatingFuel],AL86,Table915[EnergyRating (group)],AM86,Table915[CountyName (group)],BC$4)</f>
        <v>0</v>
      </c>
      <c r="BD86" s="1142">
        <f>SUMIFS(Table915[Count of EnergyRating],Table915[MainSpaceHeatingFuel],AL86,Table915[EnergyRating (group)],AM86,Table915[CountyName (group)],BD$4)</f>
        <v>0</v>
      </c>
      <c r="BE86" s="1142">
        <f>SUMIFS(Table915[Count of EnergyRating],Table915[MainSpaceHeatingFuel],AL86,Table915[EnergyRating (group)],AM86,Table915[CountyName (group)],BE$4)</f>
        <v>0</v>
      </c>
      <c r="BF86" s="1142">
        <f>SUMIFS(Table915[Count of EnergyRating],Table915[MainSpaceHeatingFuel],AL86,Table915[EnergyRating (group)],AM86,Table915[CountyName (group)],BF$4)</f>
        <v>0</v>
      </c>
      <c r="BG86" s="1142">
        <f>SUMIFS(Table915[Count of EnergyRating],Table915[MainSpaceHeatingFuel],AL86,Table915[EnergyRating (group)],AM86,Table915[CountyName (group)],BG$4)</f>
        <v>0</v>
      </c>
      <c r="BH86" s="1142">
        <f>SUMIFS(Table915[Count of EnergyRating],Table915[MainSpaceHeatingFuel],AL86,Table915[EnergyRating (group)],AM86,Table915[CountyName (group)],BH$4)</f>
        <v>0</v>
      </c>
      <c r="BI86" s="1142">
        <f>SUMIFS(Table915[Count of EnergyRating],Table915[MainSpaceHeatingFuel],AL86,Table915[EnergyRating (group)],AM86,Table915[CountyName (group)],BI$4)</f>
        <v>0</v>
      </c>
      <c r="BJ86" s="1142">
        <f>SUMIFS(Table915[Count of EnergyRating],Table915[MainSpaceHeatingFuel],AL86,Table915[EnergyRating (group)],AM86,Table915[CountyName (group)],BJ$4)</f>
        <v>0</v>
      </c>
      <c r="BK86" s="1135">
        <f>SUMIFS(Table915[Count of EnergyRating],Table915[MainSpaceHeatingFuel],AL86,Table915[EnergyRating (group)],AM86,Table915[CountyName (group)],BK$4)</f>
        <v>0</v>
      </c>
      <c r="BL86" s="1142">
        <f>SUMIFS(Table915[Count of EnergyRating],Table915[MainSpaceHeatingFuel],AL86,Table915[EnergyRating (group)],AM86,Table915[CountyName (group)],BL$4)</f>
        <v>0</v>
      </c>
      <c r="BM86" s="1142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37"/>
      <c r="C87" s="1137" t="s">
        <v>1127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F87" s="1179"/>
      <c r="AG87" s="1142"/>
      <c r="AH87" s="1142"/>
      <c r="AL87" s="1144" t="s">
        <v>420</v>
      </c>
      <c r="AM87" s="1144" t="s">
        <v>52</v>
      </c>
      <c r="AN87" s="1157">
        <f>SUMIFS(Table915[Count of EnergyRating],Table915[MainSpaceHeatingFuel],AL87,Table915[EnergyRating (group)],AM87,Table915[CountyName (group)],AN$4)</f>
        <v>0</v>
      </c>
      <c r="AO87" s="1142">
        <f>SUMIFS(Table915[Count of EnergyRating],Table915[MainSpaceHeatingFuel],AL87,Table915[EnergyRating (group)],AM87,Table915[CountyName (group)],AO$4)</f>
        <v>0</v>
      </c>
      <c r="AP87" s="1142">
        <f>SUMIFS(Table915[Count of EnergyRating],Table915[MainSpaceHeatingFuel],AL87,Table915[EnergyRating (group)],AM87,Table915[CountyName (group)],AP$4)</f>
        <v>0</v>
      </c>
      <c r="AQ87" s="1142">
        <f>SUMIFS(Table915[Count of EnergyRating],Table915[MainSpaceHeatingFuel],AL87,Table915[EnergyRating (group)],AM87,Table915[CountyName (group)],AQ$4)</f>
        <v>0</v>
      </c>
      <c r="AR87" s="1142">
        <f>SUMIFS(Table915[Count of EnergyRating],Table915[MainSpaceHeatingFuel],AL87,Table915[EnergyRating (group)],AM87,Table915[CountyName (group)],AR$4)</f>
        <v>0</v>
      </c>
      <c r="AS87" s="1142">
        <f>SUMIFS(Table915[Count of EnergyRating],Table915[MainSpaceHeatingFuel],AL87,Table915[EnergyRating (group)],AM87,Table915[CountyName (group)],AS$4)</f>
        <v>0</v>
      </c>
      <c r="AT87" s="1142">
        <f>SUMIFS(Table915[Count of EnergyRating],Table915[MainSpaceHeatingFuel],AL87,Table915[EnergyRating (group)],AM87,Table915[CountyName (group)],AT$4)</f>
        <v>0</v>
      </c>
      <c r="AU87" s="1142">
        <f>SUMIFS(Table915[Count of EnergyRating],Table915[MainSpaceHeatingFuel],AL87,Table915[EnergyRating (group)],AM87,Table915[CountyName (group)],AU$4)</f>
        <v>1</v>
      </c>
      <c r="AV87" s="1142">
        <f>SUMIFS(Table915[Count of EnergyRating],Table915[MainSpaceHeatingFuel],AL87,Table915[EnergyRating (group)],AM87,Table915[CountyName (group)],AV$4)</f>
        <v>0</v>
      </c>
      <c r="AW87" s="1142">
        <f>SUMIFS(Table915[Count of EnergyRating],Table915[MainSpaceHeatingFuel],AL87,Table915[EnergyRating (group)],AM87,Table915[CountyName (group)],AW$4)</f>
        <v>0</v>
      </c>
      <c r="AX87" s="1142">
        <f>SUMIFS(Table915[Count of EnergyRating],Table915[MainSpaceHeatingFuel],AL87,Table915[EnergyRating (group)],AM87,Table915[CountyName (group)],AX$4)</f>
        <v>0</v>
      </c>
      <c r="AY87" s="1142">
        <f>SUMIFS(Table915[Count of EnergyRating],Table915[MainSpaceHeatingFuel],AL87,Table915[EnergyRating (group)],AM87,Table915[CountyName (group)],AY$4)</f>
        <v>1</v>
      </c>
      <c r="AZ87" s="1142">
        <f>SUMIFS(Table915[Count of EnergyRating],Table915[MainSpaceHeatingFuel],AL87,Table915[EnergyRating (group)],AM87,Table915[CountyName (group)],AZ$4)</f>
        <v>0</v>
      </c>
      <c r="BA87" s="1142">
        <f>SUMIFS(Table915[Count of EnergyRating],Table915[MainSpaceHeatingFuel],AL87,Table915[EnergyRating (group)],AM87,Table915[CountyName (group)],BA$4)</f>
        <v>0</v>
      </c>
      <c r="BB87" s="1142">
        <f>SUMIFS(Table915[Count of EnergyRating],Table915[MainSpaceHeatingFuel],AL87,Table915[EnergyRating (group)],AM87,Table915[CountyName (group)],BB$4)</f>
        <v>0</v>
      </c>
      <c r="BC87" s="1142">
        <f>SUMIFS(Table915[Count of EnergyRating],Table915[MainSpaceHeatingFuel],AL87,Table915[EnergyRating (group)],AM87,Table915[CountyName (group)],BC$4)</f>
        <v>0</v>
      </c>
      <c r="BD87" s="1142">
        <f>SUMIFS(Table915[Count of EnergyRating],Table915[MainSpaceHeatingFuel],AL87,Table915[EnergyRating (group)],AM87,Table915[CountyName (group)],BD$4)</f>
        <v>0</v>
      </c>
      <c r="BE87" s="1142">
        <f>SUMIFS(Table915[Count of EnergyRating],Table915[MainSpaceHeatingFuel],AL87,Table915[EnergyRating (group)],AM87,Table915[CountyName (group)],BE$4)</f>
        <v>0</v>
      </c>
      <c r="BF87" s="1142">
        <f>SUMIFS(Table915[Count of EnergyRating],Table915[MainSpaceHeatingFuel],AL87,Table915[EnergyRating (group)],AM87,Table915[CountyName (group)],BF$4)</f>
        <v>0</v>
      </c>
      <c r="BG87" s="1142">
        <f>SUMIFS(Table915[Count of EnergyRating],Table915[MainSpaceHeatingFuel],AL87,Table915[EnergyRating (group)],AM87,Table915[CountyName (group)],BG$4)</f>
        <v>0</v>
      </c>
      <c r="BH87" s="1142">
        <f>SUMIFS(Table915[Count of EnergyRating],Table915[MainSpaceHeatingFuel],AL87,Table915[EnergyRating (group)],AM87,Table915[CountyName (group)],BH$4)</f>
        <v>0</v>
      </c>
      <c r="BI87" s="1142">
        <f>SUMIFS(Table915[Count of EnergyRating],Table915[MainSpaceHeatingFuel],AL87,Table915[EnergyRating (group)],AM87,Table915[CountyName (group)],BI$4)</f>
        <v>0</v>
      </c>
      <c r="BJ87" s="1142">
        <f>SUMIFS(Table915[Count of EnergyRating],Table915[MainSpaceHeatingFuel],AL87,Table915[EnergyRating (group)],AM87,Table915[CountyName (group)],BJ$4)</f>
        <v>0</v>
      </c>
      <c r="BK87" s="1135">
        <f>SUMIFS(Table915[Count of EnergyRating],Table915[MainSpaceHeatingFuel],AL87,Table915[EnergyRating (group)],AM87,Table915[CountyName (group)],BK$4)</f>
        <v>0</v>
      </c>
      <c r="BL87" s="1142">
        <f>SUMIFS(Table915[Count of EnergyRating],Table915[MainSpaceHeatingFuel],AL87,Table915[EnergyRating (group)],AM87,Table915[CountyName (group)],BL$4)</f>
        <v>0</v>
      </c>
      <c r="BM87" s="1142">
        <f>SUMIFS(Table915[Count of EnergyRating],Table915[MainSpaceHeatingFuel],AL87,Table915[EnergyRating (group)],AM87,Table915[CountyName (group)],BM$4)</f>
        <v>0</v>
      </c>
      <c r="BO87"/>
    </row>
    <row r="88" spans="2:67">
      <c r="B88" s="1134" t="s">
        <v>1259</v>
      </c>
      <c r="C88" s="1134" t="s">
        <v>1155</v>
      </c>
      <c r="D88" s="1134" t="s">
        <v>1094</v>
      </c>
      <c r="E88" s="1145">
        <f t="shared" ref="E88:AD88" si="269">G240*((SUM(AN$85:AN$88)/SUM(AN$85:AN$93))/(SUM(G$240)/SUM(G$240:G$245)))</f>
        <v>0</v>
      </c>
      <c r="F88" s="1145">
        <f t="shared" si="269"/>
        <v>0</v>
      </c>
      <c r="G88" s="1145">
        <f t="shared" si="269"/>
        <v>0</v>
      </c>
      <c r="H88" s="1145">
        <f t="shared" si="269"/>
        <v>0</v>
      </c>
      <c r="I88" s="1145">
        <f t="shared" si="269"/>
        <v>0</v>
      </c>
      <c r="J88" s="1145">
        <f t="shared" si="269"/>
        <v>0</v>
      </c>
      <c r="K88" s="1145">
        <f t="shared" si="269"/>
        <v>0</v>
      </c>
      <c r="L88" s="1145">
        <f t="shared" si="269"/>
        <v>4.0710687272244098E-3</v>
      </c>
      <c r="M88" s="1145">
        <f t="shared" si="269"/>
        <v>0</v>
      </c>
      <c r="N88" s="1145">
        <f t="shared" si="269"/>
        <v>1.457581776057007E-3</v>
      </c>
      <c r="O88" s="1145">
        <f t="shared" si="269"/>
        <v>5.1154695566133185E-4</v>
      </c>
      <c r="P88" s="1145">
        <f t="shared" si="269"/>
        <v>2.3694494306025324E-3</v>
      </c>
      <c r="Q88" s="1145">
        <f t="shared" si="269"/>
        <v>5.992481289092299E-4</v>
      </c>
      <c r="R88" s="1145">
        <f t="shared" si="269"/>
        <v>2.9264172873173489E-3</v>
      </c>
      <c r="S88" s="1145">
        <f t="shared" si="269"/>
        <v>0</v>
      </c>
      <c r="T88" s="1145">
        <f t="shared" si="269"/>
        <v>0</v>
      </c>
      <c r="U88" s="1145">
        <f t="shared" si="269"/>
        <v>5.8948589318648912E-4</v>
      </c>
      <c r="V88" s="1145">
        <f t="shared" si="269"/>
        <v>0</v>
      </c>
      <c r="W88" s="1145">
        <f t="shared" si="269"/>
        <v>0</v>
      </c>
      <c r="X88" s="1145">
        <f t="shared" si="269"/>
        <v>0</v>
      </c>
      <c r="Y88" s="1145">
        <f t="shared" si="269"/>
        <v>0</v>
      </c>
      <c r="Z88" s="1145">
        <f t="shared" si="269"/>
        <v>0</v>
      </c>
      <c r="AA88" s="1145">
        <f t="shared" si="269"/>
        <v>0</v>
      </c>
      <c r="AB88" s="1145">
        <f t="shared" si="269"/>
        <v>0</v>
      </c>
      <c r="AC88" s="1145">
        <f t="shared" si="269"/>
        <v>0</v>
      </c>
      <c r="AD88" s="1145">
        <f t="shared" si="269"/>
        <v>0</v>
      </c>
      <c r="AE88" s="1172">
        <f t="shared" si="237"/>
        <v>1.252479819895835E-2</v>
      </c>
      <c r="AF88" s="1179"/>
      <c r="AG88" s="1142"/>
      <c r="AH88" s="1142"/>
      <c r="AL88" s="1144" t="s">
        <v>420</v>
      </c>
      <c r="AM88" s="1144" t="s">
        <v>54</v>
      </c>
      <c r="AN88" s="1157">
        <f>SUMIFS(Table915[Count of EnergyRating],Table915[MainSpaceHeatingFuel],AL88,Table915[EnergyRating (group)],AM88,Table915[CountyName (group)],AN$4)</f>
        <v>0</v>
      </c>
      <c r="AO88" s="1142">
        <f>SUMIFS(Table915[Count of EnergyRating],Table915[MainSpaceHeatingFuel],AL88,Table915[EnergyRating (group)],AM88,Table915[CountyName (group)],AO$4)</f>
        <v>0</v>
      </c>
      <c r="AP88" s="1142">
        <f>SUMIFS(Table915[Count of EnergyRating],Table915[MainSpaceHeatingFuel],AL88,Table915[EnergyRating (group)],AM88,Table915[CountyName (group)],AP$4)</f>
        <v>0</v>
      </c>
      <c r="AQ88" s="1142">
        <f>SUMIFS(Table915[Count of EnergyRating],Table915[MainSpaceHeatingFuel],AL88,Table915[EnergyRating (group)],AM88,Table915[CountyName (group)],AQ$4)</f>
        <v>0</v>
      </c>
      <c r="AR88" s="1142">
        <f>SUMIFS(Table915[Count of EnergyRating],Table915[MainSpaceHeatingFuel],AL88,Table915[EnergyRating (group)],AM88,Table915[CountyName (group)],AR$4)</f>
        <v>0</v>
      </c>
      <c r="AS88" s="1142">
        <f>SUMIFS(Table915[Count of EnergyRating],Table915[MainSpaceHeatingFuel],AL88,Table915[EnergyRating (group)],AM88,Table915[CountyName (group)],AS$4)</f>
        <v>0</v>
      </c>
      <c r="AT88" s="1142">
        <f>SUMIFS(Table915[Count of EnergyRating],Table915[MainSpaceHeatingFuel],AL88,Table915[EnergyRating (group)],AM88,Table915[CountyName (group)],AT$4)</f>
        <v>0</v>
      </c>
      <c r="AU88" s="1142">
        <f>SUMIFS(Table915[Count of EnergyRating],Table915[MainSpaceHeatingFuel],AL88,Table915[EnergyRating (group)],AM88,Table915[CountyName (group)],AU$4)</f>
        <v>0</v>
      </c>
      <c r="AV88" s="1142">
        <f>SUMIFS(Table915[Count of EnergyRating],Table915[MainSpaceHeatingFuel],AL88,Table915[EnergyRating (group)],AM88,Table915[CountyName (group)],AV$4)</f>
        <v>0</v>
      </c>
      <c r="AW88" s="1142">
        <f>SUMIFS(Table915[Count of EnergyRating],Table915[MainSpaceHeatingFuel],AL88,Table915[EnergyRating (group)],AM88,Table915[CountyName (group)],AW$4)</f>
        <v>2</v>
      </c>
      <c r="AX88" s="1142">
        <f>SUMIFS(Table915[Count of EnergyRating],Table915[MainSpaceHeatingFuel],AL88,Table915[EnergyRating (group)],AM88,Table915[CountyName (group)],AX$4)</f>
        <v>0</v>
      </c>
      <c r="AY88" s="1142">
        <f>SUMIFS(Table915[Count of EnergyRating],Table915[MainSpaceHeatingFuel],AL88,Table915[EnergyRating (group)],AM88,Table915[CountyName (group)],AY$4)</f>
        <v>0</v>
      </c>
      <c r="AZ88" s="1142">
        <f>SUMIFS(Table915[Count of EnergyRating],Table915[MainSpaceHeatingFuel],AL88,Table915[EnergyRating (group)],AM88,Table915[CountyName (group)],AZ$4)</f>
        <v>1</v>
      </c>
      <c r="BA88" s="1142">
        <f>SUMIFS(Table915[Count of EnergyRating],Table915[MainSpaceHeatingFuel],AL88,Table915[EnergyRating (group)],AM88,Table915[CountyName (group)],BA$4)</f>
        <v>1</v>
      </c>
      <c r="BB88" s="1142">
        <f>SUMIFS(Table915[Count of EnergyRating],Table915[MainSpaceHeatingFuel],AL88,Table915[EnergyRating (group)],AM88,Table915[CountyName (group)],BB$4)</f>
        <v>0</v>
      </c>
      <c r="BC88" s="1142">
        <f>SUMIFS(Table915[Count of EnergyRating],Table915[MainSpaceHeatingFuel],AL88,Table915[EnergyRating (group)],AM88,Table915[CountyName (group)],BC$4)</f>
        <v>0</v>
      </c>
      <c r="BD88" s="1142">
        <f>SUMIFS(Table915[Count of EnergyRating],Table915[MainSpaceHeatingFuel],AL88,Table915[EnergyRating (group)],AM88,Table915[CountyName (group)],BD$4)</f>
        <v>1</v>
      </c>
      <c r="BE88" s="1142">
        <f>SUMIFS(Table915[Count of EnergyRating],Table915[MainSpaceHeatingFuel],AL88,Table915[EnergyRating (group)],AM88,Table915[CountyName (group)],BE$4)</f>
        <v>0</v>
      </c>
      <c r="BF88" s="1142">
        <f>SUMIFS(Table915[Count of EnergyRating],Table915[MainSpaceHeatingFuel],AL88,Table915[EnergyRating (group)],AM88,Table915[CountyName (group)],BF$4)</f>
        <v>0</v>
      </c>
      <c r="BG88" s="1142">
        <f>SUMIFS(Table915[Count of EnergyRating],Table915[MainSpaceHeatingFuel],AL88,Table915[EnergyRating (group)],AM88,Table915[CountyName (group)],BG$4)</f>
        <v>0</v>
      </c>
      <c r="BH88" s="1142">
        <f>SUMIFS(Table915[Count of EnergyRating],Table915[MainSpaceHeatingFuel],AL88,Table915[EnergyRating (group)],AM88,Table915[CountyName (group)],BH$4)</f>
        <v>0</v>
      </c>
      <c r="BI88" s="1142">
        <f>SUMIFS(Table915[Count of EnergyRating],Table915[MainSpaceHeatingFuel],AL88,Table915[EnergyRating (group)],AM88,Table915[CountyName (group)],BI$4)</f>
        <v>0</v>
      </c>
      <c r="BJ88" s="1142">
        <f>SUMIFS(Table915[Count of EnergyRating],Table915[MainSpaceHeatingFuel],AL88,Table915[EnergyRating (group)],AM88,Table915[CountyName (group)],BJ$4)</f>
        <v>0</v>
      </c>
      <c r="BK88" s="1135">
        <f>SUMIFS(Table915[Count of EnergyRating],Table915[MainSpaceHeatingFuel],AL88,Table915[EnergyRating (group)],AM88,Table915[CountyName (group)],BK$4)</f>
        <v>0</v>
      </c>
      <c r="BL88" s="1142">
        <f>SUMIFS(Table915[Count of EnergyRating],Table915[MainSpaceHeatingFuel],AL88,Table915[EnergyRating (group)],AM88,Table915[CountyName (group)],BL$4)</f>
        <v>0</v>
      </c>
      <c r="BM88" s="1142">
        <f>SUMIFS(Table915[Count of EnergyRating],Table915[MainSpaceHeatingFuel],AL88,Table915[EnergyRating (group)],AM88,Table915[CountyName (group)],BM$4)</f>
        <v>0</v>
      </c>
      <c r="BO88"/>
    </row>
    <row r="89" spans="2:67">
      <c r="B89" s="1136" t="s">
        <v>56</v>
      </c>
      <c r="C89" s="1136" t="s">
        <v>1155</v>
      </c>
      <c r="D89" s="1136" t="s">
        <v>1094</v>
      </c>
      <c r="E89" s="1146">
        <f t="shared" ref="E89:AD89" si="270">G241*((SUM(AN$89)/SUM(AN$85:AN$93))/(SUM(G$241)/SUM(G$240:G$245)))</f>
        <v>5.2624746880047526E-3</v>
      </c>
      <c r="F89" s="1146">
        <f t="shared" si="270"/>
        <v>9.532107072835215E-2</v>
      </c>
      <c r="G89" s="1146">
        <f t="shared" si="270"/>
        <v>2.8753397012069994E-2</v>
      </c>
      <c r="H89" s="1146">
        <f t="shared" si="270"/>
        <v>5.6475713453846034E-2</v>
      </c>
      <c r="I89" s="1146">
        <f t="shared" si="270"/>
        <v>9.781741954623285E-3</v>
      </c>
      <c r="J89" s="1146">
        <f t="shared" si="270"/>
        <v>4.3485563175471656E-3</v>
      </c>
      <c r="K89" s="1146">
        <f t="shared" si="270"/>
        <v>2.3355608344765914E-2</v>
      </c>
      <c r="L89" s="1146">
        <f t="shared" si="270"/>
        <v>1.6284274908897639E-2</v>
      </c>
      <c r="M89" s="1146">
        <f t="shared" si="270"/>
        <v>3.7947983204154961E-3</v>
      </c>
      <c r="N89" s="1146">
        <f t="shared" si="270"/>
        <v>1.2389445096484559E-2</v>
      </c>
      <c r="O89" s="1146">
        <f t="shared" si="270"/>
        <v>1.4323314758517287E-2</v>
      </c>
      <c r="P89" s="1146">
        <f t="shared" si="270"/>
        <v>1.1847247153012663E-2</v>
      </c>
      <c r="Q89" s="1146">
        <f t="shared" si="270"/>
        <v>4.853909844164761E-2</v>
      </c>
      <c r="R89" s="1146">
        <f t="shared" si="270"/>
        <v>9.9498187768789881E-2</v>
      </c>
      <c r="S89" s="1146">
        <f t="shared" si="270"/>
        <v>5.4644987903917537E-2</v>
      </c>
      <c r="T89" s="1146">
        <f t="shared" si="270"/>
        <v>0.10268053296483194</v>
      </c>
      <c r="U89" s="1146">
        <f t="shared" si="270"/>
        <v>1.6505605009221696E-2</v>
      </c>
      <c r="V89" s="1146">
        <f t="shared" si="270"/>
        <v>2.9053437700574381E-2</v>
      </c>
      <c r="W89" s="1146">
        <f t="shared" si="270"/>
        <v>1.7732309117636666E-2</v>
      </c>
      <c r="X89" s="1146">
        <f t="shared" si="270"/>
        <v>9.3649580446467085E-4</v>
      </c>
      <c r="Y89" s="1146">
        <f t="shared" si="270"/>
        <v>9.5826392145878427E-3</v>
      </c>
      <c r="Z89" s="1146">
        <f t="shared" si="270"/>
        <v>9.9855061741491754E-4</v>
      </c>
      <c r="AA89" s="1146">
        <f t="shared" si="270"/>
        <v>2.6705181513241739E-3</v>
      </c>
      <c r="AB89" s="1146">
        <f t="shared" si="270"/>
        <v>6.8050604784663203E-4</v>
      </c>
      <c r="AC89" s="1146">
        <f t="shared" si="270"/>
        <v>1.0451010129475174E-2</v>
      </c>
      <c r="AD89" s="1146">
        <f t="shared" si="270"/>
        <v>2.2175765266855465E-3</v>
      </c>
      <c r="AE89" s="1173">
        <f t="shared" si="237"/>
        <v>0.67812909813495537</v>
      </c>
      <c r="AF89" s="1179"/>
      <c r="AG89" s="1142"/>
      <c r="AH89" s="1142"/>
      <c r="AL89" s="1144" t="s">
        <v>420</v>
      </c>
      <c r="AM89" s="1144" t="s">
        <v>56</v>
      </c>
      <c r="AN89" s="1157">
        <f>SUMIFS(Table915[Count of EnergyRating],Table915[MainSpaceHeatingFuel],AL89,Table915[EnergyRating (group)],AM89,Table915[CountyName (group)],AN$4)</f>
        <v>4</v>
      </c>
      <c r="AO89" s="1142">
        <f>SUMIFS(Table915[Count of EnergyRating],Table915[MainSpaceHeatingFuel],AL89,Table915[EnergyRating (group)],AM89,Table915[CountyName (group)],AO$4)</f>
        <v>2</v>
      </c>
      <c r="AP89" s="1142">
        <f>SUMIFS(Table915[Count of EnergyRating],Table915[MainSpaceHeatingFuel],AL89,Table915[EnergyRating (group)],AM89,Table915[CountyName (group)],AP$4)</f>
        <v>7</v>
      </c>
      <c r="AQ89" s="1142">
        <f>SUMIFS(Table915[Count of EnergyRating],Table915[MainSpaceHeatingFuel],AL89,Table915[EnergyRating (group)],AM89,Table915[CountyName (group)],AQ$4)</f>
        <v>64</v>
      </c>
      <c r="AR89" s="1142">
        <f>SUMIFS(Table915[Count of EnergyRating],Table915[MainSpaceHeatingFuel],AL89,Table915[EnergyRating (group)],AM89,Table915[CountyName (group)],AR$4)</f>
        <v>20</v>
      </c>
      <c r="AS89" s="1142">
        <f>SUMIFS(Table915[Count of EnergyRating],Table915[MainSpaceHeatingFuel],AL89,Table915[EnergyRating (group)],AM89,Table915[CountyName (group)],AS$4)</f>
        <v>7</v>
      </c>
      <c r="AT89" s="1142">
        <f>SUMIFS(Table915[Count of EnergyRating],Table915[MainSpaceHeatingFuel],AL89,Table915[EnergyRating (group)],AM89,Table915[CountyName (group)],AT$4)</f>
        <v>3</v>
      </c>
      <c r="AU89" s="1142">
        <f>SUMIFS(Table915[Count of EnergyRating],Table915[MainSpaceHeatingFuel],AL89,Table915[EnergyRating (group)],AM89,Table915[CountyName (group)],AU$4)</f>
        <v>4</v>
      </c>
      <c r="AV89" s="1142">
        <f>SUMIFS(Table915[Count of EnergyRating],Table915[MainSpaceHeatingFuel],AL89,Table915[EnergyRating (group)],AM89,Table915[CountyName (group)],AV$4)</f>
        <v>12</v>
      </c>
      <c r="AW89" s="1142">
        <f>SUMIFS(Table915[Count of EnergyRating],Table915[MainSpaceHeatingFuel],AL89,Table915[EnergyRating (group)],AM89,Table915[CountyName (group)],AW$4)</f>
        <v>17</v>
      </c>
      <c r="AX89" s="1142">
        <f>SUMIFS(Table915[Count of EnergyRating],Table915[MainSpaceHeatingFuel],AL89,Table915[EnergyRating (group)],AM89,Table915[CountyName (group)],AX$4)</f>
        <v>28</v>
      </c>
      <c r="AY89" s="1142">
        <f>SUMIFS(Table915[Count of EnergyRating],Table915[MainSpaceHeatingFuel],AL89,Table915[EnergyRating (group)],AM89,Table915[CountyName (group)],AY$4)</f>
        <v>5</v>
      </c>
      <c r="AZ89" s="1142">
        <f>SUMIFS(Table915[Count of EnergyRating],Table915[MainSpaceHeatingFuel],AL89,Table915[EnergyRating (group)],AM89,Table915[CountyName (group)],AZ$4)</f>
        <v>81</v>
      </c>
      <c r="BA89" s="1142">
        <f>SUMIFS(Table915[Count of EnergyRating],Table915[MainSpaceHeatingFuel],AL89,Table915[EnergyRating (group)],AM89,Table915[CountyName (group)],BA$4)</f>
        <v>34</v>
      </c>
      <c r="BB89" s="1142">
        <f>SUMIFS(Table915[Count of EnergyRating],Table915[MainSpaceHeatingFuel],AL89,Table915[EnergyRating (group)],AM89,Table915[CountyName (group)],BB$4)</f>
        <v>108</v>
      </c>
      <c r="BC89" s="1142">
        <f>SUMIFS(Table915[Count of EnergyRating],Table915[MainSpaceHeatingFuel],AL89,Table915[EnergyRating (group)],AM89,Table915[CountyName (group)],BC$4)</f>
        <v>92</v>
      </c>
      <c r="BD89" s="1142">
        <f>SUMIFS(Table915[Count of EnergyRating],Table915[MainSpaceHeatingFuel],AL89,Table915[EnergyRating (group)],AM89,Table915[CountyName (group)],BD$4)</f>
        <v>28</v>
      </c>
      <c r="BE89" s="1142">
        <f>SUMIFS(Table915[Count of EnergyRating],Table915[MainSpaceHeatingFuel],AL89,Table915[EnergyRating (group)],AM89,Table915[CountyName (group)],BE$4)</f>
        <v>14</v>
      </c>
      <c r="BF89" s="1142">
        <f>SUMIFS(Table915[Count of EnergyRating],Table915[MainSpaceHeatingFuel],AL89,Table915[EnergyRating (group)],AM89,Table915[CountyName (group)],BF$4)</f>
        <v>12</v>
      </c>
      <c r="BG89" s="1142">
        <f>SUMIFS(Table915[Count of EnergyRating],Table915[MainSpaceHeatingFuel],AL89,Table915[EnergyRating (group)],AM89,Table915[CountyName (group)],BG$4)</f>
        <v>2</v>
      </c>
      <c r="BH89" s="1142">
        <f>SUMIFS(Table915[Count of EnergyRating],Table915[MainSpaceHeatingFuel],AL89,Table915[EnergyRating (group)],AM89,Table915[CountyName (group)],BH$4)</f>
        <v>11</v>
      </c>
      <c r="BI89" s="1142">
        <f>SUMIFS(Table915[Count of EnergyRating],Table915[MainSpaceHeatingFuel],AL89,Table915[EnergyRating (group)],AM89,Table915[CountyName (group)],BI$4)</f>
        <v>1</v>
      </c>
      <c r="BJ89" s="1142">
        <f>SUMIFS(Table915[Count of EnergyRating],Table915[MainSpaceHeatingFuel],AL89,Table915[EnergyRating (group)],AM89,Table915[CountyName (group)],BJ$4)</f>
        <v>2</v>
      </c>
      <c r="BK89" s="1135">
        <f>SUMIFS(Table915[Count of EnergyRating],Table915[MainSpaceHeatingFuel],AL89,Table915[EnergyRating (group)],AM89,Table915[CountyName (group)],BK$4)</f>
        <v>1</v>
      </c>
      <c r="BL89" s="1142">
        <f>SUMIFS(Table915[Count of EnergyRating],Table915[MainSpaceHeatingFuel],AL89,Table915[EnergyRating (group)],AM89,Table915[CountyName (group)],BL$4)</f>
        <v>7</v>
      </c>
      <c r="BM89" s="1142">
        <f>SUMIFS(Table915[Count of EnergyRating],Table915[MainSpaceHeatingFuel],AL89,Table915[EnergyRating (group)],AM89,Table915[CountyName (group)],BM$4)</f>
        <v>2</v>
      </c>
      <c r="BO89"/>
    </row>
    <row r="90" spans="2:67">
      <c r="B90" s="1134" t="s">
        <v>58</v>
      </c>
      <c r="C90" s="1134" t="s">
        <v>1155</v>
      </c>
      <c r="D90" s="1134" t="s">
        <v>1094</v>
      </c>
      <c r="E90" s="1145">
        <f t="shared" ref="E90:AD90" si="271">G242*((SUM(AN$90)/SUM(AN$85:AN$93))/(SUM(G$242)/SUM(G$240:G$245)))</f>
        <v>0.11051196844809982</v>
      </c>
      <c r="F90" s="1145">
        <f t="shared" si="271"/>
        <v>0.90555017191934539</v>
      </c>
      <c r="G90" s="1145">
        <f t="shared" si="271"/>
        <v>0.34093313600025849</v>
      </c>
      <c r="H90" s="1145">
        <f t="shared" si="271"/>
        <v>0.15707307804350931</v>
      </c>
      <c r="I90" s="1145">
        <f t="shared" si="271"/>
        <v>9.1459287275727705E-2</v>
      </c>
      <c r="J90" s="1145">
        <f t="shared" si="271"/>
        <v>3.2303561216064654E-2</v>
      </c>
      <c r="K90" s="1145">
        <f t="shared" si="271"/>
        <v>0.27248209735560236</v>
      </c>
      <c r="L90" s="1145">
        <f t="shared" si="271"/>
        <v>8.5492443271712612E-2</v>
      </c>
      <c r="M90" s="1145">
        <f t="shared" si="271"/>
        <v>4.2375247911306368E-2</v>
      </c>
      <c r="N90" s="1145">
        <f t="shared" si="271"/>
        <v>0.1902144217754394</v>
      </c>
      <c r="O90" s="1145">
        <f t="shared" si="271"/>
        <v>0.35705977505160952</v>
      </c>
      <c r="P90" s="1145">
        <f t="shared" si="271"/>
        <v>0.28907283053350896</v>
      </c>
      <c r="Q90" s="1145">
        <f t="shared" si="271"/>
        <v>0.2402984996926012</v>
      </c>
      <c r="R90" s="1145">
        <f t="shared" si="271"/>
        <v>1.2642122681210948</v>
      </c>
      <c r="S90" s="1145">
        <f t="shared" si="271"/>
        <v>0.24236064079607872</v>
      </c>
      <c r="T90" s="1145">
        <f t="shared" si="271"/>
        <v>0.37054279287308917</v>
      </c>
      <c r="U90" s="1145">
        <f t="shared" si="271"/>
        <v>0.14442404383068985</v>
      </c>
      <c r="V90" s="1145">
        <f t="shared" si="271"/>
        <v>0.20337406390402063</v>
      </c>
      <c r="W90" s="1145">
        <f t="shared" si="271"/>
        <v>0.13447001080874471</v>
      </c>
      <c r="X90" s="1145">
        <f t="shared" si="271"/>
        <v>6.5554706312526958E-3</v>
      </c>
      <c r="Y90" s="1145">
        <f t="shared" si="271"/>
        <v>8.2759156853258659E-2</v>
      </c>
      <c r="Z90" s="1145">
        <f t="shared" si="271"/>
        <v>1.8972461730883426E-2</v>
      </c>
      <c r="AA90" s="1145">
        <f t="shared" si="271"/>
        <v>4.2728290421186789E-2</v>
      </c>
      <c r="AB90" s="1145">
        <f t="shared" si="271"/>
        <v>3.8788844727258028E-2</v>
      </c>
      <c r="AC90" s="1145">
        <f t="shared" si="271"/>
        <v>0.14930014470678818</v>
      </c>
      <c r="AD90" s="1145">
        <f t="shared" si="271"/>
        <v>0.12861943854776167</v>
      </c>
      <c r="AE90" s="1172">
        <f t="shared" si="237"/>
        <v>5.9419341464468944</v>
      </c>
      <c r="AF90" s="1179"/>
      <c r="AG90" s="1142"/>
      <c r="AH90" s="1142"/>
      <c r="AL90" s="1144" t="s">
        <v>420</v>
      </c>
      <c r="AM90" s="1144" t="s">
        <v>58</v>
      </c>
      <c r="AN90" s="1157">
        <f>SUMIFS(Table915[Count of EnergyRating],Table915[MainSpaceHeatingFuel],AL90,Table915[EnergyRating (group)],AM90,Table915[CountyName (group)],AN$4)</f>
        <v>84</v>
      </c>
      <c r="AO90" s="1142">
        <f>SUMIFS(Table915[Count of EnergyRating],Table915[MainSpaceHeatingFuel],AL90,Table915[EnergyRating (group)],AM90,Table915[CountyName (group)],AO$4)</f>
        <v>19</v>
      </c>
      <c r="AP90" s="1142">
        <f>SUMIFS(Table915[Count of EnergyRating],Table915[MainSpaceHeatingFuel],AL90,Table915[EnergyRating (group)],AM90,Table915[CountyName (group)],AP$4)</f>
        <v>83</v>
      </c>
      <c r="AQ90" s="1142">
        <f>SUMIFS(Table915[Count of EnergyRating],Table915[MainSpaceHeatingFuel],AL90,Table915[EnergyRating (group)],AM90,Table915[CountyName (group)],AQ$4)</f>
        <v>178</v>
      </c>
      <c r="AR90" s="1142">
        <f>SUMIFS(Table915[Count of EnergyRating],Table915[MainSpaceHeatingFuel],AL90,Table915[EnergyRating (group)],AM90,Table915[CountyName (group)],AR$4)</f>
        <v>187</v>
      </c>
      <c r="AS90" s="1142">
        <f>SUMIFS(Table915[Count of EnergyRating],Table915[MainSpaceHeatingFuel],AL90,Table915[EnergyRating (group)],AM90,Table915[CountyName (group)],AS$4)</f>
        <v>52</v>
      </c>
      <c r="AT90" s="1142">
        <f>SUMIFS(Table915[Count of EnergyRating],Table915[MainSpaceHeatingFuel],AL90,Table915[EnergyRating (group)],AM90,Table915[CountyName (group)],AT$4)</f>
        <v>35</v>
      </c>
      <c r="AU90" s="1142">
        <f>SUMIFS(Table915[Count of EnergyRating],Table915[MainSpaceHeatingFuel],AL90,Table915[EnergyRating (group)],AM90,Table915[CountyName (group)],AU$4)</f>
        <v>21</v>
      </c>
      <c r="AV90" s="1142">
        <f>SUMIFS(Table915[Count of EnergyRating],Table915[MainSpaceHeatingFuel],AL90,Table915[EnergyRating (group)],AM90,Table915[CountyName (group)],AV$4)</f>
        <v>134</v>
      </c>
      <c r="AW90" s="1142">
        <f>SUMIFS(Table915[Count of EnergyRating],Table915[MainSpaceHeatingFuel],AL90,Table915[EnergyRating (group)],AM90,Table915[CountyName (group)],AW$4)</f>
        <v>261</v>
      </c>
      <c r="AX90" s="1142">
        <f>SUMIFS(Table915[Count of EnergyRating],Table915[MainSpaceHeatingFuel],AL90,Table915[EnergyRating (group)],AM90,Table915[CountyName (group)],AX$4)</f>
        <v>698</v>
      </c>
      <c r="AY90" s="1142">
        <f>SUMIFS(Table915[Count of EnergyRating],Table915[MainSpaceHeatingFuel],AL90,Table915[EnergyRating (group)],AM90,Table915[CountyName (group)],AY$4)</f>
        <v>122</v>
      </c>
      <c r="AZ90" s="1142">
        <f>SUMIFS(Table915[Count of EnergyRating],Table915[MainSpaceHeatingFuel],AL90,Table915[EnergyRating (group)],AM90,Table915[CountyName (group)],AZ$4)</f>
        <v>401</v>
      </c>
      <c r="BA90" s="1142">
        <f>SUMIFS(Table915[Count of EnergyRating],Table915[MainSpaceHeatingFuel],AL90,Table915[EnergyRating (group)],AM90,Table915[CountyName (group)],BA$4)</f>
        <v>432</v>
      </c>
      <c r="BB90" s="1142">
        <f>SUMIFS(Table915[Count of EnergyRating],Table915[MainSpaceHeatingFuel],AL90,Table915[EnergyRating (group)],AM90,Table915[CountyName (group)],BB$4)</f>
        <v>479</v>
      </c>
      <c r="BC90" s="1142">
        <f>SUMIFS(Table915[Count of EnergyRating],Table915[MainSpaceHeatingFuel],AL90,Table915[EnergyRating (group)],AM90,Table915[CountyName (group)],BC$4)</f>
        <v>332</v>
      </c>
      <c r="BD90" s="1142">
        <f>SUMIFS(Table915[Count of EnergyRating],Table915[MainSpaceHeatingFuel],AL90,Table915[EnergyRating (group)],AM90,Table915[CountyName (group)],BD$4)</f>
        <v>245</v>
      </c>
      <c r="BE90" s="1142">
        <f>SUMIFS(Table915[Count of EnergyRating],Table915[MainSpaceHeatingFuel],AL90,Table915[EnergyRating (group)],AM90,Table915[CountyName (group)],BE$4)</f>
        <v>98</v>
      </c>
      <c r="BF90" s="1142">
        <f>SUMIFS(Table915[Count of EnergyRating],Table915[MainSpaceHeatingFuel],AL90,Table915[EnergyRating (group)],AM90,Table915[CountyName (group)],BF$4)</f>
        <v>91</v>
      </c>
      <c r="BG90" s="1142">
        <f>SUMIFS(Table915[Count of EnergyRating],Table915[MainSpaceHeatingFuel],AL90,Table915[EnergyRating (group)],AM90,Table915[CountyName (group)],BG$4)</f>
        <v>14</v>
      </c>
      <c r="BH90" s="1142">
        <f>SUMIFS(Table915[Count of EnergyRating],Table915[MainSpaceHeatingFuel],AL90,Table915[EnergyRating (group)],AM90,Table915[CountyName (group)],BH$4)</f>
        <v>95</v>
      </c>
      <c r="BI90" s="1142">
        <f>SUMIFS(Table915[Count of EnergyRating],Table915[MainSpaceHeatingFuel],AL90,Table915[EnergyRating (group)],AM90,Table915[CountyName (group)],BI$4)</f>
        <v>19</v>
      </c>
      <c r="BJ90" s="1142">
        <f>SUMIFS(Table915[Count of EnergyRating],Table915[MainSpaceHeatingFuel],AL90,Table915[EnergyRating (group)],AM90,Table915[CountyName (group)],BJ$4)</f>
        <v>32</v>
      </c>
      <c r="BK90" s="1135">
        <f>SUMIFS(Table915[Count of EnergyRating],Table915[MainSpaceHeatingFuel],AL90,Table915[EnergyRating (group)],AM90,Table915[CountyName (group)],BK$4)</f>
        <v>57</v>
      </c>
      <c r="BL90" s="1142">
        <f>SUMIFS(Table915[Count of EnergyRating],Table915[MainSpaceHeatingFuel],AL90,Table915[EnergyRating (group)],AM90,Table915[CountyName (group)],BL$4)</f>
        <v>100</v>
      </c>
      <c r="BM90" s="1142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36" t="s">
        <v>60</v>
      </c>
      <c r="C91" s="1136" t="s">
        <v>1155</v>
      </c>
      <c r="D91" s="1136" t="s">
        <v>1094</v>
      </c>
      <c r="E91" s="1146">
        <f t="shared" ref="E91:AD91" si="272">G243*((SUM(AN$91)/SUM(AN$85:AN$93))/(SUM(G$243)/SUM(G$240:G$245)))</f>
        <v>0.11051196844809981</v>
      </c>
      <c r="F91" s="1146">
        <f t="shared" si="272"/>
        <v>1.0961923133760496</v>
      </c>
      <c r="G91" s="1146">
        <f t="shared" si="272"/>
        <v>0.43130095518104994</v>
      </c>
      <c r="H91" s="1146">
        <f t="shared" si="272"/>
        <v>0.14736631479362949</v>
      </c>
      <c r="I91" s="1146">
        <f t="shared" si="272"/>
        <v>0.19514575199473455</v>
      </c>
      <c r="J91" s="1146">
        <f t="shared" si="272"/>
        <v>7.7652791384770811E-2</v>
      </c>
      <c r="K91" s="1146">
        <f t="shared" si="272"/>
        <v>0.2413412862292478</v>
      </c>
      <c r="L91" s="1146">
        <f t="shared" si="272"/>
        <v>0.407106872722441</v>
      </c>
      <c r="M91" s="1146">
        <f t="shared" si="272"/>
        <v>0.1887912164406709</v>
      </c>
      <c r="N91" s="1146">
        <f t="shared" si="272"/>
        <v>0.11369137853244653</v>
      </c>
      <c r="O91" s="1146">
        <f t="shared" si="272"/>
        <v>0.22661530135796992</v>
      </c>
      <c r="P91" s="1146">
        <f t="shared" si="272"/>
        <v>0.24642274078266344</v>
      </c>
      <c r="Q91" s="1146">
        <f t="shared" si="272"/>
        <v>0.18996165686422586</v>
      </c>
      <c r="R91" s="1146">
        <f t="shared" si="272"/>
        <v>1.0447309715722937</v>
      </c>
      <c r="S91" s="1146">
        <f t="shared" si="272"/>
        <v>0.21605009106456288</v>
      </c>
      <c r="T91" s="1146">
        <f t="shared" si="272"/>
        <v>0.45090147084556642</v>
      </c>
      <c r="U91" s="1146">
        <f t="shared" si="272"/>
        <v>0.3318805578639934</v>
      </c>
      <c r="V91" s="1146">
        <f t="shared" si="272"/>
        <v>0.34864125240689253</v>
      </c>
      <c r="W91" s="1146">
        <f t="shared" si="272"/>
        <v>0.45512926735267439</v>
      </c>
      <c r="X91" s="1146">
        <f t="shared" si="272"/>
        <v>4.5420046516536534E-2</v>
      </c>
      <c r="Y91" s="1146">
        <f t="shared" si="272"/>
        <v>0.16203371762848534</v>
      </c>
      <c r="Z91" s="1146">
        <f t="shared" si="272"/>
        <v>7.5889846923533719E-2</v>
      </c>
      <c r="AA91" s="1146">
        <f t="shared" si="272"/>
        <v>0.14020220294451918</v>
      </c>
      <c r="AB91" s="1146">
        <f t="shared" si="272"/>
        <v>0.1469893063348725</v>
      </c>
      <c r="AC91" s="1146">
        <f t="shared" si="272"/>
        <v>0.19558318956589255</v>
      </c>
      <c r="AD91" s="1146">
        <f t="shared" si="272"/>
        <v>6.8744872327251932E-2</v>
      </c>
      <c r="AE91" s="1173">
        <f t="shared" si="237"/>
        <v>7.3542973414550756</v>
      </c>
      <c r="AF91" s="1179"/>
      <c r="AG91" s="1142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SUMIFS(Table915[Count of EnergyRating],Table915[MainSpaceHeatingFuel],AL91,Table915[EnergyRating (group)],AM91,Table915[CountyName (group)],AN$4)</f>
        <v>84</v>
      </c>
      <c r="AO91" s="1142">
        <f>SUMIFS(Table915[Count of EnergyRating],Table915[MainSpaceHeatingFuel],AL91,Table915[EnergyRating (group)],AM91,Table915[CountyName (group)],AO$4)</f>
        <v>23</v>
      </c>
      <c r="AP91" s="1142">
        <f>SUMIFS(Table915[Count of EnergyRating],Table915[MainSpaceHeatingFuel],AL91,Table915[EnergyRating (group)],AM91,Table915[CountyName (group)],AP$4)</f>
        <v>105</v>
      </c>
      <c r="AQ91" s="1142">
        <f>SUMIFS(Table915[Count of EnergyRating],Table915[MainSpaceHeatingFuel],AL91,Table915[EnergyRating (group)],AM91,Table915[CountyName (group)],AQ$4)</f>
        <v>167</v>
      </c>
      <c r="AR91" s="1142">
        <f>SUMIFS(Table915[Count of EnergyRating],Table915[MainSpaceHeatingFuel],AL91,Table915[EnergyRating (group)],AM91,Table915[CountyName (group)],AR$4)</f>
        <v>399</v>
      </c>
      <c r="AS91" s="1142">
        <f>SUMIFS(Table915[Count of EnergyRating],Table915[MainSpaceHeatingFuel],AL91,Table915[EnergyRating (group)],AM91,Table915[CountyName (group)],AS$4)</f>
        <v>125</v>
      </c>
      <c r="AT91" s="1142">
        <f>SUMIFS(Table915[Count of EnergyRating],Table915[MainSpaceHeatingFuel],AL91,Table915[EnergyRating (group)],AM91,Table915[CountyName (group)],AT$4)</f>
        <v>31</v>
      </c>
      <c r="AU91" s="1142">
        <f>SUMIFS(Table915[Count of EnergyRating],Table915[MainSpaceHeatingFuel],AL91,Table915[EnergyRating (group)],AM91,Table915[CountyName (group)],AU$4)</f>
        <v>100</v>
      </c>
      <c r="AV91" s="1142">
        <f>SUMIFS(Table915[Count of EnergyRating],Table915[MainSpaceHeatingFuel],AL91,Table915[EnergyRating (group)],AM91,Table915[CountyName (group)],AV$4)</f>
        <v>597</v>
      </c>
      <c r="AW91" s="1142">
        <f>SUMIFS(Table915[Count of EnergyRating],Table915[MainSpaceHeatingFuel],AL91,Table915[EnergyRating (group)],AM91,Table915[CountyName (group)],AW$4)</f>
        <v>156</v>
      </c>
      <c r="AX91" s="1142">
        <f>SUMIFS(Table915[Count of EnergyRating],Table915[MainSpaceHeatingFuel],AL91,Table915[EnergyRating (group)],AM91,Table915[CountyName (group)],AX$4)</f>
        <v>443</v>
      </c>
      <c r="AY91" s="1142">
        <f>SUMIFS(Table915[Count of EnergyRating],Table915[MainSpaceHeatingFuel],AL91,Table915[EnergyRating (group)],AM91,Table915[CountyName (group)],AY$4)</f>
        <v>104</v>
      </c>
      <c r="AZ91" s="1142">
        <f>SUMIFS(Table915[Count of EnergyRating],Table915[MainSpaceHeatingFuel],AL91,Table915[EnergyRating (group)],AM91,Table915[CountyName (group)],AZ$4)</f>
        <v>317</v>
      </c>
      <c r="BA91" s="1142">
        <f>SUMIFS(Table915[Count of EnergyRating],Table915[MainSpaceHeatingFuel],AL91,Table915[EnergyRating (group)],AM91,Table915[CountyName (group)],BA$4)</f>
        <v>357</v>
      </c>
      <c r="BB91" s="1142">
        <f>SUMIFS(Table915[Count of EnergyRating],Table915[MainSpaceHeatingFuel],AL91,Table915[EnergyRating (group)],AM91,Table915[CountyName (group)],BB$4)</f>
        <v>427</v>
      </c>
      <c r="BC91" s="1142">
        <f>SUMIFS(Table915[Count of EnergyRating],Table915[MainSpaceHeatingFuel],AL91,Table915[EnergyRating (group)],AM91,Table915[CountyName (group)],BC$4)</f>
        <v>404</v>
      </c>
      <c r="BD91" s="1142">
        <f>SUMIFS(Table915[Count of EnergyRating],Table915[MainSpaceHeatingFuel],AL91,Table915[EnergyRating (group)],AM91,Table915[CountyName (group)],BD$4)</f>
        <v>563</v>
      </c>
      <c r="BE91" s="1142">
        <f>SUMIFS(Table915[Count of EnergyRating],Table915[MainSpaceHeatingFuel],AL91,Table915[EnergyRating (group)],AM91,Table915[CountyName (group)],BE$4)</f>
        <v>168</v>
      </c>
      <c r="BF91" s="1142">
        <f>SUMIFS(Table915[Count of EnergyRating],Table915[MainSpaceHeatingFuel],AL91,Table915[EnergyRating (group)],AM91,Table915[CountyName (group)],BF$4)</f>
        <v>308</v>
      </c>
      <c r="BG91" s="1142">
        <f>SUMIFS(Table915[Count of EnergyRating],Table915[MainSpaceHeatingFuel],AL91,Table915[EnergyRating (group)],AM91,Table915[CountyName (group)],BG$4)</f>
        <v>97</v>
      </c>
      <c r="BH91" s="1142">
        <f>SUMIFS(Table915[Count of EnergyRating],Table915[MainSpaceHeatingFuel],AL91,Table915[EnergyRating (group)],AM91,Table915[CountyName (group)],BH$4)</f>
        <v>186</v>
      </c>
      <c r="BI91" s="1142">
        <f>SUMIFS(Table915[Count of EnergyRating],Table915[MainSpaceHeatingFuel],AL91,Table915[EnergyRating (group)],AM91,Table915[CountyName (group)],BI$4)</f>
        <v>76</v>
      </c>
      <c r="BJ91" s="1142">
        <f>SUMIFS(Table915[Count of EnergyRating],Table915[MainSpaceHeatingFuel],AL91,Table915[EnergyRating (group)],AM91,Table915[CountyName (group)],BJ$4)</f>
        <v>105</v>
      </c>
      <c r="BK91" s="1135">
        <f>SUMIFS(Table915[Count of EnergyRating],Table915[MainSpaceHeatingFuel],AL91,Table915[EnergyRating (group)],AM91,Table915[CountyName (group)],BK$4)</f>
        <v>216</v>
      </c>
      <c r="BL91" s="1142">
        <f>SUMIFS(Table915[Count of EnergyRating],Table915[MainSpaceHeatingFuel],AL91,Table915[EnergyRating (group)],AM91,Table915[CountyName (group)],BL$4)</f>
        <v>131</v>
      </c>
      <c r="BM91" s="1142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34" t="s">
        <v>62</v>
      </c>
      <c r="C92" s="1134" t="s">
        <v>1155</v>
      </c>
      <c r="D92" s="1134" t="s">
        <v>1094</v>
      </c>
      <c r="E92" s="1145">
        <f t="shared" ref="E92:AD92" si="273">G244*((SUM(AN$92)/SUM(AN$85:AN$93))/(SUM(G$244)/SUM(G$240:G$245)))</f>
        <v>7.3674645632066549E-2</v>
      </c>
      <c r="F92" s="1145">
        <f t="shared" si="273"/>
        <v>1.0008712426476976</v>
      </c>
      <c r="G92" s="1145">
        <f t="shared" si="273"/>
        <v>0.27521108568695563</v>
      </c>
      <c r="H92" s="1145">
        <f t="shared" si="273"/>
        <v>6.0887878567427764E-2</v>
      </c>
      <c r="I92" s="1145">
        <f t="shared" si="273"/>
        <v>6.8472193682362986E-2</v>
      </c>
      <c r="J92" s="1145">
        <f t="shared" si="273"/>
        <v>4.2243118513315331E-2</v>
      </c>
      <c r="K92" s="1145">
        <f t="shared" si="273"/>
        <v>7.0066825034297744E-2</v>
      </c>
      <c r="L92" s="1145">
        <f t="shared" si="273"/>
        <v>0.31754336072350398</v>
      </c>
      <c r="M92" s="1145">
        <f t="shared" si="273"/>
        <v>9.1075159689971902E-2</v>
      </c>
      <c r="N92" s="1145">
        <f t="shared" si="273"/>
        <v>4.8828989497909724E-2</v>
      </c>
      <c r="O92" s="1145">
        <f t="shared" si="273"/>
        <v>7.4685855526554421E-2</v>
      </c>
      <c r="P92" s="1145">
        <f t="shared" si="273"/>
        <v>0.14927531412795955</v>
      </c>
      <c r="Q92" s="1145">
        <f t="shared" si="273"/>
        <v>6.7715038566742977E-2</v>
      </c>
      <c r="R92" s="1145">
        <f t="shared" si="273"/>
        <v>0.34531723990344715</v>
      </c>
      <c r="S92" s="1145">
        <f t="shared" si="273"/>
        <v>6.7294290659454012E-2</v>
      </c>
      <c r="T92" s="1145">
        <f t="shared" si="273"/>
        <v>0.18415530368692681</v>
      </c>
      <c r="U92" s="1145">
        <f t="shared" si="273"/>
        <v>0.19453034475154138</v>
      </c>
      <c r="V92" s="1145">
        <f t="shared" si="273"/>
        <v>0.17017013510336423</v>
      </c>
      <c r="W92" s="1145">
        <f t="shared" si="273"/>
        <v>0.19210001544106386</v>
      </c>
      <c r="X92" s="1145">
        <f t="shared" si="273"/>
        <v>3.2309105254031141E-2</v>
      </c>
      <c r="Y92" s="1145">
        <f t="shared" si="273"/>
        <v>8.8857199989814548E-2</v>
      </c>
      <c r="Z92" s="1145">
        <f t="shared" si="273"/>
        <v>4.9927530870745869E-2</v>
      </c>
      <c r="AA92" s="1145">
        <f t="shared" si="273"/>
        <v>8.011554453972522E-2</v>
      </c>
      <c r="AB92" s="1145">
        <f t="shared" si="273"/>
        <v>5.5120989875577196E-2</v>
      </c>
      <c r="AC92" s="1145">
        <f t="shared" si="273"/>
        <v>0.10003109695354809</v>
      </c>
      <c r="AD92" s="1145">
        <f t="shared" si="273"/>
        <v>4.6569107060396471E-2</v>
      </c>
      <c r="AE92" s="1172">
        <f t="shared" si="237"/>
        <v>3.9470486119864012</v>
      </c>
      <c r="AF92" s="1179"/>
      <c r="AG92" s="58" t="s">
        <v>1163</v>
      </c>
      <c r="AH92" s="1158">
        <f>SUM(E97:AD102)</f>
        <v>0.89566667663126365</v>
      </c>
      <c r="AI92" s="1140">
        <f>'SHWLP-Att'!S23</f>
        <v>0.90337121571599954</v>
      </c>
      <c r="AJ92" s="1160">
        <f>IFERROR((AI92-AH92)/AI92,"N/A")</f>
        <v>8.5286523974857711E-3</v>
      </c>
      <c r="AL92" s="1144" t="s">
        <v>420</v>
      </c>
      <c r="AM92" s="1144" t="s">
        <v>62</v>
      </c>
      <c r="AN92" s="1157">
        <f>SUMIFS(Table915[Count of EnergyRating],Table915[MainSpaceHeatingFuel],AL92,Table915[EnergyRating (group)],AM92,Table915[CountyName (group)],AN$4)</f>
        <v>56</v>
      </c>
      <c r="AO92" s="1142">
        <f>SUMIFS(Table915[Count of EnergyRating],Table915[MainSpaceHeatingFuel],AL92,Table915[EnergyRating (group)],AM92,Table915[CountyName (group)],AO$4)</f>
        <v>21</v>
      </c>
      <c r="AP92" s="1142">
        <f>SUMIFS(Table915[Count of EnergyRating],Table915[MainSpaceHeatingFuel],AL92,Table915[EnergyRating (group)],AM92,Table915[CountyName (group)],AP$4)</f>
        <v>67</v>
      </c>
      <c r="AQ92" s="1142">
        <f>SUMIFS(Table915[Count of EnergyRating],Table915[MainSpaceHeatingFuel],AL92,Table915[EnergyRating (group)],AM92,Table915[CountyName (group)],AQ$4)</f>
        <v>69</v>
      </c>
      <c r="AR92" s="1142">
        <f>SUMIFS(Table915[Count of EnergyRating],Table915[MainSpaceHeatingFuel],AL92,Table915[EnergyRating (group)],AM92,Table915[CountyName (group)],AR$4)</f>
        <v>140</v>
      </c>
      <c r="AS92" s="1142">
        <f>SUMIFS(Table915[Count of EnergyRating],Table915[MainSpaceHeatingFuel],AL92,Table915[EnergyRating (group)],AM92,Table915[CountyName (group)],AS$4)</f>
        <v>68</v>
      </c>
      <c r="AT92" s="1142">
        <f>SUMIFS(Table915[Count of EnergyRating],Table915[MainSpaceHeatingFuel],AL92,Table915[EnergyRating (group)],AM92,Table915[CountyName (group)],AT$4)</f>
        <v>9</v>
      </c>
      <c r="AU92" s="1142">
        <f>SUMIFS(Table915[Count of EnergyRating],Table915[MainSpaceHeatingFuel],AL92,Table915[EnergyRating (group)],AM92,Table915[CountyName (group)],AU$4)</f>
        <v>78</v>
      </c>
      <c r="AV92" s="1142">
        <f>SUMIFS(Table915[Count of EnergyRating],Table915[MainSpaceHeatingFuel],AL92,Table915[EnergyRating (group)],AM92,Table915[CountyName (group)],AV$4)</f>
        <v>288</v>
      </c>
      <c r="AW92" s="1142">
        <f>SUMIFS(Table915[Count of EnergyRating],Table915[MainSpaceHeatingFuel],AL92,Table915[EnergyRating (group)],AM92,Table915[CountyName (group)],AW$4)</f>
        <v>67</v>
      </c>
      <c r="AX92" s="1142">
        <f>SUMIFS(Table915[Count of EnergyRating],Table915[MainSpaceHeatingFuel],AL92,Table915[EnergyRating (group)],AM92,Table915[CountyName (group)],AX$4)</f>
        <v>146</v>
      </c>
      <c r="AY92" s="1142">
        <f>SUMIFS(Table915[Count of EnergyRating],Table915[MainSpaceHeatingFuel],AL92,Table915[EnergyRating (group)],AM92,Table915[CountyName (group)],AY$4)</f>
        <v>63</v>
      </c>
      <c r="AZ92" s="1142">
        <f>SUMIFS(Table915[Count of EnergyRating],Table915[MainSpaceHeatingFuel],AL92,Table915[EnergyRating (group)],AM92,Table915[CountyName (group)],AZ$4)</f>
        <v>113</v>
      </c>
      <c r="BA92" s="1142">
        <f>SUMIFS(Table915[Count of EnergyRating],Table915[MainSpaceHeatingFuel],AL92,Table915[EnergyRating (group)],AM92,Table915[CountyName (group)],BA$4)</f>
        <v>118</v>
      </c>
      <c r="BB92" s="1142">
        <f>SUMIFS(Table915[Count of EnergyRating],Table915[MainSpaceHeatingFuel],AL92,Table915[EnergyRating (group)],AM92,Table915[CountyName (group)],BB$4)</f>
        <v>133</v>
      </c>
      <c r="BC92" s="1142">
        <f>SUMIFS(Table915[Count of EnergyRating],Table915[MainSpaceHeatingFuel],AL92,Table915[EnergyRating (group)],AM92,Table915[CountyName (group)],BC$4)</f>
        <v>165</v>
      </c>
      <c r="BD92" s="1142">
        <f>SUMIFS(Table915[Count of EnergyRating],Table915[MainSpaceHeatingFuel],AL92,Table915[EnergyRating (group)],AM92,Table915[CountyName (group)],BD$4)</f>
        <v>330</v>
      </c>
      <c r="BE92" s="1142">
        <f>SUMIFS(Table915[Count of EnergyRating],Table915[MainSpaceHeatingFuel],AL92,Table915[EnergyRating (group)],AM92,Table915[CountyName (group)],BE$4)</f>
        <v>82</v>
      </c>
      <c r="BF92" s="1152">
        <f>SUMIFS(Table915[Count of EnergyRating],Table915[MainSpaceHeatingFuel],AL92,Table915[EnergyRating (group)],AM92,Table915[CountyName (group)],BF$4)</f>
        <v>130</v>
      </c>
      <c r="BG92" s="1142">
        <f>SUMIFS(Table915[Count of EnergyRating],Table915[MainSpaceHeatingFuel],AL92,Table915[EnergyRating (group)],AM92,Table915[CountyName (group)],BG$4)</f>
        <v>69</v>
      </c>
      <c r="BH92" s="1142">
        <f>SUMIFS(Table915[Count of EnergyRating],Table915[MainSpaceHeatingFuel],AL92,Table915[EnergyRating (group)],AM92,Table915[CountyName (group)],BH$4)</f>
        <v>102</v>
      </c>
      <c r="BI92" s="1142">
        <f>SUMIFS(Table915[Count of EnergyRating],Table915[MainSpaceHeatingFuel],AL92,Table915[EnergyRating (group)],AM92,Table915[CountyName (group)],BI$4)</f>
        <v>50</v>
      </c>
      <c r="BJ92" s="1142">
        <f>SUMIFS(Table915[Count of EnergyRating],Table915[MainSpaceHeatingFuel],AL92,Table915[EnergyRating (group)],AM92,Table915[CountyName (group)],BJ$4)</f>
        <v>60</v>
      </c>
      <c r="BK92" s="1135">
        <f>SUMIFS(Table915[Count of EnergyRating],Table915[MainSpaceHeatingFuel],AL92,Table915[EnergyRating (group)],AM92,Table915[CountyName (group)],BK$4)</f>
        <v>81</v>
      </c>
      <c r="BL92" s="1142">
        <f>SUMIFS(Table915[Count of EnergyRating],Table915[MainSpaceHeatingFuel],AL92,Table915[EnergyRating (group)],AM92,Table915[CountyName (group)],BL$4)</f>
        <v>67</v>
      </c>
      <c r="BM92" s="1142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38" t="s">
        <v>64</v>
      </c>
      <c r="C93" s="1138" t="s">
        <v>1155</v>
      </c>
      <c r="D93" s="1138" t="s">
        <v>1094</v>
      </c>
      <c r="E93" s="1147">
        <f t="shared" ref="E93:AD93" si="274">G245*((SUM(AN$93)/SUM(AN$85:AN$93))/(SUM(G$245)/SUM(G$240:G$245)))</f>
        <v>6.7096552272060586E-2</v>
      </c>
      <c r="F93" s="1147">
        <f t="shared" si="274"/>
        <v>9.1031622545576312</v>
      </c>
      <c r="G93" s="1147">
        <f t="shared" si="274"/>
        <v>0.47648486477144558</v>
      </c>
      <c r="H93" s="1147">
        <f t="shared" si="274"/>
        <v>8.7360869248918088E-2</v>
      </c>
      <c r="I93" s="1147">
        <f t="shared" si="274"/>
        <v>0.10368646471900682</v>
      </c>
      <c r="J93" s="1147">
        <f t="shared" si="274"/>
        <v>3.6652117533611826E-2</v>
      </c>
      <c r="K93" s="1147">
        <f t="shared" si="274"/>
        <v>0.38147493629784324</v>
      </c>
      <c r="L93" s="1147">
        <f t="shared" si="274"/>
        <v>0.27276160472403543</v>
      </c>
      <c r="M93" s="1147">
        <f t="shared" si="274"/>
        <v>9.0758926496603956E-2</v>
      </c>
      <c r="N93" s="1147">
        <f t="shared" si="274"/>
        <v>0.13263994162118764</v>
      </c>
      <c r="O93" s="1147">
        <f t="shared" si="274"/>
        <v>7.5197402482215764E-2</v>
      </c>
      <c r="P93" s="1147">
        <f t="shared" si="274"/>
        <v>0.24405329135206089</v>
      </c>
      <c r="Q93" s="1147">
        <f t="shared" si="274"/>
        <v>6.8314286695652204E-2</v>
      </c>
      <c r="R93" s="1147">
        <f t="shared" si="274"/>
        <v>0.96571770481472519</v>
      </c>
      <c r="S93" s="1147">
        <f t="shared" si="274"/>
        <v>5.8186792675467759E-2</v>
      </c>
      <c r="T93" s="1147">
        <f t="shared" si="274"/>
        <v>0.18192311818769133</v>
      </c>
      <c r="U93" s="1147">
        <f t="shared" si="274"/>
        <v>0.2057305767220847</v>
      </c>
      <c r="V93" s="1147">
        <f t="shared" si="274"/>
        <v>0.13489096075266677</v>
      </c>
      <c r="W93" s="1147">
        <f t="shared" si="274"/>
        <v>0.32361464139686913</v>
      </c>
      <c r="X93" s="1147">
        <f t="shared" si="274"/>
        <v>2.6221882525010783E-2</v>
      </c>
      <c r="Y93" s="1147">
        <f t="shared" si="274"/>
        <v>0.16638946272602528</v>
      </c>
      <c r="Z93" s="1147">
        <f t="shared" si="274"/>
        <v>7.289419507128897E-2</v>
      </c>
      <c r="AA93" s="1147">
        <f t="shared" si="274"/>
        <v>9.6138653447670266E-2</v>
      </c>
      <c r="AB93" s="1147">
        <f t="shared" si="274"/>
        <v>7.2133641071742985E-2</v>
      </c>
      <c r="AC93" s="1147">
        <f t="shared" si="274"/>
        <v>0.19110418522468889</v>
      </c>
      <c r="AD93" s="1147">
        <f t="shared" si="274"/>
        <v>2.3284553530198232E-2</v>
      </c>
      <c r="AE93" s="1174">
        <f t="shared" si="237"/>
        <v>13.657873880918402</v>
      </c>
      <c r="AF93" s="1179"/>
      <c r="AG93" s="58" t="s">
        <v>1107</v>
      </c>
      <c r="AH93" s="1158">
        <f>SUM(E104:AD104)</f>
        <v>0.9126123434970963</v>
      </c>
      <c r="AI93" s="1140">
        <f>'SHWLP-Att'!S49</f>
        <v>0.91261234349709597</v>
      </c>
      <c r="AJ93" s="1160">
        <f>(AI93-AH93)/AI93</f>
        <v>-3.6495989755217116E-16</v>
      </c>
      <c r="AL93" s="1144" t="s">
        <v>420</v>
      </c>
      <c r="AM93" s="1144" t="s">
        <v>64</v>
      </c>
      <c r="AN93" s="1157">
        <f>SUMIFS(Table915[Count of EnergyRating],Table915[MainSpaceHeatingFuel],AL93,Table915[EnergyRating (group)],AM93,Table915[CountyName (group)],AN$4)</f>
        <v>51</v>
      </c>
      <c r="AO93" s="1142">
        <f>SUMIFS(Table915[Count of EnergyRating],Table915[MainSpaceHeatingFuel],AL93,Table915[EnergyRating (group)],AM93,Table915[CountyName (group)],AO$4)</f>
        <v>191</v>
      </c>
      <c r="AP93" s="1142">
        <f>SUMIFS(Table915[Count of EnergyRating],Table915[MainSpaceHeatingFuel],AL93,Table915[EnergyRating (group)],AM93,Table915[CountyName (group)],AP$4)</f>
        <v>116</v>
      </c>
      <c r="AQ93" s="1142">
        <f>SUMIFS(Table915[Count of EnergyRating],Table915[MainSpaceHeatingFuel],AL93,Table915[EnergyRating (group)],AM93,Table915[CountyName (group)],AQ$4)</f>
        <v>99</v>
      </c>
      <c r="AR93" s="1142">
        <f>SUMIFS(Table915[Count of EnergyRating],Table915[MainSpaceHeatingFuel],AL93,Table915[EnergyRating (group)],AM93,Table915[CountyName (group)],AR$4)</f>
        <v>212</v>
      </c>
      <c r="AS93" s="1142">
        <f>SUMIFS(Table915[Count of EnergyRating],Table915[MainSpaceHeatingFuel],AL93,Table915[EnergyRating (group)],AM93,Table915[CountyName (group)],AS$4)</f>
        <v>59</v>
      </c>
      <c r="AT93" s="1142">
        <f>SUMIFS(Table915[Count of EnergyRating],Table915[MainSpaceHeatingFuel],AL93,Table915[EnergyRating (group)],AM93,Table915[CountyName (group)],AT$4)</f>
        <v>49</v>
      </c>
      <c r="AU93" s="1142">
        <f>SUMIFS(Table915[Count of EnergyRating],Table915[MainSpaceHeatingFuel],AL93,Table915[EnergyRating (group)],AM93,Table915[CountyName (group)],AU$4)</f>
        <v>67</v>
      </c>
      <c r="AV93" s="1142">
        <f>SUMIFS(Table915[Count of EnergyRating],Table915[MainSpaceHeatingFuel],AL93,Table915[EnergyRating (group)],AM93,Table915[CountyName (group)],AV$4)</f>
        <v>287</v>
      </c>
      <c r="AW93" s="1142">
        <f>SUMIFS(Table915[Count of EnergyRating],Table915[MainSpaceHeatingFuel],AL93,Table915[EnergyRating (group)],AM93,Table915[CountyName (group)],AW$4)</f>
        <v>182</v>
      </c>
      <c r="AX93" s="1142">
        <f>SUMIFS(Table915[Count of EnergyRating],Table915[MainSpaceHeatingFuel],AL93,Table915[EnergyRating (group)],AM93,Table915[CountyName (group)],AX$4)</f>
        <v>147</v>
      </c>
      <c r="AY93" s="1142">
        <f>SUMIFS(Table915[Count of EnergyRating],Table915[MainSpaceHeatingFuel],AL93,Table915[EnergyRating (group)],AM93,Table915[CountyName (group)],AY$4)</f>
        <v>103</v>
      </c>
      <c r="AZ93" s="1142">
        <f>SUMIFS(Table915[Count of EnergyRating],Table915[MainSpaceHeatingFuel],AL93,Table915[EnergyRating (group)],AM93,Table915[CountyName (group)],AZ$4)</f>
        <v>114</v>
      </c>
      <c r="BA93" s="1142">
        <f>SUMIFS(Table915[Count of EnergyRating],Table915[MainSpaceHeatingFuel],AL93,Table915[EnergyRating (group)],AM93,Table915[CountyName (group)],BA$4)</f>
        <v>330</v>
      </c>
      <c r="BB93" s="1142">
        <f>SUMIFS(Table915[Count of EnergyRating],Table915[MainSpaceHeatingFuel],AL93,Table915[EnergyRating (group)],AM93,Table915[CountyName (group)],BB$4)</f>
        <v>115</v>
      </c>
      <c r="BC93" s="1142">
        <f>SUMIFS(Table915[Count of EnergyRating],Table915[MainSpaceHeatingFuel],AL93,Table915[EnergyRating (group)],AM93,Table915[CountyName (group)],BC$4)</f>
        <v>163</v>
      </c>
      <c r="BD93" s="1142">
        <f>SUMIFS(Table915[Count of EnergyRating],Table915[MainSpaceHeatingFuel],AL93,Table915[EnergyRating (group)],AM93,Table915[CountyName (group)],BD$4)</f>
        <v>349</v>
      </c>
      <c r="BE93" s="1142">
        <f>SUMIFS(Table915[Count of EnergyRating],Table915[MainSpaceHeatingFuel],AL93,Table915[EnergyRating (group)],AM93,Table915[CountyName (group)],BE$4)</f>
        <v>65</v>
      </c>
      <c r="BF93" s="1142">
        <f>SUMIFS(Table915[Count of EnergyRating],Table915[MainSpaceHeatingFuel],AL93,Table915[EnergyRating (group)],AM93,Table915[CountyName (group)],BF$4)</f>
        <v>219</v>
      </c>
      <c r="BG93" s="1142">
        <f>SUMIFS(Table915[Count of EnergyRating],Table915[MainSpaceHeatingFuel],AL93,Table915[EnergyRating (group)],AM93,Table915[CountyName (group)],BG$4)</f>
        <v>56</v>
      </c>
      <c r="BH93" s="1142">
        <f>SUMIFS(Table915[Count of EnergyRating],Table915[MainSpaceHeatingFuel],AL93,Table915[EnergyRating (group)],AM93,Table915[CountyName (group)],BH$4)</f>
        <v>191</v>
      </c>
      <c r="BI93" s="1142">
        <f>SUMIFS(Table915[Count of EnergyRating],Table915[MainSpaceHeatingFuel],AL93,Table915[EnergyRating (group)],AM93,Table915[CountyName (group)],BI$4)</f>
        <v>73</v>
      </c>
      <c r="BJ93" s="1142">
        <f>SUMIFS(Table915[Count of EnergyRating],Table915[MainSpaceHeatingFuel],AL93,Table915[EnergyRating (group)],AM93,Table915[CountyName (group)],BJ$4)</f>
        <v>72</v>
      </c>
      <c r="BK93" s="1135">
        <f>SUMIFS(Table915[Count of EnergyRating],Table915[MainSpaceHeatingFuel],AL93,Table915[EnergyRating (group)],AM93,Table915[CountyName (group)],BK$4)</f>
        <v>106</v>
      </c>
      <c r="BL93" s="1142">
        <f>SUMIFS(Table915[Count of EnergyRating],Table915[MainSpaceHeatingFuel],AL93,Table915[EnergyRating (group)],AM93,Table915[CountyName (group)],BL$4)</f>
        <v>128</v>
      </c>
      <c r="BM93" s="1142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38" t="s">
        <v>1075</v>
      </c>
      <c r="C94" s="1138" t="s">
        <v>1155</v>
      </c>
      <c r="D94" s="1138" t="s">
        <v>1094</v>
      </c>
      <c r="E94" s="1147">
        <f>SUM(E88:E93)</f>
        <v>0.36705760948833149</v>
      </c>
      <c r="F94" s="1147">
        <f t="shared" ref="F94" si="275">SUM(F88:F93)</f>
        <v>12.201097053229077</v>
      </c>
      <c r="G94" s="1147">
        <f t="shared" ref="G94" si="276">SUM(G88:G93)</f>
        <v>1.5526834386517798</v>
      </c>
      <c r="H94" s="1147">
        <f t="shared" ref="H94" si="277">SUM(H88:H93)</f>
        <v>0.50916385410733067</v>
      </c>
      <c r="I94" s="1147">
        <f t="shared" ref="I94" si="278">SUM(I88:I93)</f>
        <v>0.4685454396264554</v>
      </c>
      <c r="J94" s="1147">
        <f t="shared" ref="J94" si="279">SUM(J88:J93)</f>
        <v>0.19320014496530979</v>
      </c>
      <c r="K94" s="1147">
        <f t="shared" ref="K94" si="280">SUM(K88:K93)</f>
        <v>0.98872075326175701</v>
      </c>
      <c r="L94" s="1147">
        <f t="shared" ref="L94" si="281">SUM(L88:L93)</f>
        <v>1.1032596250778151</v>
      </c>
      <c r="M94" s="1147">
        <f t="shared" ref="M94" si="282">SUM(M88:M93)</f>
        <v>0.41679534885896857</v>
      </c>
      <c r="N94" s="1147">
        <f t="shared" ref="N94" si="283">SUM(N88:N93)</f>
        <v>0.49922175829952486</v>
      </c>
      <c r="O94" s="1147">
        <f t="shared" ref="O94" si="284">SUM(O88:O93)</f>
        <v>0.74839319613252819</v>
      </c>
      <c r="P94" s="1147">
        <f t="shared" ref="P94" si="285">SUM(P88:P93)</f>
        <v>0.94304087337980802</v>
      </c>
      <c r="Q94" s="1147">
        <f t="shared" ref="Q94" si="286">SUM(Q88:Q93)</f>
        <v>0.61542782838977905</v>
      </c>
      <c r="R94" s="1147">
        <f t="shared" ref="R94" si="287">SUM(R88:R93)</f>
        <v>3.7224027894676679</v>
      </c>
      <c r="S94" s="1147">
        <f t="shared" ref="S94" si="288">SUM(S88:S93)</f>
        <v>0.63853680309948091</v>
      </c>
      <c r="T94" s="1147">
        <f t="shared" ref="T94" si="289">SUM(T88:T93)</f>
        <v>1.2902032185581056</v>
      </c>
      <c r="U94" s="1147">
        <f t="shared" ref="U94" si="290">SUM(U88:U93)</f>
        <v>0.89366061407071751</v>
      </c>
      <c r="V94" s="1147">
        <f t="shared" ref="V94" si="291">SUM(V88:V93)</f>
        <v>0.88612984986751853</v>
      </c>
      <c r="W94" s="1147">
        <f t="shared" ref="W94" si="292">SUM(W88:W93)</f>
        <v>1.1230462441169888</v>
      </c>
      <c r="X94" s="1147">
        <f t="shared" ref="X94" si="293">SUM(X88:X93)</f>
        <v>0.11144300073129583</v>
      </c>
      <c r="Y94" s="1147">
        <f t="shared" ref="Y94" si="294">SUM(Y88:Y93)</f>
        <v>0.50962217641217167</v>
      </c>
      <c r="Z94" s="1147">
        <f t="shared" ref="Z94" si="295">SUM(Z88:Z93)</f>
        <v>0.21868258521386691</v>
      </c>
      <c r="AA94" s="1147">
        <f t="shared" ref="AA94" si="296">SUM(AA88:AA93)</f>
        <v>0.36185520950442562</v>
      </c>
      <c r="AB94" s="1147">
        <f t="shared" ref="AB94" si="297">SUM(AB88:AB93)</f>
        <v>0.31371328805729737</v>
      </c>
      <c r="AC94" s="1147">
        <f t="shared" ref="AC94" si="298">SUM(AC88:AC93)</f>
        <v>0.64646962658039286</v>
      </c>
      <c r="AD94" s="1147">
        <f t="shared" ref="AD94" si="299">SUM(AD88:AD93)</f>
        <v>0.26943554799229386</v>
      </c>
      <c r="AE94" s="1147">
        <f t="shared" ref="AE94" si="300">SUM(AE88:AE93)</f>
        <v>31.591807877140685</v>
      </c>
      <c r="AF94" s="1179"/>
      <c r="AG94" s="1142"/>
      <c r="AH94" s="1142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  <c r="BO94"/>
    </row>
    <row r="95" spans="2:67" ht="13.5" thickBot="1">
      <c r="B95" s="1165"/>
      <c r="C95" s="1165" t="s">
        <v>1156</v>
      </c>
      <c r="D95" s="1165" t="s">
        <v>1094</v>
      </c>
      <c r="E95" s="1166">
        <f t="shared" ref="E95:AD95" si="301">G246</f>
        <v>0.35178834687860916</v>
      </c>
      <c r="F95" s="1166">
        <f t="shared" si="301"/>
        <v>11.693542516239191</v>
      </c>
      <c r="G95" s="1166">
        <f t="shared" si="301"/>
        <v>1.4880932202182493</v>
      </c>
      <c r="H95" s="1166">
        <f t="shared" si="301"/>
        <v>0.48798310100816267</v>
      </c>
      <c r="I95" s="1166">
        <f t="shared" si="301"/>
        <v>0.44905437561550327</v>
      </c>
      <c r="J95" s="1166">
        <f t="shared" si="301"/>
        <v>0.18516319470612844</v>
      </c>
      <c r="K95" s="1166">
        <f t="shared" si="301"/>
        <v>0.94759086945337845</v>
      </c>
      <c r="L95" s="1166">
        <f t="shared" si="301"/>
        <v>1.0573650284080993</v>
      </c>
      <c r="M95" s="1166">
        <f t="shared" si="301"/>
        <v>0.39945704154227824</v>
      </c>
      <c r="N95" s="1166">
        <f t="shared" si="301"/>
        <v>0.47845458734075164</v>
      </c>
      <c r="O95" s="1166">
        <f t="shared" si="301"/>
        <v>0.71726072005334696</v>
      </c>
      <c r="P95" s="1166">
        <f t="shared" si="301"/>
        <v>0.90381123101546412</v>
      </c>
      <c r="Q95" s="1166">
        <f t="shared" si="301"/>
        <v>0.58982659063826093</v>
      </c>
      <c r="R95" s="1166">
        <f t="shared" si="301"/>
        <v>3.5675542200270942</v>
      </c>
      <c r="S95" s="1166">
        <f t="shared" si="301"/>
        <v>0.61197425302433128</v>
      </c>
      <c r="T95" s="1166">
        <f t="shared" si="301"/>
        <v>1.2365319384788431</v>
      </c>
      <c r="U95" s="1166">
        <f t="shared" si="301"/>
        <v>0.85648514556801303</v>
      </c>
      <c r="V95" s="1166">
        <f t="shared" si="301"/>
        <v>0.84926765430426032</v>
      </c>
      <c r="W95" s="1166">
        <f t="shared" si="301"/>
        <v>1.0763285420968927</v>
      </c>
      <c r="X95" s="1166">
        <f t="shared" si="301"/>
        <v>0.10680707329049519</v>
      </c>
      <c r="Y95" s="1166">
        <f t="shared" si="301"/>
        <v>0.488422357522099</v>
      </c>
      <c r="Z95" s="1166">
        <f t="shared" si="301"/>
        <v>0.20958558862399054</v>
      </c>
      <c r="AA95" s="1166">
        <f t="shared" si="301"/>
        <v>0.34680236200094733</v>
      </c>
      <c r="AB95" s="1166">
        <f t="shared" si="301"/>
        <v>0.30066310068702673</v>
      </c>
      <c r="AC95" s="1166">
        <f t="shared" si="301"/>
        <v>0.61957707826563302</v>
      </c>
      <c r="AD95" s="1166">
        <f t="shared" si="301"/>
        <v>0.2582272743253245</v>
      </c>
      <c r="AE95" s="1175">
        <f t="shared" si="237"/>
        <v>30.277617411332372</v>
      </c>
      <c r="AF95" s="1153"/>
      <c r="AG95" s="1142"/>
      <c r="AH95" s="1142"/>
      <c r="AL95" s="1144" t="s">
        <v>1134</v>
      </c>
      <c r="AM95" s="1144" t="s">
        <v>48</v>
      </c>
      <c r="AN95" s="1135">
        <f>SUMIFS(Table915[Count of EnergyRating],Table915[MainSpaceHeatingFuel],AL95,Table915[EnergyRating (group)],AM95,Table915[CountyName (group)],AN$4)</f>
        <v>0</v>
      </c>
      <c r="AO95" s="1129">
        <f>SUMIFS(Table915[Count of EnergyRating],Table915[MainSpaceHeatingFuel],AL95,Table915[EnergyRating (group)],AM95,Table915[CountyName (group)],AO$4)</f>
        <v>0</v>
      </c>
      <c r="AP95" s="1129">
        <f>SUMIFS(Table915[Count of EnergyRating],Table915[MainSpaceHeatingFuel],AL95,Table915[EnergyRating (group)],AM95,Table915[CountyName (group)],AP$4)</f>
        <v>0</v>
      </c>
      <c r="AQ95" s="1129">
        <f>SUMIFS(Table915[Count of EnergyRating],Table915[MainSpaceHeatingFuel],AL95,Table915[EnergyRating (group)],AM95,Table915[CountyName (group)],AQ$4)</f>
        <v>0</v>
      </c>
      <c r="AR95" s="1129">
        <f>SUMIFS(Table915[Count of EnergyRating],Table915[MainSpaceHeatingFuel],AL95,Table915[EnergyRating (group)],AM95,Table915[CountyName (group)],AR$4)</f>
        <v>0</v>
      </c>
      <c r="AS95" s="1129">
        <f>SUMIFS(Table915[Count of EnergyRating],Table915[MainSpaceHeatingFuel],AL95,Table915[EnergyRating (group)],AM95,Table915[CountyName (group)],AS$4)</f>
        <v>0</v>
      </c>
      <c r="AT95" s="1129">
        <f>SUMIFS(Table915[Count of EnergyRating],Table915[MainSpaceHeatingFuel],AL95,Table915[EnergyRating (group)],AM95,Table915[CountyName (group)],AT$4)</f>
        <v>0</v>
      </c>
      <c r="AU95" s="1129">
        <f>SUMIFS(Table915[Count of EnergyRating],Table915[MainSpaceHeatingFuel],AL95,Table915[EnergyRating (group)],AM95,Table915[CountyName (group)],AU$4)</f>
        <v>0</v>
      </c>
      <c r="AV95" s="1129">
        <f>SUMIFS(Table915[Count of EnergyRating],Table915[MainSpaceHeatingFuel],AL95,Table915[EnergyRating (group)],AM95,Table915[CountyName (group)],AV$4)</f>
        <v>1</v>
      </c>
      <c r="AW95" s="1129">
        <f>SUMIFS(Table915[Count of EnergyRating],Table915[MainSpaceHeatingFuel],AL95,Table915[EnergyRating (group)],AM95,Table915[CountyName (group)],AW$4)</f>
        <v>0</v>
      </c>
      <c r="AX95" s="1129">
        <f>SUMIFS(Table915[Count of EnergyRating],Table915[MainSpaceHeatingFuel],AL95,Table915[EnergyRating (group)],AM95,Table915[CountyName (group)],AX$4)</f>
        <v>0</v>
      </c>
      <c r="AY95" s="1129">
        <f>SUMIFS(Table915[Count of EnergyRating],Table915[MainSpaceHeatingFuel],AL95,Table915[EnergyRating (group)],AM95,Table915[CountyName (group)],AY$4)</f>
        <v>0</v>
      </c>
      <c r="AZ95" s="1129">
        <f>SUMIFS(Table915[Count of EnergyRating],Table915[MainSpaceHeatingFuel],AL95,Table915[EnergyRating (group)],AM95,Table915[CountyName (group)],AZ$4)</f>
        <v>0</v>
      </c>
      <c r="BA95" s="1129">
        <f>SUMIFS(Table915[Count of EnergyRating],Table915[MainSpaceHeatingFuel],AL95,Table915[EnergyRating (group)],AM95,Table915[CountyName (group)],BA$4)</f>
        <v>1</v>
      </c>
      <c r="BB95" s="1129">
        <f>SUMIFS(Table915[Count of EnergyRating],Table915[MainSpaceHeatingFuel],AL95,Table915[EnergyRating (group)],AM95,Table915[CountyName (group)],BB$4)</f>
        <v>0</v>
      </c>
      <c r="BC95" s="1129">
        <f>SUMIFS(Table915[Count of EnergyRating],Table915[MainSpaceHeatingFuel],AL95,Table915[EnergyRating (group)],AM95,Table915[CountyName (group)],BC$4)</f>
        <v>0</v>
      </c>
      <c r="BD95" s="1129">
        <f>SUMIFS(Table915[Count of EnergyRating],Table915[MainSpaceHeatingFuel],AL95,Table915[EnergyRating (group)],AM95,Table915[CountyName (group)],BD$4)</f>
        <v>0</v>
      </c>
      <c r="BE95" s="1129">
        <f>SUMIFS(Table915[Count of EnergyRating],Table915[MainSpaceHeatingFuel],AL95,Table915[EnergyRating (group)],AM95,Table915[CountyName (group)],BE$4)</f>
        <v>0</v>
      </c>
      <c r="BF95" s="1129">
        <f>SUMIFS(Table915[Count of EnergyRating],Table915[MainSpaceHeatingFuel],AL95,Table915[EnergyRating (group)],AM95,Table915[CountyName (group)],BF$4)</f>
        <v>0</v>
      </c>
      <c r="BG95" s="1129">
        <f>SUMIFS(Table915[Count of EnergyRating],Table915[MainSpaceHeatingFuel],AL95,Table915[EnergyRating (group)],AM95,Table915[CountyName (group)],BG$4)</f>
        <v>0</v>
      </c>
      <c r="BH95" s="1129">
        <f>SUMIFS(Table915[Count of EnergyRating],Table915[MainSpaceHeatingFuel],AL95,Table915[EnergyRating (group)],AM95,Table915[CountyName (group)],BH$4)</f>
        <v>0</v>
      </c>
      <c r="BI95" s="1129">
        <f>SUMIFS(Table915[Count of EnergyRating],Table915[MainSpaceHeatingFuel],AL95,Table915[EnergyRating (group)],AM95,Table915[CountyName (group)],BI$4)</f>
        <v>0</v>
      </c>
      <c r="BJ95" s="1129">
        <f>SUMIFS(Table915[Count of EnergyRating],Table915[MainSpaceHeatingFuel],AL95,Table915[EnergyRating (group)],AM95,Table915[CountyName (group)],BJ$4)</f>
        <v>0</v>
      </c>
      <c r="BK95" s="1135">
        <f>SUMIFS(Table915[Count of EnergyRating],Table915[MainSpaceHeatingFuel],AL95,Table915[EnergyRating (group)],AM95,Table915[CountyName (group)],BK$4)</f>
        <v>0</v>
      </c>
      <c r="BL95" s="1129">
        <f>SUMIFS(Table915[Count of EnergyRating],Table915[MainSpaceHeatingFuel],AL95,Table915[EnergyRating (group)],AM95,Table915[CountyName (group)],BL$4)</f>
        <v>0</v>
      </c>
      <c r="BM95" s="1129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37"/>
      <c r="C96" s="1137" t="s">
        <v>1128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53"/>
      <c r="AG96" s="1142"/>
      <c r="AH96" s="1142"/>
      <c r="AL96" s="1144" t="s">
        <v>1134</v>
      </c>
      <c r="AM96" s="1144" t="s">
        <v>50</v>
      </c>
      <c r="AN96" s="1135">
        <f>SUMIFS(Table915[Count of EnergyRating],Table915[MainSpaceHeatingFuel],AL96,Table915[EnergyRating (group)],AM96,Table915[CountyName (group)],AN$4)</f>
        <v>0</v>
      </c>
      <c r="AO96" s="1129">
        <f>SUMIFS(Table915[Count of EnergyRating],Table915[MainSpaceHeatingFuel],AL96,Table915[EnergyRating (group)],AM96,Table915[CountyName (group)],AO$4)</f>
        <v>1</v>
      </c>
      <c r="AP96" s="1129">
        <f>SUMIFS(Table915[Count of EnergyRating],Table915[MainSpaceHeatingFuel],AL96,Table915[EnergyRating (group)],AM96,Table915[CountyName (group)],AP$4)</f>
        <v>0</v>
      </c>
      <c r="AQ96" s="1129">
        <f>SUMIFS(Table915[Count of EnergyRating],Table915[MainSpaceHeatingFuel],AL96,Table915[EnergyRating (group)],AM96,Table915[CountyName (group)],AQ$4)</f>
        <v>0</v>
      </c>
      <c r="AR96" s="1129">
        <f>SUMIFS(Table915[Count of EnergyRating],Table915[MainSpaceHeatingFuel],AL96,Table915[EnergyRating (group)],AM96,Table915[CountyName (group)],AR$4)</f>
        <v>0</v>
      </c>
      <c r="AS96" s="1129">
        <f>SUMIFS(Table915[Count of EnergyRating],Table915[MainSpaceHeatingFuel],AL96,Table915[EnergyRating (group)],AM96,Table915[CountyName (group)],AS$4)</f>
        <v>0</v>
      </c>
      <c r="AT96" s="1129">
        <f>SUMIFS(Table915[Count of EnergyRating],Table915[MainSpaceHeatingFuel],AL96,Table915[EnergyRating (group)],AM96,Table915[CountyName (group)],AT$4)</f>
        <v>0</v>
      </c>
      <c r="AU96" s="1129">
        <f>SUMIFS(Table915[Count of EnergyRating],Table915[MainSpaceHeatingFuel],AL96,Table915[EnergyRating (group)],AM96,Table915[CountyName (group)],AU$4)</f>
        <v>0</v>
      </c>
      <c r="AV96" s="1129">
        <f>SUMIFS(Table915[Count of EnergyRating],Table915[MainSpaceHeatingFuel],AL96,Table915[EnergyRating (group)],AM96,Table915[CountyName (group)],AV$4)</f>
        <v>1</v>
      </c>
      <c r="AW96" s="1129">
        <f>SUMIFS(Table915[Count of EnergyRating],Table915[MainSpaceHeatingFuel],AL96,Table915[EnergyRating (group)],AM96,Table915[CountyName (group)],AW$4)</f>
        <v>0</v>
      </c>
      <c r="AX96" s="1129">
        <f>SUMIFS(Table915[Count of EnergyRating],Table915[MainSpaceHeatingFuel],AL96,Table915[EnergyRating (group)],AM96,Table915[CountyName (group)],AX$4)</f>
        <v>0</v>
      </c>
      <c r="AY96" s="1129">
        <f>SUMIFS(Table915[Count of EnergyRating],Table915[MainSpaceHeatingFuel],AL96,Table915[EnergyRating (group)],AM96,Table915[CountyName (group)],AY$4)</f>
        <v>0</v>
      </c>
      <c r="AZ96" s="1129">
        <f>SUMIFS(Table915[Count of EnergyRating],Table915[MainSpaceHeatingFuel],AL96,Table915[EnergyRating (group)],AM96,Table915[CountyName (group)],AZ$4)</f>
        <v>0</v>
      </c>
      <c r="BA96" s="1129">
        <f>SUMIFS(Table915[Count of EnergyRating],Table915[MainSpaceHeatingFuel],AL96,Table915[EnergyRating (group)],AM96,Table915[CountyName (group)],BA$4)</f>
        <v>28</v>
      </c>
      <c r="BB96" s="1129">
        <f>SUMIFS(Table915[Count of EnergyRating],Table915[MainSpaceHeatingFuel],AL96,Table915[EnergyRating (group)],AM96,Table915[CountyName (group)],BB$4)</f>
        <v>0</v>
      </c>
      <c r="BC96" s="1129">
        <f>SUMIFS(Table915[Count of EnergyRating],Table915[MainSpaceHeatingFuel],AL96,Table915[EnergyRating (group)],AM96,Table915[CountyName (group)],BC$4)</f>
        <v>0</v>
      </c>
      <c r="BD96" s="1129">
        <f>SUMIFS(Table915[Count of EnergyRating],Table915[MainSpaceHeatingFuel],AL96,Table915[EnergyRating (group)],AM96,Table915[CountyName (group)],BD$4)</f>
        <v>6</v>
      </c>
      <c r="BE96" s="1129">
        <f>SUMIFS(Table915[Count of EnergyRating],Table915[MainSpaceHeatingFuel],AL96,Table915[EnergyRating (group)],AM96,Table915[CountyName (group)],BE$4)</f>
        <v>0</v>
      </c>
      <c r="BF96" s="1129">
        <f>SUMIFS(Table915[Count of EnergyRating],Table915[MainSpaceHeatingFuel],AL96,Table915[EnergyRating (group)],AM96,Table915[CountyName (group)],BF$4)</f>
        <v>0</v>
      </c>
      <c r="BG96" s="1129">
        <f>SUMIFS(Table915[Count of EnergyRating],Table915[MainSpaceHeatingFuel],AL96,Table915[EnergyRating (group)],AM96,Table915[CountyName (group)],BG$4)</f>
        <v>0</v>
      </c>
      <c r="BH96" s="1129">
        <f>SUMIFS(Table915[Count of EnergyRating],Table915[MainSpaceHeatingFuel],AL96,Table915[EnergyRating (group)],AM96,Table915[CountyName (group)],BH$4)</f>
        <v>0</v>
      </c>
      <c r="BI96" s="1129">
        <f>SUMIFS(Table915[Count of EnergyRating],Table915[MainSpaceHeatingFuel],AL96,Table915[EnergyRating (group)],AM96,Table915[CountyName (group)],BI$4)</f>
        <v>0</v>
      </c>
      <c r="BJ96" s="1129">
        <f>SUMIFS(Table915[Count of EnergyRating],Table915[MainSpaceHeatingFuel],AL96,Table915[EnergyRating (group)],AM96,Table915[CountyName (group)],BJ$4)</f>
        <v>0</v>
      </c>
      <c r="BK96" s="1135">
        <f>SUMIFS(Table915[Count of EnergyRating],Table915[MainSpaceHeatingFuel],AL96,Table915[EnergyRating (group)],AM96,Table915[CountyName (group)],BK$4)</f>
        <v>0</v>
      </c>
      <c r="BL96" s="1129">
        <f>SUMIFS(Table915[Count of EnergyRating],Table915[MainSpaceHeatingFuel],AL96,Table915[EnergyRating (group)],AM96,Table915[CountyName (group)],BL$4)</f>
        <v>0</v>
      </c>
      <c r="BM96" s="1129">
        <f>SUMIFS(Table915[Count of EnergyRating],Table915[MainSpaceHeatingFuel],AL96,Table915[EnergyRating (group)],AM96,Table915[CountyName (group)],BM$4)</f>
        <v>0</v>
      </c>
      <c r="BO96"/>
    </row>
    <row r="97" spans="2:67">
      <c r="B97" s="1134" t="s">
        <v>1259</v>
      </c>
      <c r="C97" s="1134" t="s">
        <v>1148</v>
      </c>
      <c r="D97" s="1134" t="s">
        <v>1094</v>
      </c>
      <c r="E97" s="1145">
        <f t="shared" ref="E97:AD97" si="302">IFERROR(G248*((SUM(AN$95:AN$98)/SUM(AN$95:AN$103))/(SUM(G$248)/SUM(G$248:G$253))),0)</f>
        <v>0</v>
      </c>
      <c r="F97" s="1145">
        <f t="shared" si="302"/>
        <v>4.361146377293857E-2</v>
      </c>
      <c r="G97" s="1145">
        <f t="shared" si="302"/>
        <v>0</v>
      </c>
      <c r="H97" s="1145">
        <f t="shared" si="302"/>
        <v>3.3599068443436976E-3</v>
      </c>
      <c r="I97" s="1145">
        <f t="shared" si="302"/>
        <v>0</v>
      </c>
      <c r="J97" s="1145">
        <f t="shared" si="302"/>
        <v>2.4820573949128075E-3</v>
      </c>
      <c r="K97" s="1145">
        <f t="shared" si="302"/>
        <v>0</v>
      </c>
      <c r="L97" s="1145">
        <f t="shared" si="302"/>
        <v>1.5773915070528232E-2</v>
      </c>
      <c r="M97" s="1145">
        <f t="shared" si="302"/>
        <v>8.2195232923014231E-4</v>
      </c>
      <c r="N97" s="1145">
        <f t="shared" si="302"/>
        <v>4.6049358077439697E-4</v>
      </c>
      <c r="O97" s="1145">
        <f t="shared" si="302"/>
        <v>0</v>
      </c>
      <c r="P97" s="1145">
        <f t="shared" si="302"/>
        <v>0</v>
      </c>
      <c r="Q97" s="1145">
        <f t="shared" si="302"/>
        <v>0</v>
      </c>
      <c r="R97" s="1145">
        <f t="shared" si="302"/>
        <v>4.467957485477915E-2</v>
      </c>
      <c r="S97" s="1145">
        <f t="shared" si="302"/>
        <v>0</v>
      </c>
      <c r="T97" s="1145">
        <f t="shared" si="302"/>
        <v>0</v>
      </c>
      <c r="U97" s="1145">
        <f t="shared" si="302"/>
        <v>7.7437343644751926E-3</v>
      </c>
      <c r="V97" s="1145">
        <f t="shared" si="302"/>
        <v>0</v>
      </c>
      <c r="W97" s="1145">
        <f t="shared" si="302"/>
        <v>3.5681811872759692E-3</v>
      </c>
      <c r="X97" s="1145">
        <f t="shared" si="302"/>
        <v>0</v>
      </c>
      <c r="Y97" s="1145">
        <f t="shared" si="302"/>
        <v>0</v>
      </c>
      <c r="Z97" s="1145">
        <f t="shared" si="302"/>
        <v>0</v>
      </c>
      <c r="AA97" s="1145">
        <f t="shared" si="302"/>
        <v>0</v>
      </c>
      <c r="AB97" s="1145">
        <f t="shared" si="302"/>
        <v>3.3639997217084832E-3</v>
      </c>
      <c r="AC97" s="1145">
        <f t="shared" si="302"/>
        <v>0</v>
      </c>
      <c r="AD97" s="1145">
        <f t="shared" si="302"/>
        <v>0</v>
      </c>
      <c r="AE97" s="1172">
        <f t="shared" si="237"/>
        <v>0.12586527912096662</v>
      </c>
      <c r="AF97" s="1153"/>
      <c r="AG97" s="1142"/>
      <c r="AH97" s="1142"/>
      <c r="AL97" s="1144" t="s">
        <v>1134</v>
      </c>
      <c r="AM97" s="1144" t="s">
        <v>52</v>
      </c>
      <c r="AN97" s="1135">
        <f>SUMIFS(Table915[Count of EnergyRating],Table915[MainSpaceHeatingFuel],AL97,Table915[EnergyRating (group)],AM97,Table915[CountyName (group)],AN$4)</f>
        <v>0</v>
      </c>
      <c r="AO97" s="1129">
        <f>SUMIFS(Table915[Count of EnergyRating],Table915[MainSpaceHeatingFuel],AL97,Table915[EnergyRating (group)],AM97,Table915[CountyName (group)],AO$4)</f>
        <v>3</v>
      </c>
      <c r="AP97" s="1129">
        <f>SUMIFS(Table915[Count of EnergyRating],Table915[MainSpaceHeatingFuel],AL97,Table915[EnergyRating (group)],AM97,Table915[CountyName (group)],AP$4)</f>
        <v>0</v>
      </c>
      <c r="AQ97" s="1129">
        <f>SUMIFS(Table915[Count of EnergyRating],Table915[MainSpaceHeatingFuel],AL97,Table915[EnergyRating (group)],AM97,Table915[CountyName (group)],AQ$4)</f>
        <v>0</v>
      </c>
      <c r="AR97" s="1129">
        <f>SUMIFS(Table915[Count of EnergyRating],Table915[MainSpaceHeatingFuel],AL97,Table915[EnergyRating (group)],AM97,Table915[CountyName (group)],AR$4)</f>
        <v>0</v>
      </c>
      <c r="AS97" s="1129">
        <f>SUMIFS(Table915[Count of EnergyRating],Table915[MainSpaceHeatingFuel],AL97,Table915[EnergyRating (group)],AM97,Table915[CountyName (group)],AS$4)</f>
        <v>1</v>
      </c>
      <c r="AT97" s="1129">
        <f>SUMIFS(Table915[Count of EnergyRating],Table915[MainSpaceHeatingFuel],AL97,Table915[EnergyRating (group)],AM97,Table915[CountyName (group)],AT$4)</f>
        <v>0</v>
      </c>
      <c r="AU97" s="1129">
        <f>SUMIFS(Table915[Count of EnergyRating],Table915[MainSpaceHeatingFuel],AL97,Table915[EnergyRating (group)],AM97,Table915[CountyName (group)],AU$4)</f>
        <v>1</v>
      </c>
      <c r="AV97" s="1129">
        <f>SUMIFS(Table915[Count of EnergyRating],Table915[MainSpaceHeatingFuel],AL97,Table915[EnergyRating (group)],AM97,Table915[CountyName (group)],AV$4)</f>
        <v>0</v>
      </c>
      <c r="AW97" s="1129">
        <f>SUMIFS(Table915[Count of EnergyRating],Table915[MainSpaceHeatingFuel],AL97,Table915[EnergyRating (group)],AM97,Table915[CountyName (group)],AW$4)</f>
        <v>0</v>
      </c>
      <c r="AX97" s="1129">
        <f>SUMIFS(Table915[Count of EnergyRating],Table915[MainSpaceHeatingFuel],AL97,Table915[EnergyRating (group)],AM97,Table915[CountyName (group)],AX$4)</f>
        <v>0</v>
      </c>
      <c r="AY97" s="1129">
        <f>SUMIFS(Table915[Count of EnergyRating],Table915[MainSpaceHeatingFuel],AL97,Table915[EnergyRating (group)],AM97,Table915[CountyName (group)],AY$4)</f>
        <v>0</v>
      </c>
      <c r="AZ97" s="1129">
        <f>SUMIFS(Table915[Count of EnergyRating],Table915[MainSpaceHeatingFuel],AL97,Table915[EnergyRating (group)],AM97,Table915[CountyName (group)],AZ$4)</f>
        <v>0</v>
      </c>
      <c r="BA97" s="1129">
        <f>SUMIFS(Table915[Count of EnergyRating],Table915[MainSpaceHeatingFuel],AL97,Table915[EnergyRating (group)],AM97,Table915[CountyName (group)],BA$4)</f>
        <v>2</v>
      </c>
      <c r="BB97" s="1129">
        <f>SUMIFS(Table915[Count of EnergyRating],Table915[MainSpaceHeatingFuel],AL97,Table915[EnergyRating (group)],AM97,Table915[CountyName (group)],BB$4)</f>
        <v>0</v>
      </c>
      <c r="BC97" s="1129">
        <f>SUMIFS(Table915[Count of EnergyRating],Table915[MainSpaceHeatingFuel],AL97,Table915[EnergyRating (group)],AM97,Table915[CountyName (group)],BC$4)</f>
        <v>0</v>
      </c>
      <c r="BD97" s="1129">
        <f>SUMIFS(Table915[Count of EnergyRating],Table915[MainSpaceHeatingFuel],AL97,Table915[EnergyRating (group)],AM97,Table915[CountyName (group)],BD$4)</f>
        <v>4</v>
      </c>
      <c r="BE97" s="1129">
        <f>SUMIFS(Table915[Count of EnergyRating],Table915[MainSpaceHeatingFuel],AL97,Table915[EnergyRating (group)],AM97,Table915[CountyName (group)],BE$4)</f>
        <v>0</v>
      </c>
      <c r="BF97" s="1129">
        <f>SUMIFS(Table915[Count of EnergyRating],Table915[MainSpaceHeatingFuel],AL97,Table915[EnergyRating (group)],AM97,Table915[CountyName (group)],BF$4)</f>
        <v>0</v>
      </c>
      <c r="BG97" s="1129">
        <f>SUMIFS(Table915[Count of EnergyRating],Table915[MainSpaceHeatingFuel],AL97,Table915[EnergyRating (group)],AM97,Table915[CountyName (group)],BG$4)</f>
        <v>0</v>
      </c>
      <c r="BH97" s="1129">
        <f>SUMIFS(Table915[Count of EnergyRating],Table915[MainSpaceHeatingFuel],AL97,Table915[EnergyRating (group)],AM97,Table915[CountyName (group)],BH$4)</f>
        <v>0</v>
      </c>
      <c r="BI97" s="1129">
        <f>SUMIFS(Table915[Count of EnergyRating],Table915[MainSpaceHeatingFuel],AL97,Table915[EnergyRating (group)],AM97,Table915[CountyName (group)],BI$4)</f>
        <v>0</v>
      </c>
      <c r="BJ97" s="1129">
        <f>SUMIFS(Table915[Count of EnergyRating],Table915[MainSpaceHeatingFuel],AL97,Table915[EnergyRating (group)],AM97,Table915[CountyName (group)],BJ$4)</f>
        <v>0</v>
      </c>
      <c r="BK97" s="1135">
        <f>SUMIFS(Table915[Count of EnergyRating],Table915[MainSpaceHeatingFuel],AL97,Table915[EnergyRating (group)],AM97,Table915[CountyName (group)],BK$4)</f>
        <v>2</v>
      </c>
      <c r="BL97" s="1129">
        <f>SUMIFS(Table915[Count of EnergyRating],Table915[MainSpaceHeatingFuel],AL97,Table915[EnergyRating (group)],AM97,Table915[CountyName (group)],BL$4)</f>
        <v>0</v>
      </c>
      <c r="BM97" s="1129">
        <f>SUMIFS(Table915[Count of EnergyRating],Table915[MainSpaceHeatingFuel],AL97,Table915[EnergyRating (group)],AM97,Table915[CountyName (group)],BM$4)</f>
        <v>0</v>
      </c>
      <c r="BO97"/>
    </row>
    <row r="98" spans="2:67">
      <c r="B98" s="1136" t="s">
        <v>56</v>
      </c>
      <c r="C98" s="1136" t="s">
        <v>1148</v>
      </c>
      <c r="D98" s="1136" t="s">
        <v>1094</v>
      </c>
      <c r="E98" s="1146">
        <f t="shared" ref="E98:AD98" si="303">IFERROR(G249*((SUM(AN$99)/SUM(AN$95:AN$103))/(SUM(G$249)/SUM(G$248:G$253))),0)</f>
        <v>2.09921053084914E-3</v>
      </c>
      <c r="F98" s="1146">
        <f t="shared" si="303"/>
        <v>0.14827897682799115</v>
      </c>
      <c r="G98" s="1146">
        <f t="shared" si="303"/>
        <v>1.109978836168388E-2</v>
      </c>
      <c r="H98" s="1146">
        <f t="shared" si="303"/>
        <v>3.359906844343698E-3</v>
      </c>
      <c r="I98" s="1146">
        <f t="shared" si="303"/>
        <v>0</v>
      </c>
      <c r="J98" s="1146">
        <f t="shared" si="303"/>
        <v>1.9215928218679803E-3</v>
      </c>
      <c r="K98" s="1146">
        <f t="shared" si="303"/>
        <v>1.4136289261305683E-2</v>
      </c>
      <c r="L98" s="1146">
        <f t="shared" si="303"/>
        <v>0</v>
      </c>
      <c r="M98" s="1146">
        <f t="shared" si="303"/>
        <v>4.520737810765783E-3</v>
      </c>
      <c r="N98" s="1146">
        <f t="shared" si="303"/>
        <v>4.6049358077439699E-3</v>
      </c>
      <c r="O98" s="1146">
        <f t="shared" si="303"/>
        <v>5.8364688090808631E-3</v>
      </c>
      <c r="P98" s="1146">
        <f t="shared" si="303"/>
        <v>1.0986293731412782E-2</v>
      </c>
      <c r="Q98" s="1146">
        <f t="shared" si="303"/>
        <v>8.1222583108600394E-3</v>
      </c>
      <c r="R98" s="1146">
        <f t="shared" si="303"/>
        <v>3.8109049140841039E-2</v>
      </c>
      <c r="S98" s="1146">
        <f t="shared" si="303"/>
        <v>3.0431716683149736E-3</v>
      </c>
      <c r="T98" s="1146">
        <f t="shared" si="303"/>
        <v>2.5665045375378805E-2</v>
      </c>
      <c r="U98" s="1146">
        <f t="shared" si="303"/>
        <v>7.7437343644751915E-4</v>
      </c>
      <c r="V98" s="1146">
        <f t="shared" si="303"/>
        <v>3.6198543390479408E-3</v>
      </c>
      <c r="W98" s="1146">
        <f t="shared" si="303"/>
        <v>1.0704543561827906E-2</v>
      </c>
      <c r="X98" s="1146">
        <f t="shared" si="303"/>
        <v>7.9668121119554633E-4</v>
      </c>
      <c r="Y98" s="1146">
        <f t="shared" si="303"/>
        <v>0</v>
      </c>
      <c r="Z98" s="1146">
        <f t="shared" si="303"/>
        <v>0</v>
      </c>
      <c r="AA98" s="1146">
        <f t="shared" si="303"/>
        <v>1.0347289455368988E-2</v>
      </c>
      <c r="AB98" s="1146">
        <f t="shared" si="303"/>
        <v>2.2426664811389888E-3</v>
      </c>
      <c r="AC98" s="1146">
        <f t="shared" si="303"/>
        <v>0</v>
      </c>
      <c r="AD98" s="1146">
        <f t="shared" si="303"/>
        <v>0</v>
      </c>
      <c r="AE98" s="1173">
        <f t="shared" si="237"/>
        <v>0.31026913378746668</v>
      </c>
      <c r="AF98" s="1153"/>
      <c r="AG98" s="1142"/>
      <c r="AH98" s="1142"/>
      <c r="AL98" s="1144" t="s">
        <v>1134</v>
      </c>
      <c r="AM98" s="1144" t="s">
        <v>54</v>
      </c>
      <c r="AN98" s="1135">
        <f>SUMIFS(Table915[Count of EnergyRating],Table915[MainSpaceHeatingFuel],AL98,Table915[EnergyRating (group)],AM98,Table915[CountyName (group)],AN$4)</f>
        <v>0</v>
      </c>
      <c r="AO98" s="1129">
        <f>SUMIFS(Table915[Count of EnergyRating],Table915[MainSpaceHeatingFuel],AL98,Table915[EnergyRating (group)],AM98,Table915[CountyName (group)],AO$4)</f>
        <v>1</v>
      </c>
      <c r="AP98" s="1129">
        <f>SUMIFS(Table915[Count of EnergyRating],Table915[MainSpaceHeatingFuel],AL98,Table915[EnergyRating (group)],AM98,Table915[CountyName (group)],AP$4)</f>
        <v>0</v>
      </c>
      <c r="AQ98" s="1129">
        <f>SUMIFS(Table915[Count of EnergyRating],Table915[MainSpaceHeatingFuel],AL98,Table915[EnergyRating (group)],AM98,Table915[CountyName (group)],AQ$4)</f>
        <v>3</v>
      </c>
      <c r="AR98" s="1129">
        <f>SUMIFS(Table915[Count of EnergyRating],Table915[MainSpaceHeatingFuel],AL98,Table915[EnergyRating (group)],AM98,Table915[CountyName (group)],AR$4)</f>
        <v>0</v>
      </c>
      <c r="AS98" s="1129">
        <f>SUMIFS(Table915[Count of EnergyRating],Table915[MainSpaceHeatingFuel],AL98,Table915[EnergyRating (group)],AM98,Table915[CountyName (group)],AS$4)</f>
        <v>30</v>
      </c>
      <c r="AT98" s="1129">
        <f>SUMIFS(Table915[Count of EnergyRating],Table915[MainSpaceHeatingFuel],AL98,Table915[EnergyRating (group)],AM98,Table915[CountyName (group)],AT$4)</f>
        <v>0</v>
      </c>
      <c r="AU98" s="1129">
        <f>SUMIFS(Table915[Count of EnergyRating],Table915[MainSpaceHeatingFuel],AL98,Table915[EnergyRating (group)],AM98,Table915[CountyName (group)],AU$4)</f>
        <v>1</v>
      </c>
      <c r="AV98" s="1129">
        <f>SUMIFS(Table915[Count of EnergyRating],Table915[MainSpaceHeatingFuel],AL98,Table915[EnergyRating (group)],AM98,Table915[CountyName (group)],AV$4)</f>
        <v>0</v>
      </c>
      <c r="AW98" s="1129">
        <f>SUMIFS(Table915[Count of EnergyRating],Table915[MainSpaceHeatingFuel],AL98,Table915[EnergyRating (group)],AM98,Table915[CountyName (group)],AW$4)</f>
        <v>1</v>
      </c>
      <c r="AX98" s="1129">
        <f>SUMIFS(Table915[Count of EnergyRating],Table915[MainSpaceHeatingFuel],AL98,Table915[EnergyRating (group)],AM98,Table915[CountyName (group)],AX$4)</f>
        <v>0</v>
      </c>
      <c r="AY98" s="1129">
        <f>SUMIFS(Table915[Count of EnergyRating],Table915[MainSpaceHeatingFuel],AL98,Table915[EnergyRating (group)],AM98,Table915[CountyName (group)],AY$4)</f>
        <v>0</v>
      </c>
      <c r="AZ98" s="1129">
        <f>SUMIFS(Table915[Count of EnergyRating],Table915[MainSpaceHeatingFuel],AL98,Table915[EnergyRating (group)],AM98,Table915[CountyName (group)],AZ$4)</f>
        <v>0</v>
      </c>
      <c r="BA98" s="1129">
        <f>SUMIFS(Table915[Count of EnergyRating],Table915[MainSpaceHeatingFuel],AL98,Table915[EnergyRating (group)],AM98,Table915[CountyName (group)],BA$4)</f>
        <v>3</v>
      </c>
      <c r="BB98" s="1129">
        <f>SUMIFS(Table915[Count of EnergyRating],Table915[MainSpaceHeatingFuel],AL98,Table915[EnergyRating (group)],AM98,Table915[CountyName (group)],BB$4)</f>
        <v>0</v>
      </c>
      <c r="BC98" s="1129">
        <f>SUMIFS(Table915[Count of EnergyRating],Table915[MainSpaceHeatingFuel],AL98,Table915[EnergyRating (group)],AM98,Table915[CountyName (group)],BC$4)</f>
        <v>0</v>
      </c>
      <c r="BD98" s="1129">
        <f>SUMIFS(Table915[Count of EnergyRating],Table915[MainSpaceHeatingFuel],AL98,Table915[EnergyRating (group)],AM98,Table915[CountyName (group)],BD$4)</f>
        <v>0</v>
      </c>
      <c r="BE98" s="1129">
        <f>SUMIFS(Table915[Count of EnergyRating],Table915[MainSpaceHeatingFuel],AL98,Table915[EnergyRating (group)],AM98,Table915[CountyName (group)],BE$4)</f>
        <v>0</v>
      </c>
      <c r="BF98" s="1129">
        <f>SUMIFS(Table915[Count of EnergyRating],Table915[MainSpaceHeatingFuel],AL98,Table915[EnergyRating (group)],AM98,Table915[CountyName (group)],BF$4)</f>
        <v>1</v>
      </c>
      <c r="BG98" s="1129">
        <f>SUMIFS(Table915[Count of EnergyRating],Table915[MainSpaceHeatingFuel],AL98,Table915[EnergyRating (group)],AM98,Table915[CountyName (group)],BG$4)</f>
        <v>0</v>
      </c>
      <c r="BH98" s="1129">
        <f>SUMIFS(Table915[Count of EnergyRating],Table915[MainSpaceHeatingFuel],AL98,Table915[EnergyRating (group)],AM98,Table915[CountyName (group)],BH$4)</f>
        <v>0</v>
      </c>
      <c r="BI98" s="1129">
        <f>SUMIFS(Table915[Count of EnergyRating],Table915[MainSpaceHeatingFuel],AL98,Table915[EnergyRating (group)],AM98,Table915[CountyName (group)],BI$4)</f>
        <v>0</v>
      </c>
      <c r="BJ98" s="1129">
        <f>SUMIFS(Table915[Count of EnergyRating],Table915[MainSpaceHeatingFuel],AL98,Table915[EnergyRating (group)],AM98,Table915[CountyName (group)],BJ$4)</f>
        <v>0</v>
      </c>
      <c r="BK98" s="1135">
        <f>SUMIFS(Table915[Count of EnergyRating],Table915[MainSpaceHeatingFuel],AL98,Table915[EnergyRating (group)],AM98,Table915[CountyName (group)],BK$4)</f>
        <v>1</v>
      </c>
      <c r="BL98" s="1129">
        <f>SUMIFS(Table915[Count of EnergyRating],Table915[MainSpaceHeatingFuel],AL98,Table915[EnergyRating (group)],AM98,Table915[CountyName (group)],BL$4)</f>
        <v>0</v>
      </c>
      <c r="BM98" s="1129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34" t="s">
        <v>58</v>
      </c>
      <c r="C99" s="1134" t="s">
        <v>1148</v>
      </c>
      <c r="D99" s="1134" t="s">
        <v>1094</v>
      </c>
      <c r="E99" s="1145">
        <f t="shared" ref="E99:AD99" si="304">IFERROR(G250*((SUM(AN$100)/SUM(AN$95:AN$103))/(SUM(G$250)/SUM(G$248:G$253))),0)</f>
        <v>0</v>
      </c>
      <c r="F99" s="1145">
        <f t="shared" si="304"/>
        <v>8.7222927545877155E-2</v>
      </c>
      <c r="G99" s="1145">
        <f t="shared" si="304"/>
        <v>1.8499647269473136E-2</v>
      </c>
      <c r="H99" s="1145">
        <f t="shared" si="304"/>
        <v>2.2399378962291321E-3</v>
      </c>
      <c r="I99" s="1145">
        <f t="shared" si="304"/>
        <v>6.6990541513106978E-3</v>
      </c>
      <c r="J99" s="1145">
        <f t="shared" si="304"/>
        <v>1.60132735155665E-4</v>
      </c>
      <c r="K99" s="1145">
        <f t="shared" si="304"/>
        <v>0</v>
      </c>
      <c r="L99" s="1145">
        <f t="shared" si="304"/>
        <v>7.8869575352641143E-3</v>
      </c>
      <c r="M99" s="1145">
        <f t="shared" si="304"/>
        <v>3.2878093169205693E-3</v>
      </c>
      <c r="N99" s="1145">
        <f t="shared" si="304"/>
        <v>2.302467903871985E-3</v>
      </c>
      <c r="O99" s="1145">
        <f t="shared" si="304"/>
        <v>5.8364688090808631E-3</v>
      </c>
      <c r="P99" s="1145">
        <f t="shared" si="304"/>
        <v>2.9962619267489407E-3</v>
      </c>
      <c r="Q99" s="1145">
        <f t="shared" si="304"/>
        <v>2.7074194369533463E-3</v>
      </c>
      <c r="R99" s="1145">
        <f t="shared" si="304"/>
        <v>1.3141051427876221E-2</v>
      </c>
      <c r="S99" s="1145">
        <f t="shared" si="304"/>
        <v>6.8471362537086905E-3</v>
      </c>
      <c r="T99" s="1145">
        <f t="shared" si="304"/>
        <v>6.4162613438447022E-3</v>
      </c>
      <c r="U99" s="1145">
        <f t="shared" si="304"/>
        <v>7.7437343644751935E-3</v>
      </c>
      <c r="V99" s="1145">
        <f t="shared" si="304"/>
        <v>0</v>
      </c>
      <c r="W99" s="1145">
        <f t="shared" si="304"/>
        <v>1.0704543561827908E-2</v>
      </c>
      <c r="X99" s="1145">
        <f t="shared" si="304"/>
        <v>1.5933624223910924E-3</v>
      </c>
      <c r="Y99" s="1145">
        <f t="shared" si="304"/>
        <v>3.643175525532517E-3</v>
      </c>
      <c r="Z99" s="1145">
        <f t="shared" si="304"/>
        <v>1.5633131350763381E-3</v>
      </c>
      <c r="AA99" s="1145">
        <f t="shared" si="304"/>
        <v>0</v>
      </c>
      <c r="AB99" s="1145">
        <f t="shared" si="304"/>
        <v>1.1213332405694944E-3</v>
      </c>
      <c r="AC99" s="1145">
        <f t="shared" si="304"/>
        <v>0</v>
      </c>
      <c r="AD99" s="1145">
        <f t="shared" si="304"/>
        <v>0</v>
      </c>
      <c r="AE99" s="1172">
        <f t="shared" si="237"/>
        <v>0.19261299580218774</v>
      </c>
      <c r="AF99" s="1153"/>
      <c r="AG99" s="1142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SUMIFS(Table915[Count of EnergyRating],Table915[MainSpaceHeatingFuel],AL99,Table915[EnergyRating (group)],AM99,Table915[CountyName (group)],AN$4)</f>
        <v>1</v>
      </c>
      <c r="AO99" s="1129">
        <f>SUMIFS(Table915[Count of EnergyRating],Table915[MainSpaceHeatingFuel],AL99,Table915[EnergyRating (group)],AM99,Table915[CountyName (group)],AO$4)</f>
        <v>17</v>
      </c>
      <c r="AP99" s="1129">
        <f>SUMIFS(Table915[Count of EnergyRating],Table915[MainSpaceHeatingFuel],AL99,Table915[EnergyRating (group)],AM99,Table915[CountyName (group)],AP$4)</f>
        <v>3</v>
      </c>
      <c r="AQ99" s="1129">
        <f>SUMIFS(Table915[Count of EnergyRating],Table915[MainSpaceHeatingFuel],AL99,Table915[EnergyRating (group)],AM99,Table915[CountyName (group)],AQ$4)</f>
        <v>3</v>
      </c>
      <c r="AR99" s="1129">
        <f>SUMIFS(Table915[Count of EnergyRating],Table915[MainSpaceHeatingFuel],AL99,Table915[EnergyRating (group)],AM99,Table915[CountyName (group)],AR$4)</f>
        <v>0</v>
      </c>
      <c r="AS99" s="1129">
        <f>SUMIFS(Table915[Count of EnergyRating],Table915[MainSpaceHeatingFuel],AL99,Table915[EnergyRating (group)],AM99,Table915[CountyName (group)],AS$4)</f>
        <v>24</v>
      </c>
      <c r="AT99" s="1129">
        <f>SUMIFS(Table915[Count of EnergyRating],Table915[MainSpaceHeatingFuel],AL99,Table915[EnergyRating (group)],AM99,Table915[CountyName (group)],AT$4)</f>
        <v>1</v>
      </c>
      <c r="AU99" s="1129">
        <f>SUMIFS(Table915[Count of EnergyRating],Table915[MainSpaceHeatingFuel],AL99,Table915[EnergyRating (group)],AM99,Table915[CountyName (group)],AU$4)</f>
        <v>0</v>
      </c>
      <c r="AV99" s="1129">
        <f>SUMIFS(Table915[Count of EnergyRating],Table915[MainSpaceHeatingFuel],AL99,Table915[EnergyRating (group)],AM99,Table915[CountyName (group)],AV$4)</f>
        <v>11</v>
      </c>
      <c r="AW99" s="1129">
        <f>SUMIFS(Table915[Count of EnergyRating],Table915[MainSpaceHeatingFuel],AL99,Table915[EnergyRating (group)],AM99,Table915[CountyName (group)],AW$4)</f>
        <v>10</v>
      </c>
      <c r="AX99" s="1129">
        <f>SUMIFS(Table915[Count of EnergyRating],Table915[MainSpaceHeatingFuel],AL99,Table915[EnergyRating (group)],AM99,Table915[CountyName (group)],AX$4)</f>
        <v>3</v>
      </c>
      <c r="AY99" s="1129">
        <f>SUMIFS(Table915[Count of EnergyRating],Table915[MainSpaceHeatingFuel],AL99,Table915[EnergyRating (group)],AM99,Table915[CountyName (group)],AY$4)</f>
        <v>11</v>
      </c>
      <c r="AZ99" s="1129">
        <f>SUMIFS(Table915[Count of EnergyRating],Table915[MainSpaceHeatingFuel],AL99,Table915[EnergyRating (group)],AM99,Table915[CountyName (group)],AZ$4)</f>
        <v>6</v>
      </c>
      <c r="BA99" s="1129">
        <f>SUMIFS(Table915[Count of EnergyRating],Table915[MainSpaceHeatingFuel],AL99,Table915[EnergyRating (group)],AM99,Table915[CountyName (group)],BA$4)</f>
        <v>29</v>
      </c>
      <c r="BB99" s="1129">
        <f>SUMIFS(Table915[Count of EnergyRating],Table915[MainSpaceHeatingFuel],AL99,Table915[EnergyRating (group)],AM99,Table915[CountyName (group)],BB$4)</f>
        <v>8</v>
      </c>
      <c r="BC99" s="1129">
        <f>SUMIFS(Table915[Count of EnergyRating],Table915[MainSpaceHeatingFuel],AL99,Table915[EnergyRating (group)],AM99,Table915[CountyName (group)],BC$4)</f>
        <v>16</v>
      </c>
      <c r="BD99" s="1129">
        <f>SUMIFS(Table915[Count of EnergyRating],Table915[MainSpaceHeatingFuel],AL99,Table915[EnergyRating (group)],AM99,Table915[CountyName (group)],BD$4)</f>
        <v>1</v>
      </c>
      <c r="BE99" s="1129">
        <f>SUMIFS(Table915[Count of EnergyRating],Table915[MainSpaceHeatingFuel],AL99,Table915[EnergyRating (group)],AM99,Table915[CountyName (group)],BE$4)</f>
        <v>1</v>
      </c>
      <c r="BF99" s="1129">
        <f>SUMIFS(Table915[Count of EnergyRating],Table915[MainSpaceHeatingFuel],AL99,Table915[EnergyRating (group)],AM99,Table915[CountyName (group)],BF$4)</f>
        <v>3</v>
      </c>
      <c r="BG99" s="1129">
        <f>SUMIFS(Table915[Count of EnergyRating],Table915[MainSpaceHeatingFuel],AL99,Table915[EnergyRating (group)],AM99,Table915[CountyName (group)],BG$4)</f>
        <v>1</v>
      </c>
      <c r="BH99" s="1129">
        <f>SUMIFS(Table915[Count of EnergyRating],Table915[MainSpaceHeatingFuel],AL99,Table915[EnergyRating (group)],AM99,Table915[CountyName (group)],BH$4)</f>
        <v>0</v>
      </c>
      <c r="BI99" s="1129">
        <f>SUMIFS(Table915[Count of EnergyRating],Table915[MainSpaceHeatingFuel],AL99,Table915[EnergyRating (group)],AM99,Table915[CountyName (group)],BI$4)</f>
        <v>0</v>
      </c>
      <c r="BJ99" s="1129">
        <f>SUMIFS(Table915[Count of EnergyRating],Table915[MainSpaceHeatingFuel],AL99,Table915[EnergyRating (group)],AM99,Table915[CountyName (group)],BJ$4)</f>
        <v>1</v>
      </c>
      <c r="BK99" s="1135">
        <f>SUMIFS(Table915[Count of EnergyRating],Table915[MainSpaceHeatingFuel],AL99,Table915[EnergyRating (group)],AM99,Table915[CountyName (group)],BK$4)</f>
        <v>2</v>
      </c>
      <c r="BL99" s="1129">
        <f>SUMIFS(Table915[Count of EnergyRating],Table915[MainSpaceHeatingFuel],AL99,Table915[EnergyRating (group)],AM99,Table915[CountyName (group)],BL$4)</f>
        <v>0</v>
      </c>
      <c r="BM99" s="1129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36" t="s">
        <v>60</v>
      </c>
      <c r="C100" s="1136" t="s">
        <v>1148</v>
      </c>
      <c r="D100" s="1136" t="s">
        <v>1094</v>
      </c>
      <c r="E100" s="1146">
        <f t="shared" ref="E100:AD100" si="305">IFERROR(G251*((SUM(AN$101)/SUM(AN$95:AN$103))/(SUM(G$251)/SUM(G$248:G$253))),0)</f>
        <v>4.1984210616982801E-3</v>
      </c>
      <c r="F100" s="1146">
        <f t="shared" si="305"/>
        <v>0</v>
      </c>
      <c r="G100" s="1146">
        <f t="shared" si="305"/>
        <v>7.399858907789254E-3</v>
      </c>
      <c r="H100" s="1146">
        <f t="shared" si="305"/>
        <v>5.5998447405728301E-3</v>
      </c>
      <c r="I100" s="1146">
        <f t="shared" si="305"/>
        <v>0</v>
      </c>
      <c r="J100" s="1146">
        <f t="shared" si="305"/>
        <v>8.0066367577832508E-4</v>
      </c>
      <c r="K100" s="1146">
        <f t="shared" si="305"/>
        <v>1.4136289261305687E-2</v>
      </c>
      <c r="L100" s="1146">
        <f t="shared" si="305"/>
        <v>0</v>
      </c>
      <c r="M100" s="1146">
        <f t="shared" si="305"/>
        <v>1.6439046584602846E-3</v>
      </c>
      <c r="N100" s="1146">
        <f t="shared" si="305"/>
        <v>1.8419743230975877E-3</v>
      </c>
      <c r="O100" s="1146">
        <f t="shared" si="305"/>
        <v>5.8364688090808631E-3</v>
      </c>
      <c r="P100" s="1146">
        <f t="shared" si="305"/>
        <v>9.9875397558298008E-4</v>
      </c>
      <c r="Q100" s="1146">
        <f t="shared" si="305"/>
        <v>6.7685485923833656E-3</v>
      </c>
      <c r="R100" s="1146">
        <f t="shared" si="305"/>
        <v>2.6282102855752442E-3</v>
      </c>
      <c r="S100" s="1146">
        <f t="shared" si="305"/>
        <v>4.5647575024724604E-3</v>
      </c>
      <c r="T100" s="1146">
        <f t="shared" si="305"/>
        <v>1.6040653359611756E-3</v>
      </c>
      <c r="U100" s="1146">
        <f t="shared" si="305"/>
        <v>3.8718671822375959E-3</v>
      </c>
      <c r="V100" s="1146">
        <f t="shared" si="305"/>
        <v>1.8099271695239706E-2</v>
      </c>
      <c r="W100" s="1146">
        <f t="shared" si="305"/>
        <v>3.5681811872759692E-3</v>
      </c>
      <c r="X100" s="1146">
        <f t="shared" si="305"/>
        <v>7.9668121119554622E-4</v>
      </c>
      <c r="Y100" s="1146">
        <f t="shared" si="305"/>
        <v>1.0929526576597549E-2</v>
      </c>
      <c r="Z100" s="1146">
        <f t="shared" si="305"/>
        <v>3.1266262701526758E-3</v>
      </c>
      <c r="AA100" s="1146">
        <f t="shared" si="305"/>
        <v>0</v>
      </c>
      <c r="AB100" s="1146">
        <f t="shared" si="305"/>
        <v>0</v>
      </c>
      <c r="AC100" s="1146">
        <f t="shared" si="305"/>
        <v>0</v>
      </c>
      <c r="AD100" s="1146">
        <f t="shared" si="305"/>
        <v>0</v>
      </c>
      <c r="AE100" s="1173">
        <f t="shared" si="237"/>
        <v>9.8413915252457379E-2</v>
      </c>
      <c r="AF100" s="1153"/>
      <c r="AG100" s="58" t="s">
        <v>1163</v>
      </c>
      <c r="AH100" s="1158">
        <f>SUM(E106:AD111)</f>
        <v>1.9021294542094653</v>
      </c>
      <c r="AI100" s="1140">
        <f>'SHWLP-Att'!S24</f>
        <v>1.9021294542094651</v>
      </c>
      <c r="AJ100" s="1160">
        <f>IFERROR((AI100-AH100)/AI100,"N/A")</f>
        <v>-1.167347492746303E-16</v>
      </c>
      <c r="AL100" s="1144" t="s">
        <v>1134</v>
      </c>
      <c r="AM100" s="1144" t="s">
        <v>58</v>
      </c>
      <c r="AN100" s="1135">
        <f>SUMIFS(Table915[Count of EnergyRating],Table915[MainSpaceHeatingFuel],AL100,Table915[EnergyRating (group)],AM100,Table915[CountyName (group)],AN$4)</f>
        <v>0</v>
      </c>
      <c r="AO100" s="1129">
        <f>SUMIFS(Table915[Count of EnergyRating],Table915[MainSpaceHeatingFuel],AL100,Table915[EnergyRating (group)],AM100,Table915[CountyName (group)],AO$4)</f>
        <v>10</v>
      </c>
      <c r="AP100" s="1129">
        <f>SUMIFS(Table915[Count of EnergyRating],Table915[MainSpaceHeatingFuel],AL100,Table915[EnergyRating (group)],AM100,Table915[CountyName (group)],AP$4)</f>
        <v>5</v>
      </c>
      <c r="AQ100" s="1129">
        <f>SUMIFS(Table915[Count of EnergyRating],Table915[MainSpaceHeatingFuel],AL100,Table915[EnergyRating (group)],AM100,Table915[CountyName (group)],AQ$4)</f>
        <v>2</v>
      </c>
      <c r="AR100" s="1129">
        <f>SUMIFS(Table915[Count of EnergyRating],Table915[MainSpaceHeatingFuel],AL100,Table915[EnergyRating (group)],AM100,Table915[CountyName (group)],AR$4)</f>
        <v>1</v>
      </c>
      <c r="AS100" s="1129">
        <f>SUMIFS(Table915[Count of EnergyRating],Table915[MainSpaceHeatingFuel],AL100,Table915[EnergyRating (group)],AM100,Table915[CountyName (group)],AS$4)</f>
        <v>2</v>
      </c>
      <c r="AT100" s="1129">
        <f>SUMIFS(Table915[Count of EnergyRating],Table915[MainSpaceHeatingFuel],AL100,Table915[EnergyRating (group)],AM100,Table915[CountyName (group)],AT$4)</f>
        <v>0</v>
      </c>
      <c r="AU100" s="1129">
        <f>SUMIFS(Table915[Count of EnergyRating],Table915[MainSpaceHeatingFuel],AL100,Table915[EnergyRating (group)],AM100,Table915[CountyName (group)],AU$4)</f>
        <v>1</v>
      </c>
      <c r="AV100" s="1129">
        <f>SUMIFS(Table915[Count of EnergyRating],Table915[MainSpaceHeatingFuel],AL100,Table915[EnergyRating (group)],AM100,Table915[CountyName (group)],AV$4)</f>
        <v>8</v>
      </c>
      <c r="AW100" s="1129">
        <f>SUMIFS(Table915[Count of EnergyRating],Table915[MainSpaceHeatingFuel],AL100,Table915[EnergyRating (group)],AM100,Table915[CountyName (group)],AW$4)</f>
        <v>5</v>
      </c>
      <c r="AX100" s="1129">
        <f>SUMIFS(Table915[Count of EnergyRating],Table915[MainSpaceHeatingFuel],AL100,Table915[EnergyRating (group)],AM100,Table915[CountyName (group)],AX$4)</f>
        <v>3</v>
      </c>
      <c r="AY100" s="1129">
        <f>SUMIFS(Table915[Count of EnergyRating],Table915[MainSpaceHeatingFuel],AL100,Table915[EnergyRating (group)],AM100,Table915[CountyName (group)],AY$4)</f>
        <v>3</v>
      </c>
      <c r="AZ100" s="1129">
        <f>SUMIFS(Table915[Count of EnergyRating],Table915[MainSpaceHeatingFuel],AL100,Table915[EnergyRating (group)],AM100,Table915[CountyName (group)],AZ$4)</f>
        <v>2</v>
      </c>
      <c r="BA100" s="1129">
        <f>SUMIFS(Table915[Count of EnergyRating],Table915[MainSpaceHeatingFuel],AL100,Table915[EnergyRating (group)],AM100,Table915[CountyName (group)],BA$4)</f>
        <v>10</v>
      </c>
      <c r="BB100" s="1129">
        <f>SUMIFS(Table915[Count of EnergyRating],Table915[MainSpaceHeatingFuel],AL100,Table915[EnergyRating (group)],AM100,Table915[CountyName (group)],BB$4)</f>
        <v>18</v>
      </c>
      <c r="BC100" s="1129">
        <f>SUMIFS(Table915[Count of EnergyRating],Table915[MainSpaceHeatingFuel],AL100,Table915[EnergyRating (group)],AM100,Table915[CountyName (group)],BC$4)</f>
        <v>4</v>
      </c>
      <c r="BD100" s="1129">
        <f>SUMIFS(Table915[Count of EnergyRating],Table915[MainSpaceHeatingFuel],AL100,Table915[EnergyRating (group)],AM100,Table915[CountyName (group)],BD$4)</f>
        <v>10</v>
      </c>
      <c r="BE100" s="1129">
        <f>SUMIFS(Table915[Count of EnergyRating],Table915[MainSpaceHeatingFuel],AL100,Table915[EnergyRating (group)],AM100,Table915[CountyName (group)],BE$4)</f>
        <v>0</v>
      </c>
      <c r="BF100" s="1129">
        <f>SUMIFS(Table915[Count of EnergyRating],Table915[MainSpaceHeatingFuel],AL100,Table915[EnergyRating (group)],AM100,Table915[CountyName (group)],BF$4)</f>
        <v>3</v>
      </c>
      <c r="BG100" s="1129">
        <f>SUMIFS(Table915[Count of EnergyRating],Table915[MainSpaceHeatingFuel],AL100,Table915[EnergyRating (group)],AM100,Table915[CountyName (group)],BG$4)</f>
        <v>2</v>
      </c>
      <c r="BH100" s="1129">
        <f>SUMIFS(Table915[Count of EnergyRating],Table915[MainSpaceHeatingFuel],AL100,Table915[EnergyRating (group)],AM100,Table915[CountyName (group)],BH$4)</f>
        <v>1</v>
      </c>
      <c r="BI100" s="1129">
        <f>SUMIFS(Table915[Count of EnergyRating],Table915[MainSpaceHeatingFuel],AL100,Table915[EnergyRating (group)],AM100,Table915[CountyName (group)],BI$4)</f>
        <v>1</v>
      </c>
      <c r="BJ100" s="1129">
        <f>SUMIFS(Table915[Count of EnergyRating],Table915[MainSpaceHeatingFuel],AL100,Table915[EnergyRating (group)],AM100,Table915[CountyName (group)],BJ$4)</f>
        <v>0</v>
      </c>
      <c r="BK100" s="1135">
        <f>SUMIFS(Table915[Count of EnergyRating],Table915[MainSpaceHeatingFuel],AL100,Table915[EnergyRating (group)],AM100,Table915[CountyName (group)],BK$4)</f>
        <v>1</v>
      </c>
      <c r="BL100" s="1129">
        <f>SUMIFS(Table915[Count of EnergyRating],Table915[MainSpaceHeatingFuel],AL100,Table915[EnergyRating (group)],AM100,Table915[CountyName (group)],BL$4)</f>
        <v>0</v>
      </c>
      <c r="BM100" s="1129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34" t="s">
        <v>62</v>
      </c>
      <c r="C101" s="1134" t="s">
        <v>1148</v>
      </c>
      <c r="D101" s="1134" t="s">
        <v>1094</v>
      </c>
      <c r="E101" s="1145">
        <f t="shared" ref="E101:AD101" si="306">IFERROR(G252*((SUM(AN$102)/SUM(AN$95:AN$103))/(SUM(G$252)/SUM(G$248:G$253))),0)</f>
        <v>2.09921053084914E-3</v>
      </c>
      <c r="F101" s="1145">
        <f t="shared" si="306"/>
        <v>1.744458550917543E-2</v>
      </c>
      <c r="G101" s="1145">
        <f t="shared" si="306"/>
        <v>0</v>
      </c>
      <c r="H101" s="1145">
        <f t="shared" si="306"/>
        <v>0</v>
      </c>
      <c r="I101" s="1145">
        <f t="shared" si="306"/>
        <v>0</v>
      </c>
      <c r="J101" s="1145">
        <f t="shared" si="306"/>
        <v>0</v>
      </c>
      <c r="K101" s="1145">
        <f t="shared" si="306"/>
        <v>0</v>
      </c>
      <c r="L101" s="1145">
        <f t="shared" si="306"/>
        <v>0</v>
      </c>
      <c r="M101" s="1145">
        <f t="shared" si="306"/>
        <v>1.2329284938452135E-3</v>
      </c>
      <c r="N101" s="1145">
        <f t="shared" si="306"/>
        <v>4.1444422269695733E-3</v>
      </c>
      <c r="O101" s="1145">
        <f t="shared" si="306"/>
        <v>1.9454896030269547E-3</v>
      </c>
      <c r="P101" s="1145">
        <f t="shared" si="306"/>
        <v>3.9950159023319212E-3</v>
      </c>
      <c r="Q101" s="1145">
        <f t="shared" si="306"/>
        <v>0</v>
      </c>
      <c r="R101" s="1145">
        <f t="shared" si="306"/>
        <v>5.2564205711504892E-3</v>
      </c>
      <c r="S101" s="1145">
        <f t="shared" si="306"/>
        <v>2.6627752097756019E-3</v>
      </c>
      <c r="T101" s="1145">
        <f t="shared" si="306"/>
        <v>1.6040653359611756E-3</v>
      </c>
      <c r="U101" s="1145">
        <f t="shared" si="306"/>
        <v>2.3231203093425582E-3</v>
      </c>
      <c r="V101" s="1145">
        <f t="shared" si="306"/>
        <v>0</v>
      </c>
      <c r="W101" s="1145">
        <f t="shared" si="306"/>
        <v>3.5681811872759687E-3</v>
      </c>
      <c r="X101" s="1145">
        <f t="shared" si="306"/>
        <v>0</v>
      </c>
      <c r="Y101" s="1145">
        <f t="shared" si="306"/>
        <v>0</v>
      </c>
      <c r="Z101" s="1145">
        <f t="shared" si="306"/>
        <v>0</v>
      </c>
      <c r="AA101" s="1145">
        <f t="shared" si="306"/>
        <v>0</v>
      </c>
      <c r="AB101" s="1145">
        <f t="shared" si="306"/>
        <v>0</v>
      </c>
      <c r="AC101" s="1145">
        <f t="shared" si="306"/>
        <v>0</v>
      </c>
      <c r="AD101" s="1145">
        <f t="shared" si="306"/>
        <v>0</v>
      </c>
      <c r="AE101" s="1172">
        <f t="shared" si="237"/>
        <v>4.6276234879704024E-2</v>
      </c>
      <c r="AF101" s="1153"/>
      <c r="AG101" s="58" t="s">
        <v>1107</v>
      </c>
      <c r="AH101" s="1158">
        <f>SUM(E113:AD113)</f>
        <v>1.9136634089413338</v>
      </c>
      <c r="AI101" s="1140">
        <f>'SHWLP-Att'!S50</f>
        <v>1.9136634089413331</v>
      </c>
      <c r="AJ101" s="1160">
        <f>(AI101-AH101)/AI101</f>
        <v>-3.4809351093963225E-16</v>
      </c>
      <c r="AL101" s="1144" t="s">
        <v>1134</v>
      </c>
      <c r="AM101" s="1144" t="s">
        <v>60</v>
      </c>
      <c r="AN101" s="1135">
        <f>SUMIFS(Table915[Count of EnergyRating],Table915[MainSpaceHeatingFuel],AL101,Table915[EnergyRating (group)],AM101,Table915[CountyName (group)],AN$4)</f>
        <v>2</v>
      </c>
      <c r="AO101" s="1129">
        <f>SUMIFS(Table915[Count of EnergyRating],Table915[MainSpaceHeatingFuel],AL101,Table915[EnergyRating (group)],AM101,Table915[CountyName (group)],AO$4)</f>
        <v>0</v>
      </c>
      <c r="AP101" s="1129">
        <f>SUMIFS(Table915[Count of EnergyRating],Table915[MainSpaceHeatingFuel],AL101,Table915[EnergyRating (group)],AM101,Table915[CountyName (group)],AP$4)</f>
        <v>2</v>
      </c>
      <c r="AQ101" s="1129">
        <f>SUMIFS(Table915[Count of EnergyRating],Table915[MainSpaceHeatingFuel],AL101,Table915[EnergyRating (group)],AM101,Table915[CountyName (group)],AQ$4)</f>
        <v>5</v>
      </c>
      <c r="AR101" s="1129">
        <f>SUMIFS(Table915[Count of EnergyRating],Table915[MainSpaceHeatingFuel],AL101,Table915[EnergyRating (group)],AM101,Table915[CountyName (group)],AR$4)</f>
        <v>0</v>
      </c>
      <c r="AS101" s="1129">
        <f>SUMIFS(Table915[Count of EnergyRating],Table915[MainSpaceHeatingFuel],AL101,Table915[EnergyRating (group)],AM101,Table915[CountyName (group)],AS$4)</f>
        <v>10</v>
      </c>
      <c r="AT101" s="1129">
        <f>SUMIFS(Table915[Count of EnergyRating],Table915[MainSpaceHeatingFuel],AL101,Table915[EnergyRating (group)],AM101,Table915[CountyName (group)],AT$4)</f>
        <v>1</v>
      </c>
      <c r="AU101" s="1129">
        <f>SUMIFS(Table915[Count of EnergyRating],Table915[MainSpaceHeatingFuel],AL101,Table915[EnergyRating (group)],AM101,Table915[CountyName (group)],AU$4)</f>
        <v>0</v>
      </c>
      <c r="AV101" s="1129">
        <f>SUMIFS(Table915[Count of EnergyRating],Table915[MainSpaceHeatingFuel],AL101,Table915[EnergyRating (group)],AM101,Table915[CountyName (group)],AV$4)</f>
        <v>4</v>
      </c>
      <c r="AW101" s="1129">
        <f>SUMIFS(Table915[Count of EnergyRating],Table915[MainSpaceHeatingFuel],AL101,Table915[EnergyRating (group)],AM101,Table915[CountyName (group)],AW$4)</f>
        <v>4</v>
      </c>
      <c r="AX101" s="1129">
        <f>SUMIFS(Table915[Count of EnergyRating],Table915[MainSpaceHeatingFuel],AL101,Table915[EnergyRating (group)],AM101,Table915[CountyName (group)],AX$4)</f>
        <v>3</v>
      </c>
      <c r="AY101" s="1129">
        <f>SUMIFS(Table915[Count of EnergyRating],Table915[MainSpaceHeatingFuel],AL101,Table915[EnergyRating (group)],AM101,Table915[CountyName (group)],AY$4)</f>
        <v>1</v>
      </c>
      <c r="AZ101" s="1129">
        <f>SUMIFS(Table915[Count of EnergyRating],Table915[MainSpaceHeatingFuel],AL101,Table915[EnergyRating (group)],AM101,Table915[CountyName (group)],AZ$4)</f>
        <v>5</v>
      </c>
      <c r="BA101" s="1129">
        <f>SUMIFS(Table915[Count of EnergyRating],Table915[MainSpaceHeatingFuel],AL101,Table915[EnergyRating (group)],AM101,Table915[CountyName (group)],BA$4)</f>
        <v>2</v>
      </c>
      <c r="BB101" s="1129">
        <f>SUMIFS(Table915[Count of EnergyRating],Table915[MainSpaceHeatingFuel],AL101,Table915[EnergyRating (group)],AM101,Table915[CountyName (group)],BB$4)</f>
        <v>12</v>
      </c>
      <c r="BC101" s="1129">
        <f>SUMIFS(Table915[Count of EnergyRating],Table915[MainSpaceHeatingFuel],AL101,Table915[EnergyRating (group)],AM101,Table915[CountyName (group)],BC$4)</f>
        <v>1</v>
      </c>
      <c r="BD101" s="1129">
        <f>SUMIFS(Table915[Count of EnergyRating],Table915[MainSpaceHeatingFuel],AL101,Table915[EnergyRating (group)],AM101,Table915[CountyName (group)],BD$4)</f>
        <v>5</v>
      </c>
      <c r="BE101" s="1129">
        <f>SUMIFS(Table915[Count of EnergyRating],Table915[MainSpaceHeatingFuel],AL101,Table915[EnergyRating (group)],AM101,Table915[CountyName (group)],BE$4)</f>
        <v>5</v>
      </c>
      <c r="BF101" s="1129">
        <f>SUMIFS(Table915[Count of EnergyRating],Table915[MainSpaceHeatingFuel],AL101,Table915[EnergyRating (group)],AM101,Table915[CountyName (group)],BF$4)</f>
        <v>1</v>
      </c>
      <c r="BG101" s="1129">
        <f>SUMIFS(Table915[Count of EnergyRating],Table915[MainSpaceHeatingFuel],AL101,Table915[EnergyRating (group)],AM101,Table915[CountyName (group)],BG$4)</f>
        <v>1</v>
      </c>
      <c r="BH101" s="1129">
        <f>SUMIFS(Table915[Count of EnergyRating],Table915[MainSpaceHeatingFuel],AL101,Table915[EnergyRating (group)],AM101,Table915[CountyName (group)],BH$4)</f>
        <v>3</v>
      </c>
      <c r="BI101" s="1129">
        <f>SUMIFS(Table915[Count of EnergyRating],Table915[MainSpaceHeatingFuel],AL101,Table915[EnergyRating (group)],AM101,Table915[CountyName (group)],BI$4)</f>
        <v>2</v>
      </c>
      <c r="BJ101" s="1129">
        <f>SUMIFS(Table915[Count of EnergyRating],Table915[MainSpaceHeatingFuel],AL101,Table915[EnergyRating (group)],AM101,Table915[CountyName (group)],BJ$4)</f>
        <v>0</v>
      </c>
      <c r="BK101" s="1135">
        <f>SUMIFS(Table915[Count of EnergyRating],Table915[MainSpaceHeatingFuel],AL101,Table915[EnergyRating (group)],AM101,Table915[CountyName (group)],BK$4)</f>
        <v>0</v>
      </c>
      <c r="BL101" s="1129">
        <f>SUMIFS(Table915[Count of EnergyRating],Table915[MainSpaceHeatingFuel],AL101,Table915[EnergyRating (group)],AM101,Table915[CountyName (group)],BL$4)</f>
        <v>0</v>
      </c>
      <c r="BM101" s="1129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38" t="s">
        <v>64</v>
      </c>
      <c r="C102" s="1138" t="s">
        <v>1148</v>
      </c>
      <c r="D102" s="1138" t="s">
        <v>1094</v>
      </c>
      <c r="E102" s="1147">
        <f t="shared" ref="E102:AD102" si="307">IFERROR(G253*((SUM(AN$103)/SUM(AN$95:AN$103))/(SUM(G$253)/SUM(G$248:G$253))),0)</f>
        <v>2.09921053084914E-3</v>
      </c>
      <c r="F102" s="1147">
        <f t="shared" si="307"/>
        <v>5.2333756527526289E-2</v>
      </c>
      <c r="G102" s="1147">
        <f t="shared" si="307"/>
        <v>7.399858907789254E-3</v>
      </c>
      <c r="H102" s="1147">
        <f t="shared" si="307"/>
        <v>0</v>
      </c>
      <c r="I102" s="1147">
        <f t="shared" si="307"/>
        <v>6.6990541513106978E-3</v>
      </c>
      <c r="J102" s="1147">
        <f t="shared" si="307"/>
        <v>1.6013273515566503E-4</v>
      </c>
      <c r="K102" s="1147">
        <f t="shared" si="307"/>
        <v>0</v>
      </c>
      <c r="L102" s="1147">
        <f t="shared" si="307"/>
        <v>7.886957535264116E-3</v>
      </c>
      <c r="M102" s="1147">
        <f t="shared" si="307"/>
        <v>4.1097616461507121E-4</v>
      </c>
      <c r="N102" s="1147">
        <f t="shared" si="307"/>
        <v>9.2098716154879383E-4</v>
      </c>
      <c r="O102" s="1147">
        <f t="shared" si="307"/>
        <v>1.9454896030269547E-3</v>
      </c>
      <c r="P102" s="1147">
        <f t="shared" si="307"/>
        <v>7.9900318046638406E-3</v>
      </c>
      <c r="Q102" s="1147">
        <f t="shared" si="307"/>
        <v>0</v>
      </c>
      <c r="R102" s="1147">
        <f t="shared" si="307"/>
        <v>2.6282102855752446E-3</v>
      </c>
      <c r="S102" s="1147">
        <f t="shared" si="307"/>
        <v>1.1411893756181151E-3</v>
      </c>
      <c r="T102" s="1147">
        <f t="shared" si="307"/>
        <v>1.6040653359611756E-3</v>
      </c>
      <c r="U102" s="1147">
        <f t="shared" si="307"/>
        <v>3.0974937457900766E-3</v>
      </c>
      <c r="V102" s="1147">
        <f t="shared" si="307"/>
        <v>3.6198543390479412E-3</v>
      </c>
      <c r="W102" s="1147">
        <f t="shared" si="307"/>
        <v>0</v>
      </c>
      <c r="X102" s="1147">
        <f t="shared" si="307"/>
        <v>0</v>
      </c>
      <c r="Y102" s="1147">
        <f t="shared" si="307"/>
        <v>0</v>
      </c>
      <c r="Z102" s="1147">
        <f t="shared" si="307"/>
        <v>1.5633131350763381E-3</v>
      </c>
      <c r="AA102" s="1147">
        <f t="shared" si="307"/>
        <v>0</v>
      </c>
      <c r="AB102" s="1147">
        <f t="shared" si="307"/>
        <v>2.2426664811389888E-3</v>
      </c>
      <c r="AC102" s="1147">
        <f t="shared" si="307"/>
        <v>1.8485869968523461E-2</v>
      </c>
      <c r="AD102" s="1147">
        <f t="shared" si="307"/>
        <v>0</v>
      </c>
      <c r="AE102" s="1174">
        <f t="shared" si="237"/>
        <v>0.12222911778848117</v>
      </c>
      <c r="AF102" s="1153"/>
      <c r="AG102" s="1142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SUMIFS(Table915[Count of EnergyRating],Table915[MainSpaceHeatingFuel],AL102,Table915[EnergyRating (group)],AM102,Table915[CountyName (group)],AN$4)</f>
        <v>1</v>
      </c>
      <c r="AO102" s="1129">
        <f>SUMIFS(Table915[Count of EnergyRating],Table915[MainSpaceHeatingFuel],AL102,Table915[EnergyRating (group)],AM102,Table915[CountyName (group)],AO$4)</f>
        <v>2</v>
      </c>
      <c r="AP102" s="1129">
        <f>SUMIFS(Table915[Count of EnergyRating],Table915[MainSpaceHeatingFuel],AL102,Table915[EnergyRating (group)],AM102,Table915[CountyName (group)],AP$4)</f>
        <v>0</v>
      </c>
      <c r="AQ102" s="1129">
        <f>SUMIFS(Table915[Count of EnergyRating],Table915[MainSpaceHeatingFuel],AL102,Table915[EnergyRating (group)],AM102,Table915[CountyName (group)],AQ$4)</f>
        <v>0</v>
      </c>
      <c r="AR102" s="1129">
        <f>SUMIFS(Table915[Count of EnergyRating],Table915[MainSpaceHeatingFuel],AL102,Table915[EnergyRating (group)],AM102,Table915[CountyName (group)],AR$4)</f>
        <v>0</v>
      </c>
      <c r="AS102" s="1129">
        <f>SUMIFS(Table915[Count of EnergyRating],Table915[MainSpaceHeatingFuel],AL102,Table915[EnergyRating (group)],AM102,Table915[CountyName (group)],AS$4)</f>
        <v>0</v>
      </c>
      <c r="AT102" s="1129">
        <f>SUMIFS(Table915[Count of EnergyRating],Table915[MainSpaceHeatingFuel],AL102,Table915[EnergyRating (group)],AM102,Table915[CountyName (group)],AT$4)</f>
        <v>0</v>
      </c>
      <c r="AU102" s="1129">
        <f>SUMIFS(Table915[Count of EnergyRating],Table915[MainSpaceHeatingFuel],AL102,Table915[EnergyRating (group)],AM102,Table915[CountyName (group)],AU$4)</f>
        <v>0</v>
      </c>
      <c r="AV102" s="1129">
        <f>SUMIFS(Table915[Count of EnergyRating],Table915[MainSpaceHeatingFuel],AL102,Table915[EnergyRating (group)],AM102,Table915[CountyName (group)],AV$4)</f>
        <v>3</v>
      </c>
      <c r="AW102" s="1129">
        <f>SUMIFS(Table915[Count of EnergyRating],Table915[MainSpaceHeatingFuel],AL102,Table915[EnergyRating (group)],AM102,Table915[CountyName (group)],AW$4)</f>
        <v>9</v>
      </c>
      <c r="AX102" s="1129">
        <f>SUMIFS(Table915[Count of EnergyRating],Table915[MainSpaceHeatingFuel],AL102,Table915[EnergyRating (group)],AM102,Table915[CountyName (group)],AX$4)</f>
        <v>1</v>
      </c>
      <c r="AY102" s="1129">
        <f>SUMIFS(Table915[Count of EnergyRating],Table915[MainSpaceHeatingFuel],AL102,Table915[EnergyRating (group)],AM102,Table915[CountyName (group)],AY$4)</f>
        <v>4</v>
      </c>
      <c r="AZ102" s="1129">
        <f>SUMIFS(Table915[Count of EnergyRating],Table915[MainSpaceHeatingFuel],AL102,Table915[EnergyRating (group)],AM102,Table915[CountyName (group)],AZ$4)</f>
        <v>0</v>
      </c>
      <c r="BA102" s="1129">
        <f>SUMIFS(Table915[Count of EnergyRating],Table915[MainSpaceHeatingFuel],AL102,Table915[EnergyRating (group)],AM102,Table915[CountyName (group)],BA$4)</f>
        <v>4</v>
      </c>
      <c r="BB102" s="1129">
        <f>SUMIFS(Table915[Count of EnergyRating],Table915[MainSpaceHeatingFuel],AL102,Table915[EnergyRating (group)],AM102,Table915[CountyName (group)],BB$4)</f>
        <v>7</v>
      </c>
      <c r="BC102" s="1129">
        <f>SUMIFS(Table915[Count of EnergyRating],Table915[MainSpaceHeatingFuel],AL102,Table915[EnergyRating (group)],AM102,Table915[CountyName (group)],BC$4)</f>
        <v>1</v>
      </c>
      <c r="BD102" s="1129">
        <f>SUMIFS(Table915[Count of EnergyRating],Table915[MainSpaceHeatingFuel],AL102,Table915[EnergyRating (group)],AM102,Table915[CountyName (group)],BD$4)</f>
        <v>3</v>
      </c>
      <c r="BE102" s="1129">
        <f>SUMIFS(Table915[Count of EnergyRating],Table915[MainSpaceHeatingFuel],AL102,Table915[EnergyRating (group)],AM102,Table915[CountyName (group)],BE$4)</f>
        <v>0</v>
      </c>
      <c r="BF102" s="1152">
        <f>SUMIFS(Table915[Count of EnergyRating],Table915[MainSpaceHeatingFuel],AL102,Table915[EnergyRating (group)],AM102,Table915[CountyName (group)],BF$4)</f>
        <v>1</v>
      </c>
      <c r="BG102" s="1129">
        <f>SUMIFS(Table915[Count of EnergyRating],Table915[MainSpaceHeatingFuel],AL102,Table915[EnergyRating (group)],AM102,Table915[CountyName (group)],BG$4)</f>
        <v>0</v>
      </c>
      <c r="BH102" s="1129">
        <f>SUMIFS(Table915[Count of EnergyRating],Table915[MainSpaceHeatingFuel],AL102,Table915[EnergyRating (group)],AM102,Table915[CountyName (group)],BH$4)</f>
        <v>0</v>
      </c>
      <c r="BI102" s="1129">
        <f>SUMIFS(Table915[Count of EnergyRating],Table915[MainSpaceHeatingFuel],AL102,Table915[EnergyRating (group)],AM102,Table915[CountyName (group)],BI$4)</f>
        <v>0</v>
      </c>
      <c r="BJ102" s="1129">
        <f>SUMIFS(Table915[Count of EnergyRating],Table915[MainSpaceHeatingFuel],AL102,Table915[EnergyRating (group)],AM102,Table915[CountyName (group)],BJ$4)</f>
        <v>0</v>
      </c>
      <c r="BK102" s="1135">
        <f>SUMIFS(Table915[Count of EnergyRating],Table915[MainSpaceHeatingFuel],AL102,Table915[EnergyRating (group)],AM102,Table915[CountyName (group)],BK$4)</f>
        <v>0</v>
      </c>
      <c r="BL102" s="1129">
        <f>SUMIFS(Table915[Count of EnergyRating],Table915[MainSpaceHeatingFuel],AL102,Table915[EnergyRating (group)],AM102,Table915[CountyName (group)],BL$4)</f>
        <v>0</v>
      </c>
      <c r="BM102" s="1129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38" t="s">
        <v>1075</v>
      </c>
      <c r="C103" s="1138" t="s">
        <v>1148</v>
      </c>
      <c r="D103" s="1138" t="s">
        <v>1094</v>
      </c>
      <c r="E103" s="1147">
        <f>SUM(E97:E102)</f>
        <v>1.04960526542457E-2</v>
      </c>
      <c r="F103" s="1147">
        <f t="shared" ref="F103" si="308">SUM(F97:F102)</f>
        <v>0.34889171018350862</v>
      </c>
      <c r="G103" s="1147">
        <f t="shared" ref="G103" si="309">SUM(G97:G102)</f>
        <v>4.4399153446735527E-2</v>
      </c>
      <c r="H103" s="1147">
        <f t="shared" ref="H103" si="310">SUM(H97:H102)</f>
        <v>1.4559596325489357E-2</v>
      </c>
      <c r="I103" s="1147">
        <f t="shared" ref="I103" si="311">SUM(I97:I102)</f>
        <v>1.3398108302621396E-2</v>
      </c>
      <c r="J103" s="1147">
        <f t="shared" ref="J103" si="312">SUM(J97:J102)</f>
        <v>5.5245793628704428E-3</v>
      </c>
      <c r="K103" s="1147">
        <f t="shared" ref="K103" si="313">SUM(K97:K102)</f>
        <v>2.827257852261137E-2</v>
      </c>
      <c r="L103" s="1147">
        <f t="shared" ref="L103" si="314">SUM(L97:L102)</f>
        <v>3.1547830141056464E-2</v>
      </c>
      <c r="M103" s="1147">
        <f t="shared" ref="M103" si="315">SUM(M97:M102)</f>
        <v>1.1918308773837065E-2</v>
      </c>
      <c r="N103" s="1147">
        <f t="shared" ref="N103" si="316">SUM(N97:N102)</f>
        <v>1.4275301004006306E-2</v>
      </c>
      <c r="O103" s="1147">
        <f t="shared" ref="O103" si="317">SUM(O97:O102)</f>
        <v>2.14003856332965E-2</v>
      </c>
      <c r="P103" s="1147">
        <f t="shared" ref="P103" si="318">SUM(P97:P102)</f>
        <v>2.6966357340740467E-2</v>
      </c>
      <c r="Q103" s="1147">
        <f t="shared" ref="Q103" si="319">SUM(Q97:Q102)</f>
        <v>1.7598226340196751E-2</v>
      </c>
      <c r="R103" s="1147">
        <f t="shared" ref="R103" si="320">SUM(R97:R102)</f>
        <v>0.1064425165657974</v>
      </c>
      <c r="S103" s="1147">
        <f t="shared" ref="S103" si="321">SUM(S97:S102)</f>
        <v>1.8259030009889838E-2</v>
      </c>
      <c r="T103" s="1147">
        <f t="shared" ref="T103" si="322">SUM(T97:T102)</f>
        <v>3.6893502727107036E-2</v>
      </c>
      <c r="U103" s="1147">
        <f t="shared" ref="U103" si="323">SUM(U97:U102)</f>
        <v>2.5554323402768135E-2</v>
      </c>
      <c r="V103" s="1147">
        <f t="shared" ref="V103" si="324">SUM(V97:V102)</f>
        <v>2.5338980373335589E-2</v>
      </c>
      <c r="W103" s="1147">
        <f t="shared" ref="W103" si="325">SUM(W97:W102)</f>
        <v>3.2113630685483723E-2</v>
      </c>
      <c r="X103" s="1147">
        <f t="shared" ref="X103" si="326">SUM(X97:X102)</f>
        <v>3.1867248447821849E-3</v>
      </c>
      <c r="Y103" s="1147">
        <f t="shared" ref="Y103" si="327">SUM(Y97:Y102)</f>
        <v>1.4572702102130066E-2</v>
      </c>
      <c r="Z103" s="1147">
        <f t="shared" ref="Z103" si="328">SUM(Z97:Z102)</f>
        <v>6.2532525403053525E-3</v>
      </c>
      <c r="AA103" s="1147">
        <f t="shared" ref="AA103" si="329">SUM(AA97:AA102)</f>
        <v>1.0347289455368988E-2</v>
      </c>
      <c r="AB103" s="1147">
        <f t="shared" ref="AB103" si="330">SUM(AB97:AB102)</f>
        <v>8.9706659245559553E-3</v>
      </c>
      <c r="AC103" s="1147">
        <f t="shared" ref="AC103" si="331">SUM(AC97:AC102)</f>
        <v>1.8485869968523461E-2</v>
      </c>
      <c r="AD103" s="1147">
        <f t="shared" ref="AD103" si="332">SUM(AD97:AD102)</f>
        <v>0</v>
      </c>
      <c r="AE103" s="1147">
        <f t="shared" ref="AE103" si="333">SUM(AE97:AE102)</f>
        <v>0.89566667663126354</v>
      </c>
      <c r="AF103" s="1153"/>
      <c r="AG103" s="58" t="s">
        <v>1107</v>
      </c>
      <c r="AH103" s="1158">
        <f>SUM(E115:AD115)</f>
        <v>7.7610435365928101</v>
      </c>
      <c r="AI103" s="1140">
        <f>'SHWLP-Att'!S51</f>
        <v>7.7610435365928074</v>
      </c>
      <c r="AJ103" s="1160">
        <f>(AI103-AH103)/AI103</f>
        <v>-3.4332177709573048E-16</v>
      </c>
      <c r="AL103" s="1144" t="s">
        <v>1134</v>
      </c>
      <c r="AM103" s="1144" t="s">
        <v>64</v>
      </c>
      <c r="AN103" s="1135">
        <f>SUMIFS(Table915[Count of EnergyRating],Table915[MainSpaceHeatingFuel],AL103,Table915[EnergyRating (group)],AM103,Table915[CountyName (group)],AN$4)</f>
        <v>1</v>
      </c>
      <c r="AO103" s="1129">
        <f>SUMIFS(Table915[Count of EnergyRating],Table915[MainSpaceHeatingFuel],AL103,Table915[EnergyRating (group)],AM103,Table915[CountyName (group)],AO$4)</f>
        <v>6</v>
      </c>
      <c r="AP103" s="1129">
        <f>SUMIFS(Table915[Count of EnergyRating],Table915[MainSpaceHeatingFuel],AL103,Table915[EnergyRating (group)],AM103,Table915[CountyName (group)],AP$4)</f>
        <v>2</v>
      </c>
      <c r="AQ103" s="1129">
        <f>SUMIFS(Table915[Count of EnergyRating],Table915[MainSpaceHeatingFuel],AL103,Table915[EnergyRating (group)],AM103,Table915[CountyName (group)],AQ$4)</f>
        <v>0</v>
      </c>
      <c r="AR103" s="1129">
        <f>SUMIFS(Table915[Count of EnergyRating],Table915[MainSpaceHeatingFuel],AL103,Table915[EnergyRating (group)],AM103,Table915[CountyName (group)],AR$4)</f>
        <v>1</v>
      </c>
      <c r="AS103" s="1129">
        <f>SUMIFS(Table915[Count of EnergyRating],Table915[MainSpaceHeatingFuel],AL103,Table915[EnergyRating (group)],AM103,Table915[CountyName (group)],AS$4)</f>
        <v>2</v>
      </c>
      <c r="AT103" s="1129">
        <f>SUMIFS(Table915[Count of EnergyRating],Table915[MainSpaceHeatingFuel],AL103,Table915[EnergyRating (group)],AM103,Table915[CountyName (group)],AT$4)</f>
        <v>0</v>
      </c>
      <c r="AU103" s="1129">
        <f>SUMIFS(Table915[Count of EnergyRating],Table915[MainSpaceHeatingFuel],AL103,Table915[EnergyRating (group)],AM103,Table915[CountyName (group)],AU$4)</f>
        <v>1</v>
      </c>
      <c r="AV103" s="1129">
        <f>SUMIFS(Table915[Count of EnergyRating],Table915[MainSpaceHeatingFuel],AL103,Table915[EnergyRating (group)],AM103,Table915[CountyName (group)],AV$4)</f>
        <v>1</v>
      </c>
      <c r="AW103" s="1129">
        <f>SUMIFS(Table915[Count of EnergyRating],Table915[MainSpaceHeatingFuel],AL103,Table915[EnergyRating (group)],AM103,Table915[CountyName (group)],AW$4)</f>
        <v>2</v>
      </c>
      <c r="AX103" s="1129">
        <f>SUMIFS(Table915[Count of EnergyRating],Table915[MainSpaceHeatingFuel],AL103,Table915[EnergyRating (group)],AM103,Table915[CountyName (group)],AX$4)</f>
        <v>1</v>
      </c>
      <c r="AY103" s="1129">
        <f>SUMIFS(Table915[Count of EnergyRating],Table915[MainSpaceHeatingFuel],AL103,Table915[EnergyRating (group)],AM103,Table915[CountyName (group)],AY$4)</f>
        <v>8</v>
      </c>
      <c r="AZ103" s="1129">
        <f>SUMIFS(Table915[Count of EnergyRating],Table915[MainSpaceHeatingFuel],AL103,Table915[EnergyRating (group)],AM103,Table915[CountyName (group)],AZ$4)</f>
        <v>0</v>
      </c>
      <c r="BA103" s="1129">
        <f>SUMIFS(Table915[Count of EnergyRating],Table915[MainSpaceHeatingFuel],AL103,Table915[EnergyRating (group)],AM103,Table915[CountyName (group)],BA$4)</f>
        <v>2</v>
      </c>
      <c r="BB103" s="1129">
        <f>SUMIFS(Table915[Count of EnergyRating],Table915[MainSpaceHeatingFuel],AL103,Table915[EnergyRating (group)],AM103,Table915[CountyName (group)],BB$4)</f>
        <v>3</v>
      </c>
      <c r="BC103" s="1129">
        <f>SUMIFS(Table915[Count of EnergyRating],Table915[MainSpaceHeatingFuel],AL103,Table915[EnergyRating (group)],AM103,Table915[CountyName (group)],BC$4)</f>
        <v>1</v>
      </c>
      <c r="BD103" s="1129">
        <f>SUMIFS(Table915[Count of EnergyRating],Table915[MainSpaceHeatingFuel],AL103,Table915[EnergyRating (group)],AM103,Table915[CountyName (group)],BD$4)</f>
        <v>4</v>
      </c>
      <c r="BE103" s="1129">
        <f>SUMIFS(Table915[Count of EnergyRating],Table915[MainSpaceHeatingFuel],AL103,Table915[EnergyRating (group)],AM103,Table915[CountyName (group)],BE$4)</f>
        <v>1</v>
      </c>
      <c r="BF103" s="1129">
        <f>SUMIFS(Table915[Count of EnergyRating],Table915[MainSpaceHeatingFuel],AL103,Table915[EnergyRating (group)],AM103,Table915[CountyName (group)],BF$4)</f>
        <v>0</v>
      </c>
      <c r="BG103" s="1129">
        <f>SUMIFS(Table915[Count of EnergyRating],Table915[MainSpaceHeatingFuel],AL103,Table915[EnergyRating (group)],AM103,Table915[CountyName (group)],BG$4)</f>
        <v>0</v>
      </c>
      <c r="BH103" s="1129">
        <f>SUMIFS(Table915[Count of EnergyRating],Table915[MainSpaceHeatingFuel],AL103,Table915[EnergyRating (group)],AM103,Table915[CountyName (group)],BH$4)</f>
        <v>0</v>
      </c>
      <c r="BI103" s="1129">
        <f>SUMIFS(Table915[Count of EnergyRating],Table915[MainSpaceHeatingFuel],AL103,Table915[EnergyRating (group)],AM103,Table915[CountyName (group)],BI$4)</f>
        <v>1</v>
      </c>
      <c r="BJ103" s="1129">
        <f>SUMIFS(Table915[Count of EnergyRating],Table915[MainSpaceHeatingFuel],AL103,Table915[EnergyRating (group)],AM103,Table915[CountyName (group)],BJ$4)</f>
        <v>0</v>
      </c>
      <c r="BK103" s="1135">
        <f>SUMIFS(Table915[Count of EnergyRating],Table915[MainSpaceHeatingFuel],AL103,Table915[EnergyRating (group)],AM103,Table915[CountyName (group)],BK$4)</f>
        <v>2</v>
      </c>
      <c r="BL103" s="1129">
        <f>SUMIFS(Table915[Count of EnergyRating],Table915[MainSpaceHeatingFuel],AL103,Table915[EnergyRating (group)],AM103,Table915[CountyName (group)],BL$4)</f>
        <v>3</v>
      </c>
      <c r="BM103" s="1129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65"/>
      <c r="C104" s="1165" t="s">
        <v>1149</v>
      </c>
      <c r="D104" s="1165" t="s">
        <v>1094</v>
      </c>
      <c r="E104" s="1166">
        <f t="shared" ref="E104:AD104" si="334">G254</f>
        <v>1.0603423092984024E-2</v>
      </c>
      <c r="F104" s="1166">
        <f t="shared" si="334"/>
        <v>0.35246073343716144</v>
      </c>
      <c r="G104" s="1166">
        <f t="shared" si="334"/>
        <v>4.4853339105118024E-2</v>
      </c>
      <c r="H104" s="1166">
        <f t="shared" si="334"/>
        <v>1.4708535197731803E-2</v>
      </c>
      <c r="I104" s="1166">
        <f t="shared" si="334"/>
        <v>1.3535165614937197E-2</v>
      </c>
      <c r="J104" s="1166">
        <f t="shared" si="334"/>
        <v>5.581093609661701E-3</v>
      </c>
      <c r="K104" s="1166">
        <f t="shared" si="334"/>
        <v>2.8561795741715978E-2</v>
      </c>
      <c r="L104" s="1166">
        <f t="shared" si="334"/>
        <v>3.1870551879891983E-2</v>
      </c>
      <c r="M104" s="1166">
        <f t="shared" si="334"/>
        <v>1.2040228326284057E-2</v>
      </c>
      <c r="N104" s="1166">
        <f t="shared" si="334"/>
        <v>1.4421331648326843E-2</v>
      </c>
      <c r="O104" s="1166">
        <f t="shared" si="334"/>
        <v>2.1619303055903653E-2</v>
      </c>
      <c r="P104" s="1166">
        <f t="shared" si="334"/>
        <v>2.7242212437339902E-2</v>
      </c>
      <c r="Q104" s="1166">
        <f t="shared" si="334"/>
        <v>1.7778249187395304E-2</v>
      </c>
      <c r="R104" s="1166">
        <f t="shared" si="334"/>
        <v>0.1075313811209364</v>
      </c>
      <c r="S104" s="1166">
        <f t="shared" si="334"/>
        <v>1.8445812615473005E-2</v>
      </c>
      <c r="T104" s="1166">
        <f t="shared" si="334"/>
        <v>3.7270908567654207E-2</v>
      </c>
      <c r="U104" s="1166">
        <f t="shared" si="334"/>
        <v>2.5815733954506023E-2</v>
      </c>
      <c r="V104" s="1166">
        <f t="shared" si="334"/>
        <v>2.5598188051639905E-2</v>
      </c>
      <c r="W104" s="1166">
        <f t="shared" si="334"/>
        <v>3.2442140338566128E-2</v>
      </c>
      <c r="X104" s="1166">
        <f t="shared" si="334"/>
        <v>3.2193237708731445E-3</v>
      </c>
      <c r="Y104" s="1166">
        <f t="shared" si="334"/>
        <v>1.4721775041248346E-2</v>
      </c>
      <c r="Z104" s="1166">
        <f t="shared" si="334"/>
        <v>6.3172208235172831E-3</v>
      </c>
      <c r="AA104" s="1166">
        <f t="shared" si="334"/>
        <v>1.0453138105825788E-2</v>
      </c>
      <c r="AB104" s="1166">
        <f t="shared" si="334"/>
        <v>9.0624322645147092E-3</v>
      </c>
      <c r="AC104" s="1166">
        <f t="shared" si="334"/>
        <v>1.867497305654742E-2</v>
      </c>
      <c r="AD104" s="1166">
        <f t="shared" si="334"/>
        <v>7.78335345134185E-3</v>
      </c>
      <c r="AE104" s="1175">
        <f t="shared" si="237"/>
        <v>0.9126123434970963</v>
      </c>
      <c r="AF104" s="1153"/>
      <c r="AG104" s="1136"/>
      <c r="AL104" s="1142"/>
      <c r="AO104" s="1129"/>
      <c r="AP104" s="1129"/>
      <c r="AQ104" s="1129"/>
      <c r="AR104" s="1129"/>
      <c r="AS104" s="1129"/>
      <c r="AT104" s="1129"/>
      <c r="AU104" s="1129"/>
      <c r="AW104" s="1129"/>
      <c r="AX104" s="1129"/>
      <c r="AY104" s="1129"/>
      <c r="AZ104" s="1129"/>
      <c r="BA104" s="1129"/>
      <c r="BB104" s="1129"/>
      <c r="BC104" s="1129"/>
      <c r="BD104" s="1129"/>
      <c r="BE104" s="1129"/>
      <c r="BF104" s="1129"/>
      <c r="BG104" s="1129"/>
      <c r="BH104" s="1129"/>
      <c r="BJ104" s="1129"/>
      <c r="BK104" s="1129"/>
      <c r="BL104" s="1129"/>
      <c r="BM104" s="1129"/>
      <c r="BN104" s="1129"/>
    </row>
    <row r="105" spans="2:67" ht="15">
      <c r="B105" s="1137"/>
      <c r="C105" s="1137" t="s">
        <v>1129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  <c r="AF105" s="1153"/>
      <c r="AL105" s="1142"/>
      <c r="AO105" s="1129"/>
      <c r="AP105" s="1129"/>
      <c r="AQ105" s="1129"/>
      <c r="AR105" s="1129"/>
      <c r="AS105" s="1129"/>
      <c r="AT105" s="1129"/>
      <c r="AU105" s="1129"/>
      <c r="AW105" s="1129"/>
      <c r="AX105" s="1129"/>
      <c r="AY105" s="1129"/>
      <c r="AZ105" s="1129"/>
      <c r="BA105" s="1129"/>
      <c r="BB105" s="1129"/>
      <c r="BC105" s="1129"/>
      <c r="BD105" s="1129"/>
      <c r="BE105" s="1129"/>
      <c r="BF105" s="1129"/>
      <c r="BG105" s="1129"/>
      <c r="BH105" s="1129"/>
      <c r="BJ105" s="1129"/>
      <c r="BK105" s="1129"/>
      <c r="BL105" s="1129"/>
      <c r="BM105" s="1129"/>
      <c r="BN105" s="1129"/>
    </row>
    <row r="106" spans="2:67">
      <c r="B106" s="1134" t="s">
        <v>1259</v>
      </c>
      <c r="C106" s="1134" t="str">
        <f>LEFT(SETUP!$B$3,1)&amp;"-"&amp;SETUP!$B$52&amp;"_"&amp;RIGHT(COMM!$O$31,3)&amp;"_HET"&amp;"_"&amp;SETUP!$B$66</f>
        <v>R-SH_Att_HET_X0</v>
      </c>
      <c r="D106" s="1134" t="s">
        <v>1094</v>
      </c>
      <c r="E106" s="1145">
        <f t="shared" ref="E106:N111" si="335">G256</f>
        <v>3.6676721171657028E-3</v>
      </c>
      <c r="F106" s="1145">
        <f t="shared" si="335"/>
        <v>0.13965711763027436</v>
      </c>
      <c r="G106" s="1145">
        <f t="shared" si="335"/>
        <v>2.8161268542943228E-2</v>
      </c>
      <c r="H106" s="1145">
        <f t="shared" si="335"/>
        <v>4.3745197506717499E-3</v>
      </c>
      <c r="I106" s="1145">
        <f t="shared" si="335"/>
        <v>4.188020257496778E-3</v>
      </c>
      <c r="J106" s="1145">
        <f t="shared" si="335"/>
        <v>1.6569844321455925E-3</v>
      </c>
      <c r="K106" s="1145">
        <f t="shared" si="335"/>
        <v>1.3704219865504621E-2</v>
      </c>
      <c r="L106" s="1145">
        <f t="shared" si="335"/>
        <v>2.4810340444349675E-2</v>
      </c>
      <c r="M106" s="1145">
        <f t="shared" si="335"/>
        <v>1.9329643535367499E-3</v>
      </c>
      <c r="N106" s="1145">
        <f t="shared" si="335"/>
        <v>3.4325549908475177E-3</v>
      </c>
      <c r="O106" s="1145">
        <f t="shared" ref="O106:X111" si="336">Q256</f>
        <v>5.3749239669181464E-3</v>
      </c>
      <c r="P106" s="1145">
        <f t="shared" si="336"/>
        <v>1.3738178577937715E-2</v>
      </c>
      <c r="Q106" s="1145">
        <f t="shared" si="336"/>
        <v>3.9722015705349056E-3</v>
      </c>
      <c r="R106" s="1145">
        <f t="shared" si="336"/>
        <v>4.818545670185323E-2</v>
      </c>
      <c r="S106" s="1145">
        <f t="shared" si="336"/>
        <v>5.2523955807361458E-3</v>
      </c>
      <c r="T106" s="1145">
        <f t="shared" si="336"/>
        <v>1.034408535912029E-2</v>
      </c>
      <c r="U106" s="1145">
        <f t="shared" si="336"/>
        <v>4.4761304002908127E-3</v>
      </c>
      <c r="V106" s="1145">
        <f t="shared" si="336"/>
        <v>8.7035272105317699E-3</v>
      </c>
      <c r="W106" s="1145">
        <f t="shared" si="336"/>
        <v>8.4329565576202574E-3</v>
      </c>
      <c r="X106" s="1145">
        <f t="shared" si="336"/>
        <v>6.6460320099166357E-4</v>
      </c>
      <c r="Y106" s="1145">
        <f t="shared" ref="Y106:AD111" si="337">AA256</f>
        <v>3.3787890266612389E-3</v>
      </c>
      <c r="Z106" s="1145">
        <f t="shared" si="337"/>
        <v>8.5480328471697841E-4</v>
      </c>
      <c r="AA106" s="1145">
        <f t="shared" si="337"/>
        <v>2.6667483560704874E-3</v>
      </c>
      <c r="AB106" s="1145">
        <f t="shared" si="337"/>
        <v>2.9983982296150642E-3</v>
      </c>
      <c r="AC106" s="1145">
        <f t="shared" si="337"/>
        <v>3.6868022898961924E-3</v>
      </c>
      <c r="AD106" s="1145">
        <f t="shared" si="337"/>
        <v>2.7994061978078347E-3</v>
      </c>
      <c r="AE106" s="1172">
        <f t="shared" si="237"/>
        <v>0.35111506889623872</v>
      </c>
      <c r="AF106" s="1153"/>
      <c r="AO106" s="1129"/>
      <c r="AP106" s="1129"/>
      <c r="AQ106" s="1129"/>
      <c r="AR106" s="1129"/>
      <c r="AS106" s="1129"/>
      <c r="AT106" s="1129"/>
      <c r="AU106" s="1129"/>
      <c r="AW106" s="1129"/>
      <c r="AX106" s="1129"/>
      <c r="AY106" s="1129"/>
      <c r="AZ106" s="1129"/>
      <c r="BA106" s="1129"/>
      <c r="BB106" s="1129"/>
      <c r="BC106" s="1129"/>
      <c r="BD106" s="1129"/>
      <c r="BE106" s="1129"/>
      <c r="BF106" s="1129"/>
      <c r="BG106" s="1129"/>
      <c r="BH106" s="1129"/>
      <c r="BJ106" s="1129"/>
      <c r="BK106" s="1129"/>
      <c r="BL106" s="1129"/>
      <c r="BM106" s="1129"/>
      <c r="BN106" s="1129"/>
    </row>
    <row r="107" spans="2:67" ht="15" customHeight="1">
      <c r="B107" s="1136" t="s">
        <v>56</v>
      </c>
      <c r="C107" s="1136" t="str">
        <f>LEFT(SETUP!$B$3,1)&amp;"-"&amp;SETUP!$B$52&amp;"_"&amp;RIGHT(COMM!$O$31,3)&amp;"_HET"&amp;"_"&amp;SETUP!$B$66</f>
        <v>R-SH_Att_HET_X0</v>
      </c>
      <c r="D107" s="1136" t="s">
        <v>1094</v>
      </c>
      <c r="E107" s="1146">
        <f t="shared" si="335"/>
        <v>9.7401734912405322E-3</v>
      </c>
      <c r="F107" s="1146">
        <f t="shared" si="335"/>
        <v>0.24392747140999421</v>
      </c>
      <c r="G107" s="1146">
        <f t="shared" si="335"/>
        <v>3.5009370611034943E-2</v>
      </c>
      <c r="H107" s="1146">
        <f t="shared" si="335"/>
        <v>1.2456657660792384E-2</v>
      </c>
      <c r="I107" s="1146">
        <f t="shared" si="335"/>
        <v>1.2393115815480507E-2</v>
      </c>
      <c r="J107" s="1146">
        <f t="shared" si="335"/>
        <v>4.7477267422226643E-3</v>
      </c>
      <c r="K107" s="1146">
        <f t="shared" si="335"/>
        <v>2.642659784021462E-2</v>
      </c>
      <c r="L107" s="1146">
        <f t="shared" si="335"/>
        <v>2.7680932689252417E-2</v>
      </c>
      <c r="M107" s="1146">
        <f t="shared" si="335"/>
        <v>9.0636351978715737E-3</v>
      </c>
      <c r="N107" s="1146">
        <f t="shared" si="335"/>
        <v>1.2479979911206102E-2</v>
      </c>
      <c r="O107" s="1146">
        <f t="shared" si="336"/>
        <v>1.7091973571379676E-2</v>
      </c>
      <c r="P107" s="1146">
        <f t="shared" si="336"/>
        <v>1.9447566202179755E-2</v>
      </c>
      <c r="Q107" s="1146">
        <f t="shared" si="336"/>
        <v>1.4012095213777359E-2</v>
      </c>
      <c r="R107" s="1146">
        <f t="shared" si="336"/>
        <v>9.2592582679723826E-2</v>
      </c>
      <c r="S107" s="1146">
        <f t="shared" si="336"/>
        <v>1.4231178861429767E-2</v>
      </c>
      <c r="T107" s="1146">
        <f t="shared" si="336"/>
        <v>3.2043702505470971E-2</v>
      </c>
      <c r="U107" s="1146">
        <f t="shared" si="336"/>
        <v>2.02873789802792E-2</v>
      </c>
      <c r="V107" s="1146">
        <f t="shared" si="336"/>
        <v>2.104871817696205E-2</v>
      </c>
      <c r="W107" s="1146">
        <f t="shared" si="336"/>
        <v>2.9501788080250703E-2</v>
      </c>
      <c r="X107" s="1146">
        <f t="shared" si="336"/>
        <v>3.1281083354367245E-3</v>
      </c>
      <c r="Y107" s="1146">
        <f t="shared" si="337"/>
        <v>1.2827774991082163E-2</v>
      </c>
      <c r="Z107" s="1146">
        <f t="shared" si="337"/>
        <v>6.7675394523736962E-3</v>
      </c>
      <c r="AA107" s="1146">
        <f t="shared" si="337"/>
        <v>8.5360250972115834E-3</v>
      </c>
      <c r="AB107" s="1146">
        <f t="shared" si="337"/>
        <v>9.260054405771604E-3</v>
      </c>
      <c r="AC107" s="1146">
        <f t="shared" si="337"/>
        <v>1.8885222484578506E-2</v>
      </c>
      <c r="AD107" s="1146">
        <f t="shared" si="337"/>
        <v>6.1663354928800651E-3</v>
      </c>
      <c r="AE107" s="1173">
        <f t="shared" si="237"/>
        <v>0.71975370590009768</v>
      </c>
      <c r="AF107" s="1153"/>
      <c r="AO107" s="1129"/>
      <c r="AP107" s="1129"/>
      <c r="AQ107" s="1129"/>
      <c r="AR107" s="1129"/>
      <c r="AS107" s="1129"/>
      <c r="AT107" s="1129"/>
      <c r="AU107" s="1129"/>
      <c r="AW107" s="1129"/>
      <c r="AX107" s="1129"/>
      <c r="AY107" s="1129"/>
      <c r="AZ107" s="1129"/>
      <c r="BA107" s="1129"/>
      <c r="BB107" s="1129"/>
      <c r="BC107" s="1129"/>
      <c r="BD107" s="1129"/>
      <c r="BE107" s="1129"/>
      <c r="BF107" s="1129"/>
      <c r="BG107" s="1129"/>
      <c r="BH107" s="1129"/>
      <c r="BJ107" s="1129"/>
      <c r="BK107" s="1129"/>
      <c r="BL107" s="1129"/>
      <c r="BM107" s="1129"/>
      <c r="BN107" s="1129"/>
    </row>
    <row r="108" spans="2:67">
      <c r="B108" s="1134" t="s">
        <v>58</v>
      </c>
      <c r="C108" s="1134" t="str">
        <f>LEFT(SETUP!$B$3,1)&amp;"-"&amp;SETUP!$B$52&amp;"_"&amp;RIGHT(COMM!$O$31,3)&amp;"_HET"&amp;"_"&amp;SETUP!$B$66</f>
        <v>R-SH_Att_HET_X0</v>
      </c>
      <c r="D108" s="1134" t="s">
        <v>1094</v>
      </c>
      <c r="E108" s="1145">
        <f t="shared" si="335"/>
        <v>5.1107596371189412E-3</v>
      </c>
      <c r="F108" s="1145">
        <f t="shared" si="335"/>
        <v>0.17873767702207222</v>
      </c>
      <c r="G108" s="1145">
        <f t="shared" si="335"/>
        <v>1.967457657595964E-2</v>
      </c>
      <c r="H108" s="1145">
        <f t="shared" si="335"/>
        <v>7.2584352832029131E-3</v>
      </c>
      <c r="I108" s="1145">
        <f t="shared" si="335"/>
        <v>4.5931300031179087E-3</v>
      </c>
      <c r="J108" s="1145">
        <f t="shared" si="335"/>
        <v>2.9332570532498211E-3</v>
      </c>
      <c r="K108" s="1145">
        <f t="shared" si="335"/>
        <v>1.0488763979594886E-2</v>
      </c>
      <c r="L108" s="1145">
        <f t="shared" si="335"/>
        <v>8.2738611994248989E-3</v>
      </c>
      <c r="M108" s="1145">
        <f t="shared" si="335"/>
        <v>4.2745123541880255E-3</v>
      </c>
      <c r="N108" s="1145">
        <f t="shared" si="335"/>
        <v>6.9726031108001338E-3</v>
      </c>
      <c r="O108" s="1145">
        <f t="shared" si="336"/>
        <v>1.2361195870878498E-2</v>
      </c>
      <c r="P108" s="1145">
        <f t="shared" si="336"/>
        <v>1.1852182970475519E-2</v>
      </c>
      <c r="Q108" s="1145">
        <f t="shared" si="336"/>
        <v>1.0903623563843289E-2</v>
      </c>
      <c r="R108" s="1145">
        <f t="shared" si="336"/>
        <v>4.2255490163106882E-2</v>
      </c>
      <c r="S108" s="1145">
        <f t="shared" si="336"/>
        <v>9.8509183512074834E-3</v>
      </c>
      <c r="T108" s="1145">
        <f t="shared" si="336"/>
        <v>1.9857104557388282E-2</v>
      </c>
      <c r="U108" s="1145">
        <f t="shared" si="336"/>
        <v>1.336774900392709E-2</v>
      </c>
      <c r="V108" s="1145">
        <f t="shared" si="336"/>
        <v>1.3638113259810495E-2</v>
      </c>
      <c r="W108" s="1145">
        <f t="shared" si="336"/>
        <v>1.6499362816328814E-2</v>
      </c>
      <c r="X108" s="1145">
        <f t="shared" si="336"/>
        <v>1.1502747709471101E-3</v>
      </c>
      <c r="Y108" s="1145">
        <f t="shared" si="337"/>
        <v>7.7229661176505841E-3</v>
      </c>
      <c r="Z108" s="1145">
        <f t="shared" si="337"/>
        <v>2.2841410238342236E-3</v>
      </c>
      <c r="AA108" s="1145">
        <f t="shared" si="337"/>
        <v>5.1871917724962916E-3</v>
      </c>
      <c r="AB108" s="1145">
        <f t="shared" si="337"/>
        <v>3.1742233351473559E-3</v>
      </c>
      <c r="AC108" s="1145">
        <f t="shared" si="337"/>
        <v>8.5994478630471247E-3</v>
      </c>
      <c r="AD108" s="1145">
        <f t="shared" si="337"/>
        <v>4.1360107942897918E-3</v>
      </c>
      <c r="AE108" s="1172">
        <f t="shared" si="237"/>
        <v>0.43115757245310804</v>
      </c>
      <c r="AF108" s="1153"/>
      <c r="AO108" s="1129"/>
      <c r="AP108" s="1129"/>
      <c r="AQ108" s="1129"/>
      <c r="AR108" s="1129"/>
      <c r="AS108" s="1129"/>
      <c r="AT108" s="1129"/>
      <c r="AU108" s="1129"/>
      <c r="AW108" s="1129"/>
      <c r="AX108" s="1129"/>
      <c r="AY108" s="1129"/>
      <c r="AZ108" s="1129"/>
      <c r="BA108" s="1129"/>
      <c r="BB108" s="1129"/>
      <c r="BC108" s="1129"/>
      <c r="BD108" s="1129"/>
      <c r="BE108" s="1129"/>
      <c r="BF108" s="1129"/>
      <c r="BG108" s="1129"/>
      <c r="BH108" s="1129"/>
      <c r="BJ108" s="1129"/>
      <c r="BK108" s="1129"/>
      <c r="BL108" s="1129"/>
      <c r="BM108" s="1129"/>
      <c r="BN108" s="1129"/>
    </row>
    <row r="109" spans="2:67">
      <c r="B109" s="1136" t="s">
        <v>60</v>
      </c>
      <c r="C109" s="1136" t="str">
        <f>LEFT(SETUP!$B$3,1)&amp;"-"&amp;SETUP!$B$52&amp;"_"&amp;RIGHT(COMM!$O$31,3)&amp;"_HET"&amp;"_"&amp;SETUP!$B$66</f>
        <v>R-SH_Att_HET_X0</v>
      </c>
      <c r="D109" s="1136" t="s">
        <v>1094</v>
      </c>
      <c r="E109" s="1146">
        <f t="shared" si="335"/>
        <v>1.812125300695913E-3</v>
      </c>
      <c r="F109" s="1146">
        <f t="shared" si="335"/>
        <v>9.2857073451032723E-2</v>
      </c>
      <c r="G109" s="1146">
        <f t="shared" si="335"/>
        <v>6.1357090619314145E-3</v>
      </c>
      <c r="H109" s="1146">
        <f t="shared" si="335"/>
        <v>3.3907670738221223E-3</v>
      </c>
      <c r="I109" s="1146">
        <f t="shared" si="335"/>
        <v>3.6016807378794679E-3</v>
      </c>
      <c r="J109" s="1146">
        <f t="shared" si="335"/>
        <v>1.2042220357308558E-3</v>
      </c>
      <c r="K109" s="1146">
        <f t="shared" si="335"/>
        <v>4.2169680115006344E-3</v>
      </c>
      <c r="L109" s="1146">
        <f t="shared" si="335"/>
        <v>2.8973723501662559E-3</v>
      </c>
      <c r="M109" s="1146">
        <f t="shared" si="335"/>
        <v>5.0394738926273141E-3</v>
      </c>
      <c r="N109" s="1146">
        <f t="shared" si="335"/>
        <v>3.4415780779025705E-3</v>
      </c>
      <c r="O109" s="1146">
        <f t="shared" si="336"/>
        <v>5.4077683024694465E-3</v>
      </c>
      <c r="P109" s="1146">
        <f t="shared" si="336"/>
        <v>6.3725053743434968E-3</v>
      </c>
      <c r="Q109" s="1146">
        <f t="shared" si="336"/>
        <v>4.6946711936664944E-3</v>
      </c>
      <c r="R109" s="1146">
        <f t="shared" si="336"/>
        <v>2.0884538384553834E-2</v>
      </c>
      <c r="S109" s="1146">
        <f t="shared" si="336"/>
        <v>5.0262835863249715E-3</v>
      </c>
      <c r="T109" s="1146">
        <f t="shared" si="336"/>
        <v>8.3312015063256167E-3</v>
      </c>
      <c r="U109" s="1146">
        <f t="shared" si="336"/>
        <v>7.5234948756631725E-3</v>
      </c>
      <c r="V109" s="1146">
        <f t="shared" si="336"/>
        <v>5.1310855098873924E-3</v>
      </c>
      <c r="W109" s="1146">
        <f t="shared" si="336"/>
        <v>6.9822830466290788E-3</v>
      </c>
      <c r="X109" s="1146">
        <f t="shared" si="336"/>
        <v>7.2211693953901904E-4</v>
      </c>
      <c r="Y109" s="1146">
        <f t="shared" si="337"/>
        <v>2.9608688469630463E-3</v>
      </c>
      <c r="Z109" s="1146">
        <f t="shared" si="337"/>
        <v>1.5973553781543385E-3</v>
      </c>
      <c r="AA109" s="1146">
        <f t="shared" si="337"/>
        <v>2.8035887349926697E-3</v>
      </c>
      <c r="AB109" s="1146">
        <f t="shared" si="337"/>
        <v>1.6784562239807964E-3</v>
      </c>
      <c r="AC109" s="1146">
        <f t="shared" si="337"/>
        <v>3.8351654677178282E-3</v>
      </c>
      <c r="AD109" s="1146">
        <f t="shared" si="337"/>
        <v>1.6269195728878386E-3</v>
      </c>
      <c r="AE109" s="1173">
        <f t="shared" si="237"/>
        <v>0.2101752729373883</v>
      </c>
      <c r="AF109" s="1153"/>
      <c r="AO109" s="1129"/>
      <c r="AP109" s="1129"/>
      <c r="AQ109" s="1129"/>
      <c r="AR109" s="1129"/>
      <c r="AS109" s="1129"/>
      <c r="AT109" s="1129"/>
      <c r="AU109" s="1129"/>
      <c r="AW109" s="1129"/>
      <c r="AX109" s="1129"/>
      <c r="AY109" s="1129"/>
      <c r="AZ109" s="1129"/>
      <c r="BA109" s="1129"/>
      <c r="BB109" s="1129"/>
      <c r="BC109" s="1129"/>
      <c r="BD109" s="1129"/>
      <c r="BE109" s="1129"/>
      <c r="BF109" s="1129"/>
      <c r="BG109" s="1129"/>
      <c r="BH109" s="1129"/>
      <c r="BJ109" s="1129"/>
      <c r="BK109" s="1129"/>
      <c r="BL109" s="1129"/>
      <c r="BM109" s="1129"/>
      <c r="BN109" s="1129"/>
    </row>
    <row r="110" spans="2:67" s="1142" customFormat="1">
      <c r="B110" s="1134" t="s">
        <v>62</v>
      </c>
      <c r="C110" s="1134" t="str">
        <f>LEFT(SETUP!$B$3,1)&amp;"-"&amp;SETUP!$B$52&amp;"_"&amp;RIGHT(COMM!$O$31,3)&amp;"_HET"&amp;"_"&amp;SETUP!$B$66</f>
        <v>R-SH_Att_HET_X0</v>
      </c>
      <c r="D110" s="1134" t="s">
        <v>1094</v>
      </c>
      <c r="E110" s="1145">
        <f t="shared" si="335"/>
        <v>9.1314126480379978E-4</v>
      </c>
      <c r="F110" s="1145">
        <f t="shared" si="335"/>
        <v>4.2984391000374718E-2</v>
      </c>
      <c r="G110" s="1145">
        <f t="shared" si="335"/>
        <v>2.1676519605655508E-3</v>
      </c>
      <c r="H110" s="1145">
        <f t="shared" si="335"/>
        <v>1.5451596792100811E-3</v>
      </c>
      <c r="I110" s="1145">
        <f t="shared" si="335"/>
        <v>1.6231691510540844E-3</v>
      </c>
      <c r="J110" s="1145">
        <f t="shared" si="335"/>
        <v>5.6956447635918847E-4</v>
      </c>
      <c r="K110" s="1145">
        <f t="shared" si="335"/>
        <v>1.8998215923631508E-3</v>
      </c>
      <c r="L110" s="1145">
        <f t="shared" si="335"/>
        <v>1.4220698936511546E-3</v>
      </c>
      <c r="M110" s="1145">
        <f t="shared" si="335"/>
        <v>2.4339685313977369E-3</v>
      </c>
      <c r="N110" s="1145">
        <f t="shared" si="335"/>
        <v>1.5546732653891563E-3</v>
      </c>
      <c r="O110" s="1145">
        <f t="shared" si="336"/>
        <v>2.2063368413544268E-3</v>
      </c>
      <c r="P110" s="1145">
        <f t="shared" si="336"/>
        <v>2.564235230313518E-3</v>
      </c>
      <c r="Q110" s="1145">
        <f t="shared" si="336"/>
        <v>1.7500136024050422E-3</v>
      </c>
      <c r="R110" s="1145">
        <f t="shared" si="336"/>
        <v>9.1972294039669774E-3</v>
      </c>
      <c r="S110" s="1145">
        <f t="shared" si="336"/>
        <v>1.9268665160057095E-3</v>
      </c>
      <c r="T110" s="1145">
        <f t="shared" si="336"/>
        <v>3.4364191899882743E-3</v>
      </c>
      <c r="U110" s="1145">
        <f t="shared" si="336"/>
        <v>3.6314615177747474E-3</v>
      </c>
      <c r="V110" s="1145">
        <f t="shared" si="336"/>
        <v>2.266518346006002E-3</v>
      </c>
      <c r="W110" s="1145">
        <f t="shared" si="336"/>
        <v>3.1569038456535463E-3</v>
      </c>
      <c r="X110" s="1145">
        <f t="shared" si="336"/>
        <v>5.3679489310865143E-4</v>
      </c>
      <c r="Y110" s="1145">
        <f t="shared" si="337"/>
        <v>1.5661123241675335E-3</v>
      </c>
      <c r="Z110" s="1145">
        <f t="shared" si="337"/>
        <v>8.4497784496570093E-4</v>
      </c>
      <c r="AA110" s="1145">
        <f t="shared" si="337"/>
        <v>1.1715390508904978E-3</v>
      </c>
      <c r="AB110" s="1145">
        <f t="shared" si="337"/>
        <v>7.5359259035872477E-4</v>
      </c>
      <c r="AC110" s="1145">
        <f t="shared" si="337"/>
        <v>1.7313500457253376E-3</v>
      </c>
      <c r="AD110" s="1145">
        <f t="shared" si="337"/>
        <v>7.2258280757688757E-4</v>
      </c>
      <c r="AE110" s="1172">
        <f t="shared" si="237"/>
        <v>9.4576544865430198E-2</v>
      </c>
      <c r="AF110" s="1153"/>
      <c r="AG110" s="1167"/>
      <c r="AH110" s="1153"/>
    </row>
    <row r="111" spans="2:67" s="1142" customFormat="1" ht="13.5" thickBot="1">
      <c r="B111" s="1138" t="s">
        <v>64</v>
      </c>
      <c r="C111" s="1138" t="str">
        <f>LEFT(SETUP!$B$3,1)&amp;"-"&amp;SETUP!$B$52&amp;"_"&amp;RIGHT(COMM!$O$31,3)&amp;"_HET"&amp;"_"&amp;SETUP!$B$66</f>
        <v>R-SH_Att_HET_X0</v>
      </c>
      <c r="D111" s="1138" t="s">
        <v>1094</v>
      </c>
      <c r="E111" s="1147">
        <f t="shared" si="335"/>
        <v>8.5651234915705258E-4</v>
      </c>
      <c r="F111" s="1147">
        <f t="shared" si="335"/>
        <v>3.6459187201838286E-2</v>
      </c>
      <c r="G111" s="1147">
        <f t="shared" si="335"/>
        <v>2.3378395111884661E-3</v>
      </c>
      <c r="H111" s="1147">
        <f t="shared" si="335"/>
        <v>1.6310018836106412E-3</v>
      </c>
      <c r="I111" s="1147">
        <f t="shared" si="335"/>
        <v>1.811807728068478E-3</v>
      </c>
      <c r="J111" s="1147">
        <f t="shared" si="335"/>
        <v>5.2074466409982956E-4</v>
      </c>
      <c r="K111" s="1147">
        <f t="shared" si="335"/>
        <v>2.7940890783081491E-3</v>
      </c>
      <c r="L111" s="1147">
        <f t="shared" si="335"/>
        <v>1.3422210493552341E-3</v>
      </c>
      <c r="M111" s="1147">
        <f t="shared" si="335"/>
        <v>2.3505181817498146E-3</v>
      </c>
      <c r="N111" s="1147">
        <f t="shared" si="335"/>
        <v>2.1765425715448189E-3</v>
      </c>
      <c r="O111" s="1147">
        <f t="shared" si="336"/>
        <v>2.618240761829098E-3</v>
      </c>
      <c r="P111" s="1147">
        <f t="shared" si="336"/>
        <v>2.8054256727687503E-3</v>
      </c>
      <c r="Q111" s="1147">
        <f t="shared" si="336"/>
        <v>1.7220453484853269E-3</v>
      </c>
      <c r="R111" s="1147">
        <f t="shared" si="336"/>
        <v>1.1009007733909041E-2</v>
      </c>
      <c r="S111" s="1147">
        <f t="shared" si="336"/>
        <v>2.1583892369211244E-3</v>
      </c>
      <c r="T111" s="1147">
        <f t="shared" si="336"/>
        <v>3.6700795803977933E-3</v>
      </c>
      <c r="U111" s="1147">
        <f t="shared" si="336"/>
        <v>4.5207146229246003E-3</v>
      </c>
      <c r="V111" s="1147">
        <f t="shared" si="336"/>
        <v>2.5655427549436962E-3</v>
      </c>
      <c r="W111" s="1147">
        <f t="shared" si="336"/>
        <v>3.0448472832007275E-3</v>
      </c>
      <c r="X111" s="1147">
        <f t="shared" si="336"/>
        <v>5.0803802383497364E-4</v>
      </c>
      <c r="Y111" s="1147">
        <f t="shared" si="337"/>
        <v>2.2276254178362621E-3</v>
      </c>
      <c r="Z111" s="1147">
        <f t="shared" si="337"/>
        <v>8.1796942069739087E-4</v>
      </c>
      <c r="AA111" s="1147">
        <f t="shared" si="337"/>
        <v>1.4220568353576484E-3</v>
      </c>
      <c r="AB111" s="1147">
        <f t="shared" si="337"/>
        <v>1.0238202363964494E-3</v>
      </c>
      <c r="AC111" s="1147">
        <f t="shared" si="337"/>
        <v>2.1856759442490077E-3</v>
      </c>
      <c r="AD111" s="1147">
        <f t="shared" si="337"/>
        <v>7.7134606452992905E-4</v>
      </c>
      <c r="AE111" s="1174">
        <f t="shared" si="237"/>
        <v>9.5351289157202604E-2</v>
      </c>
      <c r="AF111" s="1153"/>
      <c r="AG111" s="1167"/>
      <c r="AH111" s="1153"/>
    </row>
    <row r="112" spans="2:67" s="1142" customFormat="1" ht="13.5" thickBot="1">
      <c r="B112" s="1138" t="s">
        <v>1075</v>
      </c>
      <c r="C112" s="1138" t="str">
        <f>LEFT(SETUP!$B$3,1)&amp;"-"&amp;SETUP!$B$52&amp;"_"&amp;RIGHT(COMM!$O$31,3)&amp;"_HET"&amp;"_"&amp;SETUP!$B$66</f>
        <v>R-SH_Att_HET_X0</v>
      </c>
      <c r="D112" s="1138" t="s">
        <v>1094</v>
      </c>
      <c r="E112" s="1147">
        <f>SUM(E106:E111)</f>
        <v>2.2100384160181945E-2</v>
      </c>
      <c r="F112" s="1147">
        <f t="shared" ref="F112" si="338">SUM(F106:F111)</f>
        <v>0.73462291771558663</v>
      </c>
      <c r="G112" s="1147">
        <f t="shared" ref="G112" si="339">SUM(G106:G111)</f>
        <v>9.3486416263623237E-2</v>
      </c>
      <c r="H112" s="1147">
        <f t="shared" ref="H112" si="340">SUM(H106:H111)</f>
        <v>3.0656541331309892E-2</v>
      </c>
      <c r="I112" s="1147">
        <f t="shared" ref="I112" si="341">SUM(I106:I111)</f>
        <v>2.8210923693097228E-2</v>
      </c>
      <c r="J112" s="1147">
        <f t="shared" ref="J112" si="342">SUM(J106:J111)</f>
        <v>1.163249940380795E-2</v>
      </c>
      <c r="K112" s="1147">
        <f t="shared" ref="K112" si="343">SUM(K106:K111)</f>
        <v>5.9530460367486056E-2</v>
      </c>
      <c r="L112" s="1147">
        <f t="shared" ref="L112" si="344">SUM(L106:L111)</f>
        <v>6.642679762619963E-2</v>
      </c>
      <c r="M112" s="1147">
        <f t="shared" ref="M112" si="345">SUM(M106:M111)</f>
        <v>2.5095072511371216E-2</v>
      </c>
      <c r="N112" s="1147">
        <f t="shared" ref="N112" si="346">SUM(N106:N111)</f>
        <v>3.0057931927690299E-2</v>
      </c>
      <c r="O112" s="1147">
        <f t="shared" ref="O112" si="347">SUM(O106:O111)</f>
        <v>4.5060439314829295E-2</v>
      </c>
      <c r="P112" s="1147">
        <f t="shared" ref="P112" si="348">SUM(P106:P111)</f>
        <v>5.6780094028018757E-2</v>
      </c>
      <c r="Q112" s="1147">
        <f t="shared" ref="Q112" si="349">SUM(Q106:Q111)</f>
        <v>3.7054650492712421E-2</v>
      </c>
      <c r="R112" s="1147">
        <f t="shared" ref="R112" si="350">SUM(R106:R111)</f>
        <v>0.22412430506711378</v>
      </c>
      <c r="S112" s="1147">
        <f t="shared" ref="S112" si="351">SUM(S106:S111)</f>
        <v>3.8446032132625201E-2</v>
      </c>
      <c r="T112" s="1147">
        <f t="shared" ref="T112" si="352">SUM(T106:T111)</f>
        <v>7.7682592698691225E-2</v>
      </c>
      <c r="U112" s="1147">
        <f t="shared" ref="U112" si="353">SUM(U106:U111)</f>
        <v>5.3806929400859627E-2</v>
      </c>
      <c r="V112" s="1147">
        <f t="shared" ref="V112" si="354">SUM(V106:V111)</f>
        <v>5.33535052581414E-2</v>
      </c>
      <c r="W112" s="1147">
        <f t="shared" ref="W112" si="355">SUM(W106:W111)</f>
        <v>6.7618141629683132E-2</v>
      </c>
      <c r="X112" s="1147">
        <f t="shared" ref="X112" si="356">SUM(X106:X111)</f>
        <v>6.709936163858142E-3</v>
      </c>
      <c r="Y112" s="1147">
        <f t="shared" ref="Y112" si="357">SUM(Y106:Y111)</f>
        <v>3.0684136724360829E-2</v>
      </c>
      <c r="Z112" s="1147">
        <f t="shared" ref="Z112" si="358">SUM(Z106:Z111)</f>
        <v>1.3166786404742328E-2</v>
      </c>
      <c r="AA112" s="1147">
        <f t="shared" ref="AA112" si="359">SUM(AA106:AA111)</f>
        <v>2.1787149847019179E-2</v>
      </c>
      <c r="AB112" s="1147">
        <f t="shared" ref="AB112" si="360">SUM(AB106:AB111)</f>
        <v>1.8888545021269996E-2</v>
      </c>
      <c r="AC112" s="1147">
        <f t="shared" ref="AC112" si="361">SUM(AC106:AC111)</f>
        <v>3.8923664095214007E-2</v>
      </c>
      <c r="AD112" s="1147">
        <f t="shared" ref="AD112" si="362">SUM(AD106:AD111)</f>
        <v>1.6222600929972346E-2</v>
      </c>
      <c r="AE112" s="1147">
        <f t="shared" ref="AE112" si="363">SUM(AE106:AE111)</f>
        <v>1.9021294542094653</v>
      </c>
      <c r="AF112" s="1153"/>
      <c r="AG112" s="1167"/>
      <c r="AH112" s="1153"/>
    </row>
    <row r="113" spans="2:66" ht="13.5" thickBot="1">
      <c r="B113" s="1165"/>
      <c r="C113" s="1165" t="str">
        <f>LEFT(SETUP!$B$3,1)&amp;"-"&amp;SETUP!$B$54&amp;"_"&amp;RIGHT(COMM!$O$31,3)&amp;"_HET"&amp;"_"&amp;SETUP!$B$66</f>
        <v>R-WH_Att_HET_X0</v>
      </c>
      <c r="D113" s="1165" t="s">
        <v>1094</v>
      </c>
      <c r="E113" s="1166">
        <f t="shared" ref="E113" si="364">G262</f>
        <v>2.2234394403226294E-2</v>
      </c>
      <c r="F113" s="1166">
        <f t="shared" ref="F113:AC113" si="365">H262</f>
        <v>0.73907745547544978</v>
      </c>
      <c r="G113" s="1166">
        <f t="shared" si="365"/>
        <v>9.405329045341243E-2</v>
      </c>
      <c r="H113" s="1166">
        <f t="shared" si="365"/>
        <v>3.0842433600192252E-2</v>
      </c>
      <c r="I113" s="1166">
        <f t="shared" si="365"/>
        <v>2.8381986454414698E-2</v>
      </c>
      <c r="J113" s="1166">
        <f t="shared" si="365"/>
        <v>1.1703035466032886E-2</v>
      </c>
      <c r="K113" s="1166">
        <f t="shared" si="365"/>
        <v>5.9891435606855975E-2</v>
      </c>
      <c r="L113" s="1166">
        <f t="shared" si="365"/>
        <v>6.6829590230618852E-2</v>
      </c>
      <c r="M113" s="1166">
        <f t="shared" si="365"/>
        <v>2.5247241665630693E-2</v>
      </c>
      <c r="N113" s="1166">
        <f t="shared" si="365"/>
        <v>3.0240194404842061E-2</v>
      </c>
      <c r="O113" s="1166">
        <f t="shared" si="365"/>
        <v>4.5333672593513431E-2</v>
      </c>
      <c r="P113" s="1166">
        <f t="shared" si="365"/>
        <v>5.712439185314367E-2</v>
      </c>
      <c r="Q113" s="1166">
        <f t="shared" si="365"/>
        <v>3.7279339017692835E-2</v>
      </c>
      <c r="R113" s="1166">
        <f t="shared" si="365"/>
        <v>0.2254833290721491</v>
      </c>
      <c r="S113" s="1166">
        <f t="shared" si="365"/>
        <v>3.8679157587497001E-2</v>
      </c>
      <c r="T113" s="1166">
        <f t="shared" si="365"/>
        <v>7.8153637140833676E-2</v>
      </c>
      <c r="U113" s="1166">
        <f t="shared" si="365"/>
        <v>5.4133198828314688E-2</v>
      </c>
      <c r="V113" s="1166">
        <f t="shared" si="365"/>
        <v>5.3677025254675839E-2</v>
      </c>
      <c r="W113" s="1166">
        <f t="shared" si="365"/>
        <v>6.8028158194477842E-2</v>
      </c>
      <c r="X113" s="1166">
        <f t="shared" si="365"/>
        <v>6.7506232473772947E-3</v>
      </c>
      <c r="Y113" s="1166">
        <f t="shared" si="365"/>
        <v>3.0870196323607355E-2</v>
      </c>
      <c r="Z113" s="1166">
        <f t="shared" si="365"/>
        <v>1.32466259330249E-2</v>
      </c>
      <c r="AA113" s="1166">
        <f t="shared" si="365"/>
        <v>2.1919260729123355E-2</v>
      </c>
      <c r="AB113" s="1166">
        <f t="shared" si="365"/>
        <v>1.9003079614456617E-2</v>
      </c>
      <c r="AC113" s="1166">
        <f t="shared" si="365"/>
        <v>3.9159685770121085E-2</v>
      </c>
      <c r="AD113" s="1166">
        <f>AF262</f>
        <v>1.6320970020648785E-2</v>
      </c>
      <c r="AE113" s="1175">
        <f t="shared" si="237"/>
        <v>1.9136634089413338</v>
      </c>
      <c r="AF113" s="1153"/>
      <c r="AO113" s="1129"/>
      <c r="AP113" s="1129"/>
      <c r="AQ113" s="1129"/>
      <c r="AR113" s="1129"/>
      <c r="AS113" s="1129"/>
      <c r="AT113" s="1129"/>
      <c r="AU113" s="1129"/>
      <c r="AW113" s="1129"/>
      <c r="AX113" s="1129"/>
      <c r="AY113" s="1129"/>
      <c r="AZ113" s="1129"/>
      <c r="BA113" s="1129"/>
      <c r="BB113" s="1129"/>
      <c r="BC113" s="1129"/>
      <c r="BD113" s="1129"/>
      <c r="BE113" s="1129"/>
      <c r="BF113" s="1129"/>
      <c r="BG113" s="1129"/>
      <c r="BH113" s="1129"/>
      <c r="BJ113" s="1129"/>
      <c r="BK113" s="1129"/>
      <c r="BL113" s="1129"/>
      <c r="BM113" s="1129"/>
      <c r="BN113" s="1129"/>
    </row>
    <row r="114" spans="2:66" s="1142" customFormat="1" ht="15.75" thickBot="1">
      <c r="B114" s="1137"/>
      <c r="C114" s="1137" t="s">
        <v>1130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  <c r="AF114" s="1153"/>
      <c r="AG114" s="1167"/>
      <c r="AH114" s="1153"/>
    </row>
    <row r="115" spans="2:66" s="1142" customFormat="1" ht="13.5" thickBot="1">
      <c r="B115" s="1165"/>
      <c r="C115" s="1165" t="s">
        <v>1153</v>
      </c>
      <c r="D115" s="1165" t="s">
        <v>1094</v>
      </c>
      <c r="E115" s="1166">
        <f>G264</f>
        <v>9.017369625553881E-2</v>
      </c>
      <c r="F115" s="1166">
        <f t="shared" ref="F115:AC115" si="366">H264</f>
        <v>2.9973987494657934</v>
      </c>
      <c r="G115" s="1166">
        <f t="shared" si="366"/>
        <v>0.38144204386107938</v>
      </c>
      <c r="H115" s="1166">
        <f t="shared" si="366"/>
        <v>0.12508441600918088</v>
      </c>
      <c r="I115" s="1166">
        <f t="shared" si="366"/>
        <v>0.11510583914522281</v>
      </c>
      <c r="J115" s="1166">
        <f t="shared" si="366"/>
        <v>4.746277079751355E-2</v>
      </c>
      <c r="K115" s="1166">
        <f t="shared" si="366"/>
        <v>0.24289540001760251</v>
      </c>
      <c r="L115" s="1166">
        <f t="shared" si="366"/>
        <v>0.27103374443441169</v>
      </c>
      <c r="M115" s="1166">
        <f t="shared" si="366"/>
        <v>0.10239258420802401</v>
      </c>
      <c r="N115" s="1166">
        <f t="shared" si="366"/>
        <v>0.12264197780781443</v>
      </c>
      <c r="O115" s="1166">
        <f t="shared" si="366"/>
        <v>0.1838550107756636</v>
      </c>
      <c r="P115" s="1166">
        <f t="shared" si="366"/>
        <v>0.23167339151815655</v>
      </c>
      <c r="Q115" s="1166">
        <f t="shared" si="366"/>
        <v>0.15118989670799882</v>
      </c>
      <c r="R115" s="1166">
        <f t="shared" si="366"/>
        <v>0.9144690364712309</v>
      </c>
      <c r="S115" s="1166">
        <f t="shared" si="366"/>
        <v>0.15686699374231552</v>
      </c>
      <c r="T115" s="1166">
        <f t="shared" si="366"/>
        <v>0.31695949118274741</v>
      </c>
      <c r="U115" s="1166">
        <f t="shared" si="366"/>
        <v>0.21954232438086241</v>
      </c>
      <c r="V115" s="1166">
        <f t="shared" si="366"/>
        <v>0.21769226916806361</v>
      </c>
      <c r="W115" s="1166">
        <f t="shared" si="366"/>
        <v>0.27589465054026707</v>
      </c>
      <c r="X115" s="1166">
        <f t="shared" si="366"/>
        <v>2.7377793125602307E-2</v>
      </c>
      <c r="Y115" s="1166">
        <f t="shared" si="366"/>
        <v>0.12519701036831021</v>
      </c>
      <c r="Z115" s="1166">
        <f t="shared" si="366"/>
        <v>5.3722948402948403E-2</v>
      </c>
      <c r="AA115" s="1166">
        <f t="shared" si="366"/>
        <v>8.8895641738149886E-2</v>
      </c>
      <c r="AB115" s="1166">
        <f t="shared" si="366"/>
        <v>7.7068792520168045E-2</v>
      </c>
      <c r="AC115" s="1166">
        <f t="shared" si="366"/>
        <v>0.15881582138278783</v>
      </c>
      <c r="AD115" s="1166">
        <f>AF264</f>
        <v>6.6191242565355704E-2</v>
      </c>
      <c r="AE115" s="1175">
        <f t="shared" si="237"/>
        <v>7.7610435365928101</v>
      </c>
      <c r="AF115" s="1153"/>
      <c r="AG115" s="1167"/>
      <c r="AH115" s="1153"/>
    </row>
    <row r="116" spans="2:66" s="1183" customFormat="1" ht="15.75" thickBot="1">
      <c r="B116" s="1195"/>
      <c r="C116" s="1184" t="s">
        <v>1262</v>
      </c>
      <c r="D116" s="1185" t="s">
        <v>1094</v>
      </c>
      <c r="E116" s="1186">
        <v>9.0173696255538793</v>
      </c>
      <c r="F116" s="1186">
        <v>299.73987494657928</v>
      </c>
      <c r="G116" s="1186">
        <v>38.144204386107944</v>
      </c>
      <c r="H116" s="1186">
        <v>12.508441600918088</v>
      </c>
      <c r="I116" s="1186">
        <v>11.510583914522281</v>
      </c>
      <c r="J116" s="1186">
        <v>4.7462770797513549</v>
      </c>
      <c r="K116" s="1186">
        <v>24.289540001760251</v>
      </c>
      <c r="L116" s="1186">
        <v>27.103374443441172</v>
      </c>
      <c r="M116" s="1186">
        <v>10.239258420802399</v>
      </c>
      <c r="N116" s="1186">
        <v>12.264197780781444</v>
      </c>
      <c r="O116" s="1186">
        <v>18.38550107756636</v>
      </c>
      <c r="P116" s="1186">
        <v>23.167339151815657</v>
      </c>
      <c r="Q116" s="1186">
        <v>15.118989670799881</v>
      </c>
      <c r="R116" s="1186">
        <v>91.446903647123108</v>
      </c>
      <c r="S116" s="1186">
        <v>15.686699374231551</v>
      </c>
      <c r="T116" s="1186">
        <v>31.695949118274743</v>
      </c>
      <c r="U116" s="1186">
        <v>21.954232438086233</v>
      </c>
      <c r="V116" s="1186">
        <v>21.769226916806353</v>
      </c>
      <c r="W116" s="1186">
        <v>27.589465054026704</v>
      </c>
      <c r="X116" s="1186">
        <v>2.7377793125602312</v>
      </c>
      <c r="Y116" s="1186">
        <v>12.519701036831018</v>
      </c>
      <c r="Z116" s="1186">
        <v>5.3722948402948401</v>
      </c>
      <c r="AA116" s="1186">
        <v>8.8895641738149855</v>
      </c>
      <c r="AB116" s="1186">
        <v>7.7068792520168046</v>
      </c>
      <c r="AC116" s="1186">
        <v>15.881582138278784</v>
      </c>
      <c r="AD116" s="1186">
        <v>6.6191242565355708</v>
      </c>
      <c r="AE116" s="1187">
        <v>776.10435365928083</v>
      </c>
    </row>
    <row r="117" spans="2:66" s="1183" customFormat="1" ht="13.5" thickBot="1">
      <c r="B117" s="1195"/>
      <c r="C117" s="302" t="s">
        <v>1263</v>
      </c>
      <c r="D117" s="1185" t="s">
        <v>1094</v>
      </c>
      <c r="E117" s="1186">
        <v>9.0173696255538793</v>
      </c>
      <c r="F117" s="1186">
        <v>299.73987494657928</v>
      </c>
      <c r="G117" s="1186">
        <v>38.144204386107901</v>
      </c>
      <c r="H117" s="1186">
        <v>12.508441600918088</v>
      </c>
      <c r="I117" s="1186">
        <v>11.510583914522281</v>
      </c>
      <c r="J117" s="1186">
        <v>4.7462770797513549</v>
      </c>
      <c r="K117" s="1186">
        <v>24.289540001760251</v>
      </c>
      <c r="L117" s="1186">
        <v>27.103374443441172</v>
      </c>
      <c r="M117" s="1186">
        <v>10.239258420802399</v>
      </c>
      <c r="N117" s="1186">
        <v>12.264197780781444</v>
      </c>
      <c r="O117" s="1186">
        <v>18.38550107756636</v>
      </c>
      <c r="P117" s="1186">
        <v>23.167339151815657</v>
      </c>
      <c r="Q117" s="1186">
        <v>15.118989670799881</v>
      </c>
      <c r="R117" s="1186">
        <v>91.446903647123108</v>
      </c>
      <c r="S117" s="1186">
        <v>15.686699374231551</v>
      </c>
      <c r="T117" s="1186">
        <v>31.695949118274743</v>
      </c>
      <c r="U117" s="1186">
        <v>21.954232438086233</v>
      </c>
      <c r="V117" s="1186">
        <v>21.769226916806353</v>
      </c>
      <c r="W117" s="1186">
        <v>27.589465054026704</v>
      </c>
      <c r="X117" s="1186">
        <v>2.7377793125602312</v>
      </c>
      <c r="Y117" s="1186">
        <v>12.519701036831018</v>
      </c>
      <c r="Z117" s="1186">
        <v>5.3722948402948401</v>
      </c>
      <c r="AA117" s="1186">
        <v>8.8895641738149855</v>
      </c>
      <c r="AB117" s="1186">
        <v>7.7068792520168046</v>
      </c>
      <c r="AC117" s="1186">
        <v>15.881582138278784</v>
      </c>
      <c r="AD117" s="1186">
        <v>6.6191242565355708</v>
      </c>
      <c r="AE117" s="1187">
        <v>776.10435365928083</v>
      </c>
    </row>
    <row r="118" spans="2:66" s="1142" customFormat="1">
      <c r="C118" s="1136"/>
      <c r="D118" s="1136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G118" s="1167"/>
      <c r="AH118" s="1153"/>
    </row>
    <row r="119" spans="2:66">
      <c r="C119" s="1136"/>
      <c r="D119" s="1136"/>
      <c r="E119" s="1136"/>
      <c r="F119" s="1136"/>
      <c r="G119" s="1136"/>
      <c r="H119" s="1136"/>
      <c r="I119" s="1136"/>
      <c r="J119" s="1136"/>
      <c r="K119" s="1136"/>
      <c r="L119" s="1136"/>
      <c r="M119" s="1136"/>
      <c r="N119" s="1136"/>
      <c r="O119" s="1136"/>
      <c r="P119" s="1136"/>
      <c r="Q119" s="1136"/>
      <c r="R119" s="1136"/>
      <c r="S119" s="1136"/>
      <c r="T119" s="1136"/>
      <c r="U119" s="1136"/>
      <c r="V119" s="1136"/>
      <c r="W119" s="1136"/>
      <c r="X119" s="1136"/>
      <c r="Y119" s="1136"/>
      <c r="Z119" s="1136"/>
      <c r="AA119" s="1136"/>
      <c r="AB119" s="1136"/>
      <c r="AC119" s="1136"/>
      <c r="AD119" s="1136"/>
      <c r="AE119" s="1136"/>
      <c r="AF119" s="1136"/>
      <c r="AO119" s="1129"/>
      <c r="AP119" s="1129"/>
      <c r="AQ119" s="1129"/>
      <c r="AR119" s="1129"/>
      <c r="AS119" s="1129"/>
      <c r="AT119" s="1129"/>
      <c r="AU119" s="1129"/>
      <c r="AW119" s="1129"/>
      <c r="AX119" s="1129"/>
      <c r="AY119" s="1129"/>
      <c r="AZ119" s="1129"/>
      <c r="BA119" s="1129"/>
      <c r="BB119" s="1129"/>
      <c r="BC119" s="1129"/>
      <c r="BD119" s="1129"/>
      <c r="BE119" s="1129"/>
      <c r="BF119" s="1129"/>
      <c r="BG119" s="1129"/>
      <c r="BH119" s="1129"/>
      <c r="BJ119" s="1129"/>
      <c r="BK119" s="1129"/>
      <c r="BL119" s="1129"/>
      <c r="BM119" s="1129"/>
      <c r="BN119" s="1129"/>
    </row>
    <row r="120" spans="2:66" s="1142" customFormat="1" ht="15">
      <c r="C120" s="1136"/>
      <c r="D120" s="1136"/>
      <c r="E120" s="1136"/>
      <c r="F120" s="1131" t="s">
        <v>192</v>
      </c>
      <c r="G120" s="1131" t="s">
        <v>655</v>
      </c>
      <c r="H120" s="1131" t="s">
        <v>660</v>
      </c>
      <c r="I120" s="1131" t="s">
        <v>663</v>
      </c>
      <c r="J120" s="1131" t="s">
        <v>664</v>
      </c>
      <c r="K120" s="1131" t="s">
        <v>665</v>
      </c>
      <c r="L120" s="1131" t="s">
        <v>668</v>
      </c>
      <c r="M120" s="1131" t="s">
        <v>669</v>
      </c>
      <c r="N120" s="1131" t="s">
        <v>671</v>
      </c>
      <c r="O120" s="1131" t="s">
        <v>673</v>
      </c>
      <c r="P120" s="1131" t="s">
        <v>678</v>
      </c>
      <c r="Q120" s="1131" t="s">
        <v>679</v>
      </c>
      <c r="R120" s="1131" t="s">
        <v>680</v>
      </c>
      <c r="S120" s="1131" t="s">
        <v>657</v>
      </c>
      <c r="T120" s="1131" t="s">
        <v>658</v>
      </c>
      <c r="U120" s="1131" t="s">
        <v>662</v>
      </c>
      <c r="V120" s="1131" t="s">
        <v>667</v>
      </c>
      <c r="W120" s="1131" t="s">
        <v>676</v>
      </c>
      <c r="X120" s="1131" t="s">
        <v>677</v>
      </c>
      <c r="Y120" s="1131" t="s">
        <v>661</v>
      </c>
      <c r="Z120" s="1131" t="s">
        <v>666</v>
      </c>
      <c r="AA120" s="1131" t="s">
        <v>670</v>
      </c>
      <c r="AB120" s="1131" t="s">
        <v>674</v>
      </c>
      <c r="AC120" s="1131" t="s">
        <v>675</v>
      </c>
      <c r="AD120" s="1131" t="s">
        <v>656</v>
      </c>
      <c r="AE120" s="1131" t="s">
        <v>659</v>
      </c>
      <c r="AF120" s="1131" t="s">
        <v>672</v>
      </c>
      <c r="AG120" s="1167"/>
      <c r="AH120" s="1153"/>
    </row>
    <row r="121" spans="2:66" s="1142" customFormat="1" ht="15">
      <c r="C121" s="1340" t="s">
        <v>1161</v>
      </c>
      <c r="D121" s="1340"/>
      <c r="E121" s="1137" t="s">
        <v>1157</v>
      </c>
      <c r="F121" s="1158">
        <f>SUM(G107:AF107)</f>
        <v>1.1858397668989604</v>
      </c>
      <c r="G121" s="1158">
        <f>SUM(E7:E12,E16:E21,E25:E30,E34:E39,E43:E48,E52:E57,E61:E66,E70:E75,E79:E84,E88:E93,E97:E102,E106:E111)</f>
        <v>9.0173696255538758</v>
      </c>
      <c r="H121" s="1158">
        <f t="shared" ref="H121:AF121" si="367">SUM(F7:F12,F16:F21,F25:F30,F34:F39,F43:F48,F52:F57,F61:F66,F70:F75,F79:F84,F88:F93,F97:F102,F106:F111)</f>
        <v>299.73987494657956</v>
      </c>
      <c r="I121" s="1158">
        <f t="shared" si="367"/>
        <v>38.144204386107944</v>
      </c>
      <c r="J121" s="1158">
        <f t="shared" si="367"/>
        <v>12.508441600918092</v>
      </c>
      <c r="K121" s="1158">
        <f t="shared" si="367"/>
        <v>11.510583914522277</v>
      </c>
      <c r="L121" s="1158">
        <f t="shared" si="367"/>
        <v>4.7462770797513549</v>
      </c>
      <c r="M121" s="1158">
        <f t="shared" si="367"/>
        <v>24.289540001760248</v>
      </c>
      <c r="N121" s="1158">
        <f t="shared" si="367"/>
        <v>27.103374443441169</v>
      </c>
      <c r="O121" s="1158">
        <f t="shared" si="367"/>
        <v>10.239258420802404</v>
      </c>
      <c r="P121" s="1158">
        <f t="shared" si="367"/>
        <v>12.264197780781446</v>
      </c>
      <c r="Q121" s="1158">
        <f t="shared" si="367"/>
        <v>18.385501077566374</v>
      </c>
      <c r="R121" s="1158">
        <f t="shared" si="367"/>
        <v>23.16733915181565</v>
      </c>
      <c r="S121" s="1158">
        <f t="shared" si="367"/>
        <v>15.118989670799884</v>
      </c>
      <c r="T121" s="1158">
        <f t="shared" si="367"/>
        <v>91.446903647123108</v>
      </c>
      <c r="U121" s="1158">
        <f t="shared" si="367"/>
        <v>15.686699374231551</v>
      </c>
      <c r="V121" s="1158">
        <f t="shared" si="367"/>
        <v>31.69594911827474</v>
      </c>
      <c r="W121" s="1158">
        <f t="shared" si="367"/>
        <v>21.954232438086233</v>
      </c>
      <c r="X121" s="1158">
        <f t="shared" si="367"/>
        <v>21.76922691680635</v>
      </c>
      <c r="Y121" s="1158">
        <f t="shared" si="367"/>
        <v>27.589398566178499</v>
      </c>
      <c r="Z121" s="1158">
        <f t="shared" si="367"/>
        <v>2.737779312560233</v>
      </c>
      <c r="AA121" s="1158">
        <f t="shared" si="367"/>
        <v>12.519701036831021</v>
      </c>
      <c r="AB121" s="1158">
        <f t="shared" si="367"/>
        <v>5.3722948402948409</v>
      </c>
      <c r="AC121" s="1158">
        <f t="shared" si="367"/>
        <v>8.8895641738149873</v>
      </c>
      <c r="AD121" s="1158">
        <f t="shared" si="367"/>
        <v>7.7068792520168063</v>
      </c>
      <c r="AE121" s="1158">
        <f t="shared" si="367"/>
        <v>15.881582138278791</v>
      </c>
      <c r="AF121" s="1158">
        <f t="shared" si="367"/>
        <v>6.6114197174508345</v>
      </c>
      <c r="AG121" s="1167"/>
      <c r="AH121" s="1153"/>
    </row>
    <row r="122" spans="2:66">
      <c r="C122" s="1340"/>
      <c r="D122" s="1340"/>
      <c r="E122" s="1136" t="s">
        <v>1158</v>
      </c>
      <c r="F122" s="1136">
        <f>SUM(G108:AF108)</f>
        <v>0.67846670824702515</v>
      </c>
      <c r="G122" s="1136">
        <v>9.0173696255538793</v>
      </c>
      <c r="H122" s="1136">
        <v>299.73987494657928</v>
      </c>
      <c r="I122" s="1136">
        <v>38.144204386107944</v>
      </c>
      <c r="J122" s="1136">
        <v>12.508441600918088</v>
      </c>
      <c r="K122" s="1136">
        <v>11.510583914522281</v>
      </c>
      <c r="L122" s="1136">
        <v>4.7462770797513549</v>
      </c>
      <c r="M122" s="1136">
        <v>24.289540001760251</v>
      </c>
      <c r="N122" s="1136">
        <v>27.103374443441172</v>
      </c>
      <c r="O122" s="1136">
        <v>10.239258420802399</v>
      </c>
      <c r="P122" s="1136">
        <v>12.264197780781444</v>
      </c>
      <c r="Q122" s="1136">
        <v>18.38550107756636</v>
      </c>
      <c r="R122" s="1136">
        <v>23.167339151815657</v>
      </c>
      <c r="S122" s="1136">
        <v>15.118989670799881</v>
      </c>
      <c r="T122" s="1136">
        <v>91.446903647123108</v>
      </c>
      <c r="U122" s="1136">
        <v>15.686699374231551</v>
      </c>
      <c r="V122" s="1136">
        <v>31.695949118274743</v>
      </c>
      <c r="W122" s="1136">
        <v>21.954232438086233</v>
      </c>
      <c r="X122" s="1136">
        <v>21.769226916806353</v>
      </c>
      <c r="Y122" s="1136">
        <v>27.589465054026704</v>
      </c>
      <c r="Z122" s="1136">
        <v>2.7377793125602312</v>
      </c>
      <c r="AA122" s="1136">
        <v>12.519701036831018</v>
      </c>
      <c r="AB122" s="1136">
        <v>5.3722948402948401</v>
      </c>
      <c r="AC122" s="1136">
        <v>8.8895641738149855</v>
      </c>
      <c r="AD122" s="1136">
        <v>7.7068792520168046</v>
      </c>
      <c r="AE122" s="1136">
        <v>15.881582138278784</v>
      </c>
      <c r="AF122" s="1136">
        <v>6.6191242565355708</v>
      </c>
      <c r="AO122" s="1129"/>
      <c r="AP122" s="1129"/>
      <c r="AQ122" s="1129"/>
      <c r="AR122" s="1129"/>
      <c r="AS122" s="1129"/>
      <c r="AT122" s="1129"/>
      <c r="AU122" s="1129"/>
      <c r="AW122" s="1129"/>
      <c r="AX122" s="1129"/>
      <c r="AY122" s="1129"/>
      <c r="AZ122" s="1129"/>
      <c r="BA122" s="1129"/>
      <c r="BB122" s="1129"/>
      <c r="BC122" s="1129"/>
      <c r="BD122" s="1129"/>
      <c r="BE122" s="1129"/>
      <c r="BF122" s="1129"/>
      <c r="BG122" s="1129"/>
      <c r="BH122" s="1129"/>
      <c r="BJ122" s="1129"/>
      <c r="BK122" s="1129"/>
      <c r="BL122" s="1129"/>
      <c r="BM122" s="1129"/>
      <c r="BN122" s="1129"/>
    </row>
    <row r="123" spans="2:66" ht="15">
      <c r="C123" s="1340"/>
      <c r="D123" s="1340"/>
      <c r="E123" s="1159" t="s">
        <v>1159</v>
      </c>
      <c r="F123" s="1161">
        <f t="shared" ref="F123:AF123" si="368">(F122-F121)/F122</f>
        <v>-0.74782307294465533</v>
      </c>
      <c r="G123" s="1161">
        <f t="shared" si="368"/>
        <v>3.9398558851714815E-16</v>
      </c>
      <c r="H123" s="1161">
        <f t="shared" si="368"/>
        <v>-9.4821249376545006E-16</v>
      </c>
      <c r="I123" s="1161">
        <f t="shared" si="368"/>
        <v>0</v>
      </c>
      <c r="J123" s="1161">
        <f t="shared" si="368"/>
        <v>-2.840252840561482E-16</v>
      </c>
      <c r="K123" s="1161">
        <f t="shared" si="368"/>
        <v>3.0864756342362738E-16</v>
      </c>
      <c r="L123" s="1161">
        <f t="shared" si="368"/>
        <v>0</v>
      </c>
      <c r="M123" s="1161">
        <f t="shared" si="368"/>
        <v>1.4626516922687864E-16</v>
      </c>
      <c r="N123" s="1161">
        <f t="shared" si="368"/>
        <v>1.3108012385004823E-16</v>
      </c>
      <c r="O123" s="1161">
        <f t="shared" si="368"/>
        <v>-5.2045473404343855E-16</v>
      </c>
      <c r="P123" s="1161">
        <f t="shared" si="368"/>
        <v>-1.4484085067381109E-16</v>
      </c>
      <c r="Q123" s="1161">
        <f t="shared" si="368"/>
        <v>-7.7293812419079618E-16</v>
      </c>
      <c r="R123" s="1161">
        <f t="shared" si="368"/>
        <v>3.0670019163785323E-16</v>
      </c>
      <c r="S123" s="1161">
        <f t="shared" si="368"/>
        <v>-2.3498353766733818E-16</v>
      </c>
      <c r="T123" s="1161">
        <f t="shared" si="368"/>
        <v>0</v>
      </c>
      <c r="U123" s="1161">
        <f t="shared" si="368"/>
        <v>0</v>
      </c>
      <c r="V123" s="1161">
        <f t="shared" si="368"/>
        <v>1.1208731013365156E-16</v>
      </c>
      <c r="W123" s="1161">
        <f t="shared" si="368"/>
        <v>0</v>
      </c>
      <c r="X123" s="1161">
        <f t="shared" si="368"/>
        <v>1.6319889045107628E-16</v>
      </c>
      <c r="Y123" s="1161">
        <f t="shared" si="368"/>
        <v>2.4098998684695302E-6</v>
      </c>
      <c r="Z123" s="1161">
        <f t="shared" si="368"/>
        <v>-6.4883127403687351E-16</v>
      </c>
      <c r="AA123" s="1161">
        <f t="shared" si="368"/>
        <v>-2.8376984948354347E-16</v>
      </c>
      <c r="AB123" s="1161">
        <f t="shared" si="368"/>
        <v>-1.6532570272174052E-16</v>
      </c>
      <c r="AC123" s="1161">
        <f t="shared" si="368"/>
        <v>-1.9982496381911164E-16</v>
      </c>
      <c r="AD123" s="1161">
        <f t="shared" si="368"/>
        <v>-2.3048977171082544E-16</v>
      </c>
      <c r="AE123" s="1161">
        <f t="shared" si="368"/>
        <v>-4.4740047280774731E-16</v>
      </c>
      <c r="AF123" s="1161">
        <f t="shared" si="368"/>
        <v>1.1639816365630325E-3</v>
      </c>
      <c r="AO123" s="1129"/>
      <c r="AP123" s="1129"/>
      <c r="AQ123" s="1129"/>
      <c r="AR123" s="1129"/>
      <c r="AS123" s="1129"/>
      <c r="AT123" s="1129"/>
      <c r="AU123" s="1129"/>
      <c r="AW123" s="1129"/>
      <c r="AX123" s="1129"/>
      <c r="AY123" s="1129"/>
      <c r="AZ123" s="1129"/>
      <c r="BA123" s="1129"/>
      <c r="BB123" s="1129"/>
      <c r="BC123" s="1129"/>
      <c r="BD123" s="1129"/>
      <c r="BE123" s="1129"/>
      <c r="BF123" s="1129"/>
      <c r="BG123" s="1129"/>
      <c r="BH123" s="1129"/>
      <c r="BJ123" s="1129"/>
      <c r="BK123" s="1129"/>
      <c r="BL123" s="1129"/>
      <c r="BM123" s="1129"/>
      <c r="BN123" s="1129"/>
    </row>
    <row r="124" spans="2:66" ht="15">
      <c r="C124" s="1340" t="s">
        <v>1162</v>
      </c>
      <c r="D124" s="1340"/>
      <c r="E124" s="1137" t="s">
        <v>1157</v>
      </c>
      <c r="F124" s="1158">
        <f>SUM(G110:AF110)</f>
        <v>0.14525555746568186</v>
      </c>
      <c r="G124" s="1158">
        <f t="shared" ref="G124:AF124" si="369">E115+E113+E104+E95+E86+E77+E68+E59+E50+E41+E32+E23+E14</f>
        <v>9.0173696255538811</v>
      </c>
      <c r="H124" s="1158">
        <f t="shared" si="369"/>
        <v>299.73987494657933</v>
      </c>
      <c r="I124" s="1158">
        <f t="shared" si="369"/>
        <v>38.144204386107937</v>
      </c>
      <c r="J124" s="1158">
        <f t="shared" si="369"/>
        <v>12.508441600918086</v>
      </c>
      <c r="K124" s="1158">
        <f t="shared" si="369"/>
        <v>11.510583914522281</v>
      </c>
      <c r="L124" s="1158">
        <f t="shared" si="369"/>
        <v>4.7462770797513549</v>
      </c>
      <c r="M124" s="1158">
        <f t="shared" si="369"/>
        <v>24.289540001760251</v>
      </c>
      <c r="N124" s="1158">
        <f t="shared" si="369"/>
        <v>27.103374443441169</v>
      </c>
      <c r="O124" s="1158">
        <f t="shared" si="369"/>
        <v>10.2392584208024</v>
      </c>
      <c r="P124" s="1158">
        <f t="shared" si="369"/>
        <v>12.264197780781444</v>
      </c>
      <c r="Q124" s="1158">
        <f t="shared" si="369"/>
        <v>18.38550107756636</v>
      </c>
      <c r="R124" s="1158">
        <f t="shared" si="369"/>
        <v>23.167339151815654</v>
      </c>
      <c r="S124" s="1158">
        <f t="shared" si="369"/>
        <v>15.118989670799882</v>
      </c>
      <c r="T124" s="1158">
        <f t="shared" si="369"/>
        <v>91.446903647123094</v>
      </c>
      <c r="U124" s="1158">
        <f t="shared" si="369"/>
        <v>15.68669937423155</v>
      </c>
      <c r="V124" s="1158">
        <f t="shared" si="369"/>
        <v>31.69594911827474</v>
      </c>
      <c r="W124" s="1158">
        <f t="shared" si="369"/>
        <v>21.95423243808624</v>
      </c>
      <c r="X124" s="1158">
        <f t="shared" si="369"/>
        <v>21.76922691680636</v>
      </c>
      <c r="Y124" s="1158">
        <f t="shared" si="369"/>
        <v>27.589465054026704</v>
      </c>
      <c r="Z124" s="1158">
        <f t="shared" si="369"/>
        <v>2.7377793125602308</v>
      </c>
      <c r="AA124" s="1158">
        <f t="shared" si="369"/>
        <v>12.519701036831023</v>
      </c>
      <c r="AB124" s="1158">
        <f t="shared" si="369"/>
        <v>5.3722948402948401</v>
      </c>
      <c r="AC124" s="1158">
        <f t="shared" si="369"/>
        <v>8.8895641738149891</v>
      </c>
      <c r="AD124" s="1158">
        <f t="shared" si="369"/>
        <v>7.7068792520168046</v>
      </c>
      <c r="AE124" s="1158">
        <f t="shared" si="369"/>
        <v>15.881582138278782</v>
      </c>
      <c r="AF124" s="1158">
        <f t="shared" si="369"/>
        <v>6.619124256535569</v>
      </c>
      <c r="AO124" s="1129"/>
      <c r="AP124" s="1129"/>
      <c r="AQ124" s="1129"/>
      <c r="AR124" s="1129"/>
      <c r="AS124" s="1129"/>
      <c r="AT124" s="1129"/>
      <c r="AU124" s="1129"/>
      <c r="AW124" s="1129"/>
      <c r="AX124" s="1129"/>
      <c r="AY124" s="1129"/>
      <c r="AZ124" s="1129"/>
      <c r="BA124" s="1129"/>
      <c r="BB124" s="1129"/>
      <c r="BC124" s="1129"/>
      <c r="BD124" s="1129"/>
      <c r="BE124" s="1129"/>
      <c r="BF124" s="1129"/>
      <c r="BG124" s="1129"/>
      <c r="BH124" s="1129"/>
      <c r="BJ124" s="1129"/>
      <c r="BK124" s="1129"/>
      <c r="BL124" s="1129"/>
      <c r="BM124" s="1129"/>
      <c r="BN124" s="1129"/>
    </row>
    <row r="125" spans="2:66">
      <c r="C125" s="1340"/>
      <c r="D125" s="1340"/>
      <c r="E125" s="1136" t="s">
        <v>1158</v>
      </c>
      <c r="F125" s="1136">
        <f>SUM(G111:AF111)</f>
        <v>0.15338687876340987</v>
      </c>
      <c r="G125" s="1136">
        <v>9.0173696255538793</v>
      </c>
      <c r="H125" s="1136">
        <v>299.73987494657928</v>
      </c>
      <c r="I125" s="1136">
        <v>38.144204386107944</v>
      </c>
      <c r="J125" s="1136">
        <v>12.508441600918088</v>
      </c>
      <c r="K125" s="1136">
        <v>11.510583914522281</v>
      </c>
      <c r="L125" s="1136">
        <v>4.7462770797513549</v>
      </c>
      <c r="M125" s="1136">
        <v>24.289540001760251</v>
      </c>
      <c r="N125" s="1136">
        <v>27.103374443441172</v>
      </c>
      <c r="O125" s="1136">
        <v>10.239258420802399</v>
      </c>
      <c r="P125" s="1136">
        <v>12.264197780781444</v>
      </c>
      <c r="Q125" s="1136">
        <v>18.38550107756636</v>
      </c>
      <c r="R125" s="1136">
        <v>23.167339151815657</v>
      </c>
      <c r="S125" s="1136">
        <v>15.118989670799881</v>
      </c>
      <c r="T125" s="1136">
        <v>91.446903647123108</v>
      </c>
      <c r="U125" s="1136">
        <v>15.686699374231551</v>
      </c>
      <c r="V125" s="1136">
        <v>31.695949118274743</v>
      </c>
      <c r="W125" s="1136">
        <v>21.954232438086233</v>
      </c>
      <c r="X125" s="1136">
        <v>21.769226916806353</v>
      </c>
      <c r="Y125" s="1136">
        <v>27.589465054026704</v>
      </c>
      <c r="Z125" s="1136">
        <v>2.7377793125602312</v>
      </c>
      <c r="AA125" s="1136">
        <v>12.519701036831018</v>
      </c>
      <c r="AB125" s="1136">
        <v>5.3722948402948401</v>
      </c>
      <c r="AC125" s="1136">
        <v>8.8895641738149855</v>
      </c>
      <c r="AD125" s="1136">
        <v>7.7068792520168046</v>
      </c>
      <c r="AE125" s="1136">
        <v>15.881582138278784</v>
      </c>
      <c r="AF125" s="1136">
        <v>6.6191242565355708</v>
      </c>
      <c r="AO125" s="1129"/>
      <c r="AP125" s="1129"/>
      <c r="AQ125" s="1129"/>
      <c r="AR125" s="1129"/>
      <c r="AS125" s="1129"/>
      <c r="AT125" s="1129"/>
      <c r="AU125" s="1129"/>
      <c r="AW125" s="1129"/>
      <c r="AX125" s="1129"/>
      <c r="AY125" s="1129"/>
      <c r="AZ125" s="1129"/>
      <c r="BA125" s="1129"/>
      <c r="BB125" s="1129"/>
      <c r="BC125" s="1129"/>
      <c r="BD125" s="1129"/>
      <c r="BE125" s="1129"/>
      <c r="BF125" s="1129"/>
      <c r="BG125" s="1129"/>
      <c r="BH125" s="1129"/>
      <c r="BJ125" s="1129"/>
      <c r="BK125" s="1129"/>
      <c r="BL125" s="1129"/>
      <c r="BM125" s="1129"/>
      <c r="BN125" s="1129"/>
    </row>
    <row r="126" spans="2:66" ht="15">
      <c r="C126" s="1340"/>
      <c r="D126" s="1340"/>
      <c r="E126" s="1159" t="s">
        <v>1159</v>
      </c>
      <c r="F126" s="1161">
        <f t="shared" ref="F126:AF126" si="370">(F125-F124)/F125</f>
        <v>5.3011844059165487E-2</v>
      </c>
      <c r="G126" s="1161">
        <f t="shared" si="370"/>
        <v>-1.9699279425857408E-16</v>
      </c>
      <c r="H126" s="1161">
        <f t="shared" si="370"/>
        <v>-1.8964249875309E-16</v>
      </c>
      <c r="I126" s="1161">
        <f t="shared" si="370"/>
        <v>1.8627803284812481E-16</v>
      </c>
      <c r="J126" s="1161">
        <f t="shared" si="370"/>
        <v>1.420126420280741E-16</v>
      </c>
      <c r="K126" s="1161">
        <f t="shared" si="370"/>
        <v>0</v>
      </c>
      <c r="L126" s="1161">
        <f t="shared" si="370"/>
        <v>0</v>
      </c>
      <c r="M126" s="1161">
        <f t="shared" si="370"/>
        <v>0</v>
      </c>
      <c r="N126" s="1161">
        <f t="shared" si="370"/>
        <v>1.3108012385004823E-16</v>
      </c>
      <c r="O126" s="1161">
        <f t="shared" si="370"/>
        <v>-1.7348491134781287E-16</v>
      </c>
      <c r="P126" s="1161">
        <f t="shared" si="370"/>
        <v>0</v>
      </c>
      <c r="Q126" s="1161">
        <f t="shared" si="370"/>
        <v>0</v>
      </c>
      <c r="R126" s="1161">
        <f t="shared" si="370"/>
        <v>1.5335009581892661E-16</v>
      </c>
      <c r="S126" s="1161">
        <f t="shared" si="370"/>
        <v>-1.1749176883366909E-16</v>
      </c>
      <c r="T126" s="1161">
        <f t="shared" si="370"/>
        <v>1.5540006439189122E-16</v>
      </c>
      <c r="U126" s="1161">
        <f t="shared" si="370"/>
        <v>1.1323968140284893E-16</v>
      </c>
      <c r="V126" s="1161">
        <f t="shared" si="370"/>
        <v>1.1208731013365156E-16</v>
      </c>
      <c r="W126" s="1161">
        <f t="shared" si="370"/>
        <v>-3.2364726836336561E-16</v>
      </c>
      <c r="X126" s="1161">
        <f t="shared" si="370"/>
        <v>-3.2639778090215257E-16</v>
      </c>
      <c r="Y126" s="1161">
        <f t="shared" si="370"/>
        <v>0</v>
      </c>
      <c r="Z126" s="1161">
        <f t="shared" si="370"/>
        <v>1.6220781850921838E-16</v>
      </c>
      <c r="AA126" s="1161">
        <f t="shared" si="370"/>
        <v>-4.2565477422531517E-16</v>
      </c>
      <c r="AB126" s="1161">
        <f t="shared" si="370"/>
        <v>0</v>
      </c>
      <c r="AC126" s="1161">
        <f t="shared" si="370"/>
        <v>-3.9964992763822328E-16</v>
      </c>
      <c r="AD126" s="1161">
        <f t="shared" si="370"/>
        <v>0</v>
      </c>
      <c r="AE126" s="1161">
        <f t="shared" si="370"/>
        <v>1.1185011820193683E-16</v>
      </c>
      <c r="AF126" s="1161">
        <f t="shared" si="370"/>
        <v>2.6836735050657442E-16</v>
      </c>
      <c r="AO126" s="1129"/>
      <c r="AP126" s="1129"/>
      <c r="AQ126" s="1129"/>
      <c r="AR126" s="1129"/>
      <c r="AS126" s="1129"/>
      <c r="AT126" s="1129"/>
      <c r="AU126" s="1129"/>
      <c r="AW126" s="1129"/>
      <c r="AX126" s="1129"/>
      <c r="AY126" s="1129"/>
      <c r="AZ126" s="1129"/>
      <c r="BA126" s="1129"/>
      <c r="BB126" s="1129"/>
      <c r="BC126" s="1129"/>
      <c r="BD126" s="1129"/>
      <c r="BE126" s="1129"/>
      <c r="BF126" s="1129"/>
      <c r="BG126" s="1129"/>
      <c r="BH126" s="1129"/>
      <c r="BJ126" s="1129"/>
      <c r="BK126" s="1129"/>
      <c r="BL126" s="1129"/>
      <c r="BM126" s="1129"/>
      <c r="BN126" s="1129"/>
    </row>
    <row r="127" spans="2:66" s="1190" customFormat="1" ht="15">
      <c r="C127" s="1191"/>
      <c r="D127" s="1191"/>
      <c r="E127" s="1159"/>
      <c r="F127" s="1161"/>
      <c r="G127" s="1161"/>
      <c r="H127" s="1161"/>
      <c r="I127" s="1161"/>
      <c r="J127" s="1161"/>
      <c r="K127" s="1161"/>
      <c r="L127" s="1161"/>
      <c r="M127" s="1161"/>
      <c r="N127" s="1161"/>
      <c r="O127" s="1161"/>
      <c r="P127" s="1161"/>
      <c r="Q127" s="1161"/>
      <c r="R127" s="1161"/>
      <c r="S127" s="1161"/>
      <c r="T127" s="1161"/>
      <c r="U127" s="1161"/>
      <c r="V127" s="1161"/>
      <c r="W127" s="1161"/>
      <c r="X127" s="1161"/>
      <c r="Y127" s="1161"/>
      <c r="Z127" s="1161"/>
      <c r="AA127" s="1161"/>
      <c r="AB127" s="1161"/>
      <c r="AC127" s="1161"/>
      <c r="AD127" s="1161"/>
      <c r="AE127" s="1161"/>
      <c r="AF127" s="1161"/>
    </row>
    <row r="128" spans="2:66" s="1190" customFormat="1">
      <c r="C128" s="1191"/>
      <c r="D128" s="1191"/>
      <c r="E128" s="1191"/>
      <c r="F128" s="1191"/>
      <c r="G128" s="1191"/>
      <c r="H128" s="1191"/>
      <c r="I128" s="1191"/>
      <c r="J128" s="1191"/>
      <c r="K128" s="1191"/>
      <c r="L128" s="1191"/>
      <c r="M128" s="1191"/>
      <c r="N128" s="1191"/>
      <c r="O128" s="1191"/>
      <c r="P128" s="1191"/>
      <c r="Q128" s="1191"/>
      <c r="R128" s="1191"/>
      <c r="S128" s="1191"/>
      <c r="T128" s="1191"/>
      <c r="U128" s="1191"/>
      <c r="V128" s="1191"/>
      <c r="W128" s="1191"/>
      <c r="X128" s="1191"/>
      <c r="Y128" s="1191"/>
      <c r="Z128" s="1191"/>
      <c r="AA128" s="1191"/>
      <c r="AB128" s="1191"/>
      <c r="AC128" s="1191"/>
      <c r="AD128" s="1191"/>
      <c r="AE128" s="1191"/>
      <c r="AF128" s="1191"/>
      <c r="AG128" s="1191"/>
      <c r="AH128" s="1191"/>
    </row>
    <row r="129" spans="3:34" s="1190" customFormat="1">
      <c r="C129" s="1191"/>
      <c r="D129" s="1191"/>
      <c r="E129" s="1191"/>
      <c r="F129" s="1191"/>
      <c r="G129" s="1191"/>
      <c r="H129" s="1191"/>
      <c r="I129" s="1191"/>
      <c r="J129" s="1191"/>
      <c r="K129" s="1191"/>
      <c r="L129" s="1191"/>
      <c r="M129" s="1191"/>
      <c r="N129" s="1191"/>
      <c r="O129" s="1191"/>
      <c r="P129" s="1191"/>
      <c r="Q129" s="1191"/>
      <c r="R129" s="1191"/>
      <c r="S129" s="1191"/>
      <c r="T129" s="1191"/>
      <c r="U129" s="1191"/>
      <c r="V129" s="1191"/>
      <c r="W129" s="1191"/>
      <c r="X129" s="1191"/>
      <c r="Y129" s="1191"/>
      <c r="Z129" s="1191"/>
      <c r="AA129" s="1191"/>
      <c r="AB129" s="1191"/>
      <c r="AC129" s="1191"/>
      <c r="AD129" s="1191"/>
      <c r="AE129" s="1191"/>
      <c r="AF129" s="1191"/>
      <c r="AG129" s="1191"/>
      <c r="AH129" s="1191"/>
    </row>
    <row r="130" spans="3:34" s="1190" customFormat="1">
      <c r="C130" s="1191"/>
      <c r="E130" s="1191"/>
      <c r="F130" s="1191"/>
      <c r="G130" s="1191"/>
      <c r="H130" s="1191"/>
      <c r="I130" s="1191"/>
      <c r="J130" s="1191"/>
      <c r="K130" s="1191"/>
      <c r="L130" s="1191"/>
      <c r="M130" s="1191"/>
      <c r="N130" s="1191"/>
      <c r="O130" s="1191"/>
      <c r="P130" s="1191"/>
      <c r="Q130" s="1191"/>
      <c r="R130" s="1191"/>
      <c r="S130" s="1191"/>
      <c r="T130" s="1191"/>
      <c r="U130" s="1191"/>
      <c r="V130" s="1191"/>
      <c r="W130" s="1191"/>
      <c r="X130" s="1191"/>
      <c r="Y130" s="1191"/>
      <c r="Z130" s="1191"/>
      <c r="AA130" s="1191"/>
      <c r="AB130" s="1191"/>
      <c r="AC130" s="1191"/>
      <c r="AD130" s="1191"/>
      <c r="AE130" s="1191"/>
      <c r="AF130" s="1191"/>
      <c r="AG130" s="1191"/>
      <c r="AH130" s="1191"/>
    </row>
    <row r="131" spans="3:34" s="1190" customFormat="1" ht="15.75" thickBot="1">
      <c r="C131" s="1191"/>
      <c r="D131" s="501"/>
      <c r="E131" s="1202"/>
      <c r="F131" s="1192"/>
      <c r="G131" s="1192"/>
      <c r="H131" s="1191"/>
      <c r="I131" s="1191"/>
      <c r="J131" s="1191"/>
      <c r="K131" s="1191"/>
      <c r="L131" s="1191"/>
      <c r="M131" s="1191"/>
      <c r="N131" s="1191"/>
      <c r="O131" s="1191"/>
      <c r="P131" s="1191"/>
      <c r="Q131" s="1191"/>
      <c r="R131" s="1191"/>
      <c r="S131" s="1191"/>
      <c r="T131" s="1191"/>
      <c r="U131" s="1191"/>
      <c r="V131" s="1191"/>
      <c r="W131" s="1191"/>
      <c r="X131" s="1191"/>
      <c r="Y131" s="1191"/>
      <c r="Z131" s="1191"/>
      <c r="AA131" s="1191"/>
      <c r="AB131" s="1191"/>
      <c r="AC131" s="1191"/>
      <c r="AD131" s="1191"/>
      <c r="AE131" s="1191"/>
      <c r="AF131" s="1191"/>
      <c r="AG131" s="1191"/>
      <c r="AH131" s="1191"/>
    </row>
    <row r="132" spans="3:34" s="1190" customFormat="1" ht="15">
      <c r="C132" s="1131" t="s">
        <v>253</v>
      </c>
      <c r="D132" s="1131" t="s">
        <v>277</v>
      </c>
      <c r="E132" s="1131" t="s">
        <v>655</v>
      </c>
      <c r="F132" s="1131" t="s">
        <v>660</v>
      </c>
      <c r="G132" s="1131" t="s">
        <v>663</v>
      </c>
      <c r="H132" s="1131" t="s">
        <v>664</v>
      </c>
      <c r="I132" s="1131" t="s">
        <v>665</v>
      </c>
      <c r="J132" s="1131" t="s">
        <v>668</v>
      </c>
      <c r="K132" s="1131" t="s">
        <v>669</v>
      </c>
      <c r="L132" s="1131" t="s">
        <v>671</v>
      </c>
      <c r="M132" s="1131" t="s">
        <v>673</v>
      </c>
      <c r="N132" s="1131" t="s">
        <v>678</v>
      </c>
      <c r="O132" s="1131" t="s">
        <v>679</v>
      </c>
      <c r="P132" s="1131" t="s">
        <v>680</v>
      </c>
      <c r="Q132" s="1131" t="s">
        <v>657</v>
      </c>
      <c r="R132" s="1131" t="s">
        <v>658</v>
      </c>
      <c r="S132" s="1131" t="s">
        <v>662</v>
      </c>
      <c r="T132" s="1131" t="s">
        <v>667</v>
      </c>
      <c r="U132" s="1131" t="s">
        <v>676</v>
      </c>
      <c r="V132" s="1131" t="s">
        <v>677</v>
      </c>
      <c r="W132" s="1131" t="s">
        <v>661</v>
      </c>
      <c r="X132" s="1131" t="s">
        <v>666</v>
      </c>
      <c r="Y132" s="1131" t="s">
        <v>670</v>
      </c>
      <c r="Z132" s="1131" t="s">
        <v>674</v>
      </c>
      <c r="AA132" s="1131" t="s">
        <v>675</v>
      </c>
      <c r="AB132" s="1131" t="s">
        <v>656</v>
      </c>
      <c r="AC132" s="1131" t="s">
        <v>659</v>
      </c>
      <c r="AD132" s="1131" t="s">
        <v>672</v>
      </c>
      <c r="AE132" s="1170" t="s">
        <v>192</v>
      </c>
      <c r="AF132" s="1191"/>
      <c r="AG132" s="1191"/>
      <c r="AH132" s="1191"/>
    </row>
    <row r="133" spans="3:34" s="1190" customFormat="1" ht="15">
      <c r="C133" s="1203" t="s">
        <v>1106</v>
      </c>
      <c r="D133" s="1203"/>
      <c r="E133" s="1203"/>
      <c r="F133" s="1203"/>
      <c r="G133" s="1203"/>
      <c r="H133" s="1203"/>
      <c r="I133" s="1203"/>
      <c r="J133" s="1203"/>
      <c r="K133" s="1203"/>
      <c r="L133" s="1203"/>
      <c r="M133" s="1203"/>
      <c r="N133" s="1203"/>
      <c r="O133" s="1203"/>
      <c r="P133" s="1203"/>
      <c r="Q133" s="1203"/>
      <c r="R133" s="1203"/>
      <c r="S133" s="1203"/>
      <c r="T133" s="1203"/>
      <c r="U133" s="1203"/>
      <c r="V133" s="1203"/>
      <c r="W133" s="1203"/>
      <c r="X133" s="1203"/>
      <c r="Y133" s="1203"/>
      <c r="Z133" s="1203"/>
      <c r="AA133" s="1203"/>
      <c r="AB133" s="1203"/>
      <c r="AC133" s="1203"/>
      <c r="AD133" s="1203"/>
      <c r="AE133" s="1203"/>
      <c r="AF133" s="1191"/>
      <c r="AG133" s="1191"/>
      <c r="AH133" s="1191"/>
    </row>
    <row r="134" spans="3:34" s="1190" customFormat="1">
      <c r="C134" s="1204" t="s">
        <v>1102</v>
      </c>
      <c r="D134" s="1204" t="s">
        <v>1094</v>
      </c>
      <c r="E134" s="1208">
        <f>('SHWLP-Att'!$AC$14*(E13/$AE$13))/E13/'SHWLP-Att'!$Y$14*'SHWLP-Att'!$AR$4</f>
        <v>4.9238286841982677E-2</v>
      </c>
      <c r="F134" s="1208">
        <f>('SHWLP-Att'!$AC$14*(F13/$AE$13))/F13/'SHWLP-Att'!$Y$14*'SHWLP-Att'!$AR$4</f>
        <v>4.923828684198267E-2</v>
      </c>
      <c r="G134" s="1208">
        <f>('SHWLP-Att'!$AC$14*(G13/$AE$13))/G13/'SHWLP-Att'!$Y$14*'SHWLP-Att'!$AR$4</f>
        <v>4.9238286841982677E-2</v>
      </c>
      <c r="H134" s="1208">
        <f>('SHWLP-Att'!$AC$14*(H13/$AE$13))/H13/'SHWLP-Att'!$Y$14*'SHWLP-Att'!$AR$4</f>
        <v>4.9238286841982677E-2</v>
      </c>
      <c r="I134" s="1208">
        <f>('SHWLP-Att'!$AC$14*(I13/$AE$13))/I13/'SHWLP-Att'!$Y$14*'SHWLP-Att'!$AR$4</f>
        <v>4.9238286841982677E-2</v>
      </c>
      <c r="J134" s="1208">
        <f>('SHWLP-Att'!$AC$14*(J13/$AE$13))/J13/'SHWLP-Att'!$Y$14*'SHWLP-Att'!$AR$4</f>
        <v>4.9238286841982677E-2</v>
      </c>
      <c r="K134" s="1208">
        <f>('SHWLP-Att'!$AC$14*(K13/$AE$13))/K13/'SHWLP-Att'!$Y$14*'SHWLP-Att'!$AR$4</f>
        <v>4.9238286841982677E-2</v>
      </c>
      <c r="L134" s="1208">
        <f>('SHWLP-Att'!$AC$14*(L13/$AE$13))/L13/'SHWLP-Att'!$Y$14*'SHWLP-Att'!$AR$4</f>
        <v>4.9238286841982677E-2</v>
      </c>
      <c r="M134" s="1208">
        <f>('SHWLP-Att'!$AC$14*(M13/$AE$13))/M13/'SHWLP-Att'!$Y$14*'SHWLP-Att'!$AR$4</f>
        <v>4.923828684198267E-2</v>
      </c>
      <c r="N134" s="1208">
        <f>('SHWLP-Att'!$AC$14*(N13/$AE$13))/N13/'SHWLP-Att'!$Y$14*'SHWLP-Att'!$AR$4</f>
        <v>4.9238286841982677E-2</v>
      </c>
      <c r="O134" s="1208">
        <f>('SHWLP-Att'!$AC$14*(O13/$AE$13))/O13/'SHWLP-Att'!$Y$14*'SHWLP-Att'!$AR$4</f>
        <v>4.9238286841982677E-2</v>
      </c>
      <c r="P134" s="1208">
        <f>('SHWLP-Att'!$AC$14*(P13/$AE$13))/P13/'SHWLP-Att'!$Y$14*'SHWLP-Att'!$AR$4</f>
        <v>4.9238286841982677E-2</v>
      </c>
      <c r="Q134" s="1208">
        <f>('SHWLP-Att'!$AC$14*(Q13/$AE$13))/Q13/'SHWLP-Att'!$Y$14*'SHWLP-Att'!$AR$4</f>
        <v>4.923828684198267E-2</v>
      </c>
      <c r="R134" s="1208">
        <f>('SHWLP-Att'!$AC$14*(R13/$AE$13))/R13/'SHWLP-Att'!$Y$14*'SHWLP-Att'!$AR$4</f>
        <v>4.9238286841982677E-2</v>
      </c>
      <c r="S134" s="1208">
        <f>('SHWLP-Att'!$AC$14*(S13/$AE$13))/S13/'SHWLP-Att'!$Y$14*'SHWLP-Att'!$AR$4</f>
        <v>4.9238286841982677E-2</v>
      </c>
      <c r="T134" s="1208">
        <f>('SHWLP-Att'!$AC$14*(T13/$AE$13))/T13/'SHWLP-Att'!$Y$14*'SHWLP-Att'!$AR$4</f>
        <v>4.9238286841982677E-2</v>
      </c>
      <c r="U134" s="1208">
        <f>('SHWLP-Att'!$AC$14*(U13/$AE$13))/U13/'SHWLP-Att'!$Y$14*'SHWLP-Att'!$AR$4</f>
        <v>4.9238286841982677E-2</v>
      </c>
      <c r="V134" s="1208">
        <f>('SHWLP-Att'!$AC$14*(V13/$AE$13))/V13/'SHWLP-Att'!$Y$14*'SHWLP-Att'!$AR$4</f>
        <v>4.923828684198267E-2</v>
      </c>
      <c r="W134" s="1208">
        <f>('SHWLP-Att'!$AC$14*(W13/$AE$13))/W13/'SHWLP-Att'!$Y$14*'SHWLP-Att'!$AR$4</f>
        <v>4.923828684198267E-2</v>
      </c>
      <c r="X134" s="1208">
        <f>('SHWLP-Att'!$AC$14*(X13/$AE$13))/X13/'SHWLP-Att'!$Y$14*'SHWLP-Att'!$AR$4</f>
        <v>4.923828684198267E-2</v>
      </c>
      <c r="Y134" s="1208">
        <f>('SHWLP-Att'!$AC$14*(Y13/$AE$13))/Y13/'SHWLP-Att'!$Y$14*'SHWLP-Att'!$AR$4</f>
        <v>4.9238286841982677E-2</v>
      </c>
      <c r="Z134" s="1208">
        <f>('SHWLP-Att'!$AC$14*(Z13/$AE$13))/Z13/'SHWLP-Att'!$Y$14*'SHWLP-Att'!$AR$4</f>
        <v>4.9238286841982677E-2</v>
      </c>
      <c r="AA134" s="1208">
        <f>('SHWLP-Att'!$AC$14*(AA13/$AE$13))/AA13/'SHWLP-Att'!$Y$14*'SHWLP-Att'!$AR$4</f>
        <v>4.923828684198267E-2</v>
      </c>
      <c r="AB134" s="1208">
        <f>('SHWLP-Att'!$AC$14*(AB13/$AE$13))/AB13/'SHWLP-Att'!$Y$14*'SHWLP-Att'!$AR$4</f>
        <v>4.9238286841982677E-2</v>
      </c>
      <c r="AC134" s="1208">
        <f>('SHWLP-Att'!$AC$14*(AC13/$AE$13))/AC13/'SHWLP-Att'!$Y$14*'SHWLP-Att'!$AR$4</f>
        <v>4.9238286841982677E-2</v>
      </c>
      <c r="AD134" s="1208">
        <f>('SHWLP-Att'!$AC$14*(AD13/$AE$13))/AD13/'SHWLP-Att'!$Y$14*'SHWLP-Att'!$AR$4</f>
        <v>4.923828684198267E-2</v>
      </c>
      <c r="AE134" s="1208">
        <f>('SHWLP-Att'!$AC$14*(AE13/$AE$13))/AE13/'SHWLP-Att'!$Y$14*'SHWLP-Att'!$AR$4</f>
        <v>4.9238286841982677E-2</v>
      </c>
      <c r="AF134" s="1191"/>
      <c r="AG134" s="1191"/>
      <c r="AH134" s="1191"/>
    </row>
    <row r="135" spans="3:34" s="1190" customFormat="1">
      <c r="C135" s="1205" t="s">
        <v>1104</v>
      </c>
      <c r="D135" s="1205" t="s">
        <v>1094</v>
      </c>
      <c r="E135" s="1205">
        <f>('SHWLP-Att'!$AC$40*(E14/$AE$14))/E14/'SHWLP-Att'!$Y$40*'SHWLP-Att'!$AR$4</f>
        <v>9.3701675105569704E-2</v>
      </c>
      <c r="F135" s="1205">
        <f>('SHWLP-Att'!$AC$40*(F14/$AE$14))/F14/'SHWLP-Att'!$Y$40*'SHWLP-Att'!$AR$4</f>
        <v>9.3701675105569704E-2</v>
      </c>
      <c r="G135" s="1205">
        <f>('SHWLP-Att'!$AC$40*(G14/$AE$14))/G14/'SHWLP-Att'!$Y$40*'SHWLP-Att'!$AR$4</f>
        <v>9.3701675105569704E-2</v>
      </c>
      <c r="H135" s="1205">
        <f>('SHWLP-Att'!$AC$40*(H14/$AE$14))/H14/'SHWLP-Att'!$Y$40*'SHWLP-Att'!$AR$4</f>
        <v>9.3701675105569704E-2</v>
      </c>
      <c r="I135" s="1205">
        <f>('SHWLP-Att'!$AC$40*(I14/$AE$14))/I14/'SHWLP-Att'!$Y$40*'SHWLP-Att'!$AR$4</f>
        <v>9.3701675105569704E-2</v>
      </c>
      <c r="J135" s="1205">
        <f>('SHWLP-Att'!$AC$40*(J14/$AE$14))/J14/'SHWLP-Att'!$Y$40*'SHWLP-Att'!$AR$4</f>
        <v>9.370167510556969E-2</v>
      </c>
      <c r="K135" s="1205">
        <f>('SHWLP-Att'!$AC$40*(K14/$AE$14))/K14/'SHWLP-Att'!$Y$40*'SHWLP-Att'!$AR$4</f>
        <v>9.370167510556969E-2</v>
      </c>
      <c r="L135" s="1205">
        <f>('SHWLP-Att'!$AC$40*(L14/$AE$14))/L14/'SHWLP-Att'!$Y$40*'SHWLP-Att'!$AR$4</f>
        <v>9.3701675105569704E-2</v>
      </c>
      <c r="M135" s="1205">
        <f>('SHWLP-Att'!$AC$40*(M14/$AE$14))/M14/'SHWLP-Att'!$Y$40*'SHWLP-Att'!$AR$4</f>
        <v>9.3701675105569704E-2</v>
      </c>
      <c r="N135" s="1205">
        <f>('SHWLP-Att'!$AC$40*(N14/$AE$14))/N14/'SHWLP-Att'!$Y$40*'SHWLP-Att'!$AR$4</f>
        <v>9.3701675105569718E-2</v>
      </c>
      <c r="O135" s="1205">
        <f>('SHWLP-Att'!$AC$40*(O14/$AE$14))/O14/'SHWLP-Att'!$Y$40*'SHWLP-Att'!$AR$4</f>
        <v>9.3701675105569718E-2</v>
      </c>
      <c r="P135" s="1205">
        <f>('SHWLP-Att'!$AC$40*(P14/$AE$14))/P14/'SHWLP-Att'!$Y$40*'SHWLP-Att'!$AR$4</f>
        <v>9.3701675105569718E-2</v>
      </c>
      <c r="Q135" s="1205">
        <f>('SHWLP-Att'!$AC$40*(Q14/$AE$14))/Q14/'SHWLP-Att'!$Y$40*'SHWLP-Att'!$AR$4</f>
        <v>9.3701675105569704E-2</v>
      </c>
      <c r="R135" s="1205">
        <f>('SHWLP-Att'!$AC$40*(R14/$AE$14))/R14/'SHWLP-Att'!$Y$40*'SHWLP-Att'!$AR$4</f>
        <v>9.3701675105569704E-2</v>
      </c>
      <c r="S135" s="1205">
        <f>('SHWLP-Att'!$AC$40*(S14/$AE$14))/S14/'SHWLP-Att'!$Y$40*'SHWLP-Att'!$AR$4</f>
        <v>9.370167510556969E-2</v>
      </c>
      <c r="T135" s="1205">
        <f>('SHWLP-Att'!$AC$40*(T14/$AE$14))/T14/'SHWLP-Att'!$Y$40*'SHWLP-Att'!$AR$4</f>
        <v>9.3701675105569718E-2</v>
      </c>
      <c r="U135" s="1205">
        <f>('SHWLP-Att'!$AC$40*(U14/$AE$14))/U14/'SHWLP-Att'!$Y$40*'SHWLP-Att'!$AR$4</f>
        <v>9.3701675105569718E-2</v>
      </c>
      <c r="V135" s="1205">
        <f>('SHWLP-Att'!$AC$40*(V14/$AE$14))/V14/'SHWLP-Att'!$Y$40*'SHWLP-Att'!$AR$4</f>
        <v>9.3701675105569704E-2</v>
      </c>
      <c r="W135" s="1205">
        <f>('SHWLP-Att'!$AC$40*(W14/$AE$14))/W14/'SHWLP-Att'!$Y$40*'SHWLP-Att'!$AR$4</f>
        <v>9.3701675105569704E-2</v>
      </c>
      <c r="X135" s="1205">
        <f>('SHWLP-Att'!$AC$40*(X14/$AE$14))/X14/'SHWLP-Att'!$Y$40*'SHWLP-Att'!$AR$4</f>
        <v>9.370167510556969E-2</v>
      </c>
      <c r="Y135" s="1205">
        <f>('SHWLP-Att'!$AC$40*(Y14/$AE$14))/Y14/'SHWLP-Att'!$Y$40*'SHWLP-Att'!$AR$4</f>
        <v>9.3701675105569704E-2</v>
      </c>
      <c r="Z135" s="1205">
        <f>('SHWLP-Att'!$AC$40*(Z14/$AE$14))/Z14/'SHWLP-Att'!$Y$40*'SHWLP-Att'!$AR$4</f>
        <v>9.3701675105569704E-2</v>
      </c>
      <c r="AA135" s="1205">
        <f>('SHWLP-Att'!$AC$40*(AA14/$AE$14))/AA14/'SHWLP-Att'!$Y$40*'SHWLP-Att'!$AR$4</f>
        <v>9.370167510556969E-2</v>
      </c>
      <c r="AB135" s="1205">
        <f>('SHWLP-Att'!$AC$40*(AB14/$AE$14))/AB14/'SHWLP-Att'!$Y$40*'SHWLP-Att'!$AR$4</f>
        <v>9.3701675105569704E-2</v>
      </c>
      <c r="AC135" s="1205">
        <f>('SHWLP-Att'!$AC$40*(AC14/$AE$14))/AC14/'SHWLP-Att'!$Y$40*'SHWLP-Att'!$AR$4</f>
        <v>9.3701675105569704E-2</v>
      </c>
      <c r="AD135" s="1205">
        <f>('SHWLP-Att'!$AC$40*(AD14/$AE$14))/AD14/'SHWLP-Att'!$Y$40*'SHWLP-Att'!$AR$4</f>
        <v>9.3701675105569704E-2</v>
      </c>
      <c r="AE135" s="1205">
        <f>('SHWLP-Att'!$AC$40*(AE14/$AE$14))/AE14/'SHWLP-Att'!$Y$40*'SHWLP-Att'!$AR$4</f>
        <v>9.3701675105569704E-2</v>
      </c>
      <c r="AF135" s="1191"/>
      <c r="AG135" s="1191"/>
      <c r="AH135" s="1191"/>
    </row>
    <row r="136" spans="3:34" s="1190" customFormat="1">
      <c r="C136" s="1204" t="s">
        <v>1117</v>
      </c>
      <c r="D136" s="1204" t="s">
        <v>1094</v>
      </c>
      <c r="E136" s="1208">
        <f>('SHWLP-Att'!$AC$16*(E22/$AE$22))/E22/'SHWLP-Att'!$Y$16*'SHWLP-Att'!$AR$4</f>
        <v>3.4748237674293088E-2</v>
      </c>
      <c r="F136" s="1208">
        <f>('SHWLP-Att'!$AC$16*(F22/$AE$22))/F22/'SHWLP-Att'!$Y$16*'SHWLP-Att'!$AR$4</f>
        <v>3.4748237674293088E-2</v>
      </c>
      <c r="G136" s="1208">
        <f>('SHWLP-Att'!$AC$16*(G22/$AE$22))/G22/'SHWLP-Att'!$Y$16*'SHWLP-Att'!$AR$4</f>
        <v>3.4748237674293088E-2</v>
      </c>
      <c r="H136" s="1208">
        <f>('SHWLP-Att'!$AC$16*(H22/$AE$22))/H22/'SHWLP-Att'!$Y$16*'SHWLP-Att'!$AR$4</f>
        <v>3.4748237674293088E-2</v>
      </c>
      <c r="I136" s="1208">
        <f>('SHWLP-Att'!$AC$16*(I22/$AE$22))/I22/'SHWLP-Att'!$Y$16*'SHWLP-Att'!$AR$4</f>
        <v>3.4748237674293081E-2</v>
      </c>
      <c r="J136" s="1208">
        <f>('SHWLP-Att'!$AC$16*(J22/$AE$22))/J22/'SHWLP-Att'!$Y$16*'SHWLP-Att'!$AR$4</f>
        <v>3.4748237674293081E-2</v>
      </c>
      <c r="K136" s="1208">
        <f>('SHWLP-Att'!$AC$16*(K22/$AE$22))/K22/'SHWLP-Att'!$Y$16*'SHWLP-Att'!$AR$4</f>
        <v>3.4748237674293088E-2</v>
      </c>
      <c r="L136" s="1208">
        <f>('SHWLP-Att'!$AC$16*(L22/$AE$22))/L22/'SHWLP-Att'!$Y$16*'SHWLP-Att'!$AR$4</f>
        <v>3.4748237674293102E-2</v>
      </c>
      <c r="M136" s="1208">
        <f>('SHWLP-Att'!$AC$16*(M22/$AE$22))/M22/'SHWLP-Att'!$Y$16*'SHWLP-Att'!$AR$4</f>
        <v>3.4748237674293088E-2</v>
      </c>
      <c r="N136" s="1208">
        <f>('SHWLP-Att'!$AC$16*(N22/$AE$22))/N22/'SHWLP-Att'!$Y$16*'SHWLP-Att'!$AR$4</f>
        <v>3.4748237674293081E-2</v>
      </c>
      <c r="O136" s="1208">
        <f>('SHWLP-Att'!$AC$16*(O22/$AE$22))/O22/'SHWLP-Att'!$Y$16*'SHWLP-Att'!$AR$4</f>
        <v>3.4748237674293081E-2</v>
      </c>
      <c r="P136" s="1208">
        <f>('SHWLP-Att'!$AC$16*(P22/$AE$22))/P22/'SHWLP-Att'!$Y$16*'SHWLP-Att'!$AR$4</f>
        <v>3.4748237674293081E-2</v>
      </c>
      <c r="Q136" s="1208">
        <f>('SHWLP-Att'!$AC$16*(Q22/$AE$22))/Q22/'SHWLP-Att'!$Y$16*'SHWLP-Att'!$AR$4</f>
        <v>3.4748237674293088E-2</v>
      </c>
      <c r="R136" s="1208">
        <f>('SHWLP-Att'!$AC$16*(R22/$AE$22))/R22/'SHWLP-Att'!$Y$16*'SHWLP-Att'!$AR$4</f>
        <v>3.4748237674293088E-2</v>
      </c>
      <c r="S136" s="1208">
        <f>('SHWLP-Att'!$AC$16*(S22/$AE$22))/S22/'SHWLP-Att'!$Y$16*'SHWLP-Att'!$AR$4</f>
        <v>3.4748237674293081E-2</v>
      </c>
      <c r="T136" s="1208">
        <f>('SHWLP-Att'!$AC$16*(T22/$AE$22))/T22/'SHWLP-Att'!$Y$16*'SHWLP-Att'!$AR$4</f>
        <v>3.4748237674293088E-2</v>
      </c>
      <c r="U136" s="1208">
        <f>('SHWLP-Att'!$AC$16*(U22/$AE$22))/U22/'SHWLP-Att'!$Y$16*'SHWLP-Att'!$AR$4</f>
        <v>3.4748237674293088E-2</v>
      </c>
      <c r="V136" s="1208">
        <f>('SHWLP-Att'!$AC$16*(V22/$AE$22))/V22/'SHWLP-Att'!$Y$16*'SHWLP-Att'!$AR$4</f>
        <v>3.4748237674293081E-2</v>
      </c>
      <c r="W136" s="1208">
        <f>('SHWLP-Att'!$AC$16*(W22/$AE$22))/W22/'SHWLP-Att'!$Y$16*'SHWLP-Att'!$AR$4</f>
        <v>3.4748237674293088E-2</v>
      </c>
      <c r="X136" s="1208">
        <f>('SHWLP-Att'!$AC$16*(X22/$AE$22))/X22/'SHWLP-Att'!$Y$16*'SHWLP-Att'!$AR$4</f>
        <v>3.4748237674293088E-2</v>
      </c>
      <c r="Y136" s="1208">
        <f>('SHWLP-Att'!$AC$16*(Y22/$AE$22))/Y22/'SHWLP-Att'!$Y$16*'SHWLP-Att'!$AR$4</f>
        <v>3.4748237674293102E-2</v>
      </c>
      <c r="Z136" s="1208">
        <f>('SHWLP-Att'!$AC$16*(Z22/$AE$22))/Z22/'SHWLP-Att'!$Y$16*'SHWLP-Att'!$AR$4</f>
        <v>3.4748237674293081E-2</v>
      </c>
      <c r="AA136" s="1208">
        <f>('SHWLP-Att'!$AC$16*(AA22/$AE$22))/AA22/'SHWLP-Att'!$Y$16*'SHWLP-Att'!$AR$4</f>
        <v>3.4748237674293088E-2</v>
      </c>
      <c r="AB136" s="1208">
        <f>('SHWLP-Att'!$AC$16*(AB22/$AE$22))/AB22/'SHWLP-Att'!$Y$16*'SHWLP-Att'!$AR$4</f>
        <v>3.4748237674293102E-2</v>
      </c>
      <c r="AC136" s="1208">
        <f>('SHWLP-Att'!$AC$16*(AC22/$AE$22))/AC22/'SHWLP-Att'!$Y$16*'SHWLP-Att'!$AR$4</f>
        <v>3.4748237674293081E-2</v>
      </c>
      <c r="AD136" s="1208">
        <f>('SHWLP-Att'!$AC$16*(AD22/$AE$22))/AD22/'SHWLP-Att'!$Y$16*'SHWLP-Att'!$AR$4</f>
        <v>3.4748237674293088E-2</v>
      </c>
      <c r="AE136" s="1208">
        <f>('SHWLP-Att'!$AC$16*(AE22/$AE$22))/AE22/'SHWLP-Att'!$Y$16*'SHWLP-Att'!$AR$4</f>
        <v>3.4748237674293088E-2</v>
      </c>
      <c r="AF136" s="1191"/>
      <c r="AG136" s="1191"/>
      <c r="AH136" s="1191"/>
    </row>
    <row r="137" spans="3:34" s="1190" customFormat="1">
      <c r="C137" s="1205" t="s">
        <v>1118</v>
      </c>
      <c r="D137" s="1205" t="s">
        <v>1094</v>
      </c>
      <c r="E137" s="1205">
        <f>('SHWLP-Att'!$AC$42*(E23/$AE$23))/E23/'SHWLP-Att'!$Y$42*'SHWLP-Att'!$AR$4</f>
        <v>7.6945459490717127E-2</v>
      </c>
      <c r="F137" s="1205">
        <f>('SHWLP-Att'!$AC$42*(F23/$AE$23))/F23/'SHWLP-Att'!$Y$42*'SHWLP-Att'!$AR$4</f>
        <v>7.6945459490717114E-2</v>
      </c>
      <c r="G137" s="1205">
        <f>('SHWLP-Att'!$AC$42*(G23/$AE$23))/G23/'SHWLP-Att'!$Y$42*'SHWLP-Att'!$AR$4</f>
        <v>7.6945459490717127E-2</v>
      </c>
      <c r="H137" s="1205">
        <f>('SHWLP-Att'!$AC$42*(H23/$AE$23))/H23/'SHWLP-Att'!$Y$42*'SHWLP-Att'!$AR$4</f>
        <v>7.6945459490717114E-2</v>
      </c>
      <c r="I137" s="1205">
        <f>('SHWLP-Att'!$AC$42*(I23/$AE$23))/I23/'SHWLP-Att'!$Y$42*'SHWLP-Att'!$AR$4</f>
        <v>7.6945459490717127E-2</v>
      </c>
      <c r="J137" s="1205">
        <f>('SHWLP-Att'!$AC$42*(J23/$AE$23))/J23/'SHWLP-Att'!$Y$42*'SHWLP-Att'!$AR$4</f>
        <v>7.6945459490717127E-2</v>
      </c>
      <c r="K137" s="1205">
        <f>('SHWLP-Att'!$AC$42*(K23/$AE$23))/K23/'SHWLP-Att'!$Y$42*'SHWLP-Att'!$AR$4</f>
        <v>7.6945459490717114E-2</v>
      </c>
      <c r="L137" s="1205">
        <f>('SHWLP-Att'!$AC$42*(L23/$AE$23))/L23/'SHWLP-Att'!$Y$42*'SHWLP-Att'!$AR$4</f>
        <v>7.6945459490717127E-2</v>
      </c>
      <c r="M137" s="1205">
        <f>('SHWLP-Att'!$AC$42*(M23/$AE$23))/M23/'SHWLP-Att'!$Y$42*'SHWLP-Att'!$AR$4</f>
        <v>7.6945459490717127E-2</v>
      </c>
      <c r="N137" s="1205">
        <f>('SHWLP-Att'!$AC$42*(N23/$AE$23))/N23/'SHWLP-Att'!$Y$42*'SHWLP-Att'!$AR$4</f>
        <v>7.6945459490717127E-2</v>
      </c>
      <c r="O137" s="1205">
        <f>('SHWLP-Att'!$AC$42*(O23/$AE$23))/O23/'SHWLP-Att'!$Y$42*'SHWLP-Att'!$AR$4</f>
        <v>7.6945459490717127E-2</v>
      </c>
      <c r="P137" s="1205">
        <f>('SHWLP-Att'!$AC$42*(P23/$AE$23))/P23/'SHWLP-Att'!$Y$42*'SHWLP-Att'!$AR$4</f>
        <v>7.6945459490717127E-2</v>
      </c>
      <c r="Q137" s="1205">
        <f>('SHWLP-Att'!$AC$42*(Q23/$AE$23))/Q23/'SHWLP-Att'!$Y$42*'SHWLP-Att'!$AR$4</f>
        <v>7.6945459490717114E-2</v>
      </c>
      <c r="R137" s="1205">
        <f>('SHWLP-Att'!$AC$42*(R23/$AE$23))/R23/'SHWLP-Att'!$Y$42*'SHWLP-Att'!$AR$4</f>
        <v>7.6945459490717127E-2</v>
      </c>
      <c r="S137" s="1205">
        <f>('SHWLP-Att'!$AC$42*(S23/$AE$23))/S23/'SHWLP-Att'!$Y$42*'SHWLP-Att'!$AR$4</f>
        <v>7.6945459490717127E-2</v>
      </c>
      <c r="T137" s="1205">
        <f>('SHWLP-Att'!$AC$42*(T23/$AE$23))/T23/'SHWLP-Att'!$Y$42*'SHWLP-Att'!$AR$4</f>
        <v>7.6945459490717114E-2</v>
      </c>
      <c r="U137" s="1205">
        <f>('SHWLP-Att'!$AC$42*(U23/$AE$23))/U23/'SHWLP-Att'!$Y$42*'SHWLP-Att'!$AR$4</f>
        <v>7.6945459490717127E-2</v>
      </c>
      <c r="V137" s="1205">
        <f>('SHWLP-Att'!$AC$42*(V23/$AE$23))/V23/'SHWLP-Att'!$Y$42*'SHWLP-Att'!$AR$4</f>
        <v>7.6945459490717127E-2</v>
      </c>
      <c r="W137" s="1205">
        <f>('SHWLP-Att'!$AC$42*(W23/$AE$23))/W23/'SHWLP-Att'!$Y$42*'SHWLP-Att'!$AR$4</f>
        <v>7.6945459490717141E-2</v>
      </c>
      <c r="X137" s="1205">
        <f>('SHWLP-Att'!$AC$42*(X23/$AE$23))/X23/'SHWLP-Att'!$Y$42*'SHWLP-Att'!$AR$4</f>
        <v>7.6945459490717127E-2</v>
      </c>
      <c r="Y137" s="1205">
        <f>('SHWLP-Att'!$AC$42*(Y23/$AE$23))/Y23/'SHWLP-Att'!$Y$42*'SHWLP-Att'!$AR$4</f>
        <v>7.6945459490717114E-2</v>
      </c>
      <c r="Z137" s="1205">
        <f>('SHWLP-Att'!$AC$42*(Z23/$AE$23))/Z23/'SHWLP-Att'!$Y$42*'SHWLP-Att'!$AR$4</f>
        <v>7.6945459490717114E-2</v>
      </c>
      <c r="AA137" s="1205">
        <f>('SHWLP-Att'!$AC$42*(AA23/$AE$23))/AA23/'SHWLP-Att'!$Y$42*'SHWLP-Att'!$AR$4</f>
        <v>7.6945459490717114E-2</v>
      </c>
      <c r="AB137" s="1205">
        <f>('SHWLP-Att'!$AC$42*(AB23/$AE$23))/AB23/'SHWLP-Att'!$Y$42*'SHWLP-Att'!$AR$4</f>
        <v>7.6945459490717114E-2</v>
      </c>
      <c r="AC137" s="1205">
        <f>('SHWLP-Att'!$AC$42*(AC23/$AE$23))/AC23/'SHWLP-Att'!$Y$42*'SHWLP-Att'!$AR$4</f>
        <v>7.6945459490717127E-2</v>
      </c>
      <c r="AD137" s="1205">
        <f>('SHWLP-Att'!$AC$42*(AD23/$AE$23))/AD23/'SHWLP-Att'!$Y$42*'SHWLP-Att'!$AR$4</f>
        <v>7.6945459490717127E-2</v>
      </c>
      <c r="AE137" s="1205">
        <f>('SHWLP-Att'!$AC$42*(AE23/$AE$23))/AE23/'SHWLP-Att'!$Y$42*'SHWLP-Att'!$AR$4</f>
        <v>7.6945459490717127E-2</v>
      </c>
      <c r="AF137" s="1191"/>
      <c r="AG137" s="1191"/>
      <c r="AH137" s="1191"/>
    </row>
    <row r="138" spans="3:34" s="1190" customFormat="1">
      <c r="C138" s="1204" t="s">
        <v>1120</v>
      </c>
      <c r="D138" s="1204" t="s">
        <v>1094</v>
      </c>
      <c r="E138" s="1208">
        <f>('SHWLP-Att'!$AC$7*(E31/$AE$31))/E31/'SHWLP-Att'!$Y$7*'SHWLP-Att'!$AR$4</f>
        <v>0.29224232916190868</v>
      </c>
      <c r="F138" s="1208">
        <f>('SHWLP-Att'!$AC$7*(F31/$AE$31))/F31/'SHWLP-Att'!$Y$7*'SHWLP-Att'!$AR$4</f>
        <v>0.29224232916190868</v>
      </c>
      <c r="G138" s="1208">
        <f>('SHWLP-Att'!$AC$7*(G31/$AE$31))/G31/'SHWLP-Att'!$Y$7*'SHWLP-Att'!$AR$4</f>
        <v>0.29224232916190868</v>
      </c>
      <c r="H138" s="1208">
        <f>('SHWLP-Att'!$AC$7*(H31/$AE$31))/H31/'SHWLP-Att'!$Y$7*'SHWLP-Att'!$AR$4</f>
        <v>0.29224232916190868</v>
      </c>
      <c r="I138" s="1208">
        <f>('SHWLP-Att'!$AC$7*(I31/$AE$31))/I31/'SHWLP-Att'!$Y$7*'SHWLP-Att'!$AR$4</f>
        <v>0.29224232916190868</v>
      </c>
      <c r="J138" s="1208">
        <f>('SHWLP-Att'!$AC$7*(J31/$AE$31))/J31/'SHWLP-Att'!$Y$7*'SHWLP-Att'!$AR$4</f>
        <v>0.29224232916190868</v>
      </c>
      <c r="K138" s="1208">
        <f>('SHWLP-Att'!$AC$7*(K31/$AE$31))/K31/'SHWLP-Att'!$Y$7*'SHWLP-Att'!$AR$4</f>
        <v>0.29224232916190868</v>
      </c>
      <c r="L138" s="1208">
        <f>('SHWLP-Att'!$AC$7*(L31/$AE$31))/L31/'SHWLP-Att'!$Y$7*'SHWLP-Att'!$AR$4</f>
        <v>0.29224232916190868</v>
      </c>
      <c r="M138" s="1208">
        <f>('SHWLP-Att'!$AC$7*(M31/$AE$31))/M31/'SHWLP-Att'!$Y$7*'SHWLP-Att'!$AR$4</f>
        <v>0.29224232916190868</v>
      </c>
      <c r="N138" s="1208">
        <f>('SHWLP-Att'!$AC$7*(N31/$AE$31))/N31/'SHWLP-Att'!$Y$7*'SHWLP-Att'!$AR$4</f>
        <v>0.29224232916190868</v>
      </c>
      <c r="O138" s="1208">
        <f>('SHWLP-Att'!$AC$7*(O31/$AE$31))/O31/'SHWLP-Att'!$Y$7*'SHWLP-Att'!$AR$4</f>
        <v>0.29224232916190868</v>
      </c>
      <c r="P138" s="1208">
        <f>('SHWLP-Att'!$AC$7*(P31/$AE$31))/P31/'SHWLP-Att'!$Y$7*'SHWLP-Att'!$AR$4</f>
        <v>0.29224232916190868</v>
      </c>
      <c r="Q138" s="1208">
        <f>('SHWLP-Att'!$AC$7*(Q31/$AE$31))/Q31/'SHWLP-Att'!$Y$7*'SHWLP-Att'!$AR$4</f>
        <v>0.29224232916190868</v>
      </c>
      <c r="R138" s="1208">
        <f>('SHWLP-Att'!$AC$7*(R31/$AE$31))/R31/'SHWLP-Att'!$Y$7*'SHWLP-Att'!$AR$4</f>
        <v>0.29224232916190868</v>
      </c>
      <c r="S138" s="1208">
        <f>('SHWLP-Att'!$AC$7*(S31/$AE$31))/S31/'SHWLP-Att'!$Y$7*'SHWLP-Att'!$AR$4</f>
        <v>0.29224232916190868</v>
      </c>
      <c r="T138" s="1208">
        <f>('SHWLP-Att'!$AC$7*(T31/$AE$31))/T31/'SHWLP-Att'!$Y$7*'SHWLP-Att'!$AR$4</f>
        <v>0.29224232916190868</v>
      </c>
      <c r="U138" s="1208">
        <f>('SHWLP-Att'!$AC$7*(U31/$AE$31))/U31/'SHWLP-Att'!$Y$7*'SHWLP-Att'!$AR$4</f>
        <v>0.29224232916190868</v>
      </c>
      <c r="V138" s="1208">
        <f>('SHWLP-Att'!$AC$7*(V31/$AE$31))/V31/'SHWLP-Att'!$Y$7*'SHWLP-Att'!$AR$4</f>
        <v>0.29224232916190868</v>
      </c>
      <c r="W138" s="1208">
        <f>('SHWLP-Att'!$AC$7*(W31/$AE$31))/W31/'SHWLP-Att'!$Y$7*'SHWLP-Att'!$AR$4</f>
        <v>0.29224232916190862</v>
      </c>
      <c r="X138" s="1208">
        <f>('SHWLP-Att'!$AC$7*(X31/$AE$31))/X31/'SHWLP-Att'!$Y$7*'SHWLP-Att'!$AR$4</f>
        <v>0.29224232916190868</v>
      </c>
      <c r="Y138" s="1208">
        <f>('SHWLP-Att'!$AC$7*(Y31/$AE$31))/Y31/'SHWLP-Att'!$Y$7*'SHWLP-Att'!$AR$4</f>
        <v>0.29224232916190868</v>
      </c>
      <c r="Z138" s="1208">
        <f>('SHWLP-Att'!$AC$7*(Z31/$AE$31))/Z31/'SHWLP-Att'!$Y$7*'SHWLP-Att'!$AR$4</f>
        <v>0.29224232916190868</v>
      </c>
      <c r="AA138" s="1208">
        <f>('SHWLP-Att'!$AC$7*(AA31/$AE$31))/AA31/'SHWLP-Att'!$Y$7*'SHWLP-Att'!$AR$4</f>
        <v>0.29224232916190868</v>
      </c>
      <c r="AB138" s="1208">
        <f>('SHWLP-Att'!$AC$7*(AB31/$AE$31))/AB31/'SHWLP-Att'!$Y$7*'SHWLP-Att'!$AR$4</f>
        <v>0.29224232916190868</v>
      </c>
      <c r="AC138" s="1208">
        <f>('SHWLP-Att'!$AC$7*(AC31/$AE$31))/AC31/'SHWLP-Att'!$Y$7*'SHWLP-Att'!$AR$4</f>
        <v>0.29224232916190868</v>
      </c>
      <c r="AD138" s="1208">
        <f>('SHWLP-Att'!$AC$7*(AD31/$AE$31))/AD31/'SHWLP-Att'!$Y$7*'SHWLP-Att'!$AR$4</f>
        <v>0.29224232916190868</v>
      </c>
      <c r="AE138" s="1208">
        <f>('SHWLP-Att'!$AC$7*(AE31/$AE$31))/AE31/'SHWLP-Att'!$Y$7*'SHWLP-Att'!$AR$4</f>
        <v>0.29224232916190868</v>
      </c>
      <c r="AF138" s="1191"/>
      <c r="AG138" s="1191"/>
      <c r="AH138" s="1191"/>
    </row>
    <row r="139" spans="3:34" s="1190" customFormat="1">
      <c r="C139" s="1205" t="s">
        <v>1121</v>
      </c>
      <c r="D139" s="1205" t="s">
        <v>1094</v>
      </c>
      <c r="E139" s="1205">
        <f>('SHWLP-Att'!$AC$33*(E32/$AE$32))/E32/'SHWLP-Att'!$Y$33*'SHWLP-Att'!$AR$4</f>
        <v>9.719952121563398E-2</v>
      </c>
      <c r="F139" s="1205">
        <f>('SHWLP-Att'!$AC$33*(F32/$AE$32))/F32/'SHWLP-Att'!$Y$33*'SHWLP-Att'!$AR$4</f>
        <v>9.719952121563398E-2</v>
      </c>
      <c r="G139" s="1205">
        <f>('SHWLP-Att'!$AC$33*(G32/$AE$32))/G32/'SHWLP-Att'!$Y$33*'SHWLP-Att'!$AR$4</f>
        <v>9.719952121563398E-2</v>
      </c>
      <c r="H139" s="1205">
        <f>('SHWLP-Att'!$AC$33*(H32/$AE$32))/H32/'SHWLP-Att'!$Y$33*'SHWLP-Att'!$AR$4</f>
        <v>9.719952121563398E-2</v>
      </c>
      <c r="I139" s="1205">
        <f>('SHWLP-Att'!$AC$33*(I32/$AE$32))/I32/'SHWLP-Att'!$Y$33*'SHWLP-Att'!$AR$4</f>
        <v>9.719952121563398E-2</v>
      </c>
      <c r="J139" s="1205">
        <f>('SHWLP-Att'!$AC$33*(J32/$AE$32))/J32/'SHWLP-Att'!$Y$33*'SHWLP-Att'!$AR$4</f>
        <v>9.719952121563398E-2</v>
      </c>
      <c r="K139" s="1205">
        <f>('SHWLP-Att'!$AC$33*(K32/$AE$32))/K32/'SHWLP-Att'!$Y$33*'SHWLP-Att'!$AR$4</f>
        <v>9.719952121563398E-2</v>
      </c>
      <c r="L139" s="1205">
        <f>('SHWLP-Att'!$AC$33*(L32/$AE$32))/L32/'SHWLP-Att'!$Y$33*'SHWLP-Att'!$AR$4</f>
        <v>9.7199521215633994E-2</v>
      </c>
      <c r="M139" s="1205">
        <f>('SHWLP-Att'!$AC$33*(M32/$AE$32))/M32/'SHWLP-Att'!$Y$33*'SHWLP-Att'!$AR$4</f>
        <v>9.719952121563398E-2</v>
      </c>
      <c r="N139" s="1205">
        <f>('SHWLP-Att'!$AC$33*(N32/$AE$32))/N32/'SHWLP-Att'!$Y$33*'SHWLP-Att'!$AR$4</f>
        <v>9.719952121563398E-2</v>
      </c>
      <c r="O139" s="1205">
        <f>('SHWLP-Att'!$AC$33*(O32/$AE$32))/O32/'SHWLP-Att'!$Y$33*'SHWLP-Att'!$AR$4</f>
        <v>9.719952121563398E-2</v>
      </c>
      <c r="P139" s="1205">
        <f>('SHWLP-Att'!$AC$33*(P32/$AE$32))/P32/'SHWLP-Att'!$Y$33*'SHWLP-Att'!$AR$4</f>
        <v>9.719952121563398E-2</v>
      </c>
      <c r="Q139" s="1205">
        <f>('SHWLP-Att'!$AC$33*(Q32/$AE$32))/Q32/'SHWLP-Att'!$Y$33*'SHWLP-Att'!$AR$4</f>
        <v>9.719952121563398E-2</v>
      </c>
      <c r="R139" s="1205">
        <f>('SHWLP-Att'!$AC$33*(R32/$AE$32))/R32/'SHWLP-Att'!$Y$33*'SHWLP-Att'!$AR$4</f>
        <v>9.719952121563398E-2</v>
      </c>
      <c r="S139" s="1205">
        <f>('SHWLP-Att'!$AC$33*(S32/$AE$32))/S32/'SHWLP-Att'!$Y$33*'SHWLP-Att'!$AR$4</f>
        <v>9.7199521215633994E-2</v>
      </c>
      <c r="T139" s="1205">
        <f>('SHWLP-Att'!$AC$33*(T32/$AE$32))/T32/'SHWLP-Att'!$Y$33*'SHWLP-Att'!$AR$4</f>
        <v>9.719952121563398E-2</v>
      </c>
      <c r="U139" s="1205">
        <f>('SHWLP-Att'!$AC$33*(U32/$AE$32))/U32/'SHWLP-Att'!$Y$33*'SHWLP-Att'!$AR$4</f>
        <v>9.719952121563398E-2</v>
      </c>
      <c r="V139" s="1205">
        <f>('SHWLP-Att'!$AC$33*(V32/$AE$32))/V32/'SHWLP-Att'!$Y$33*'SHWLP-Att'!$AR$4</f>
        <v>9.719952121563398E-2</v>
      </c>
      <c r="W139" s="1205">
        <f>('SHWLP-Att'!$AC$33*(W32/$AE$32))/W32/'SHWLP-Att'!$Y$33*'SHWLP-Att'!$AR$4</f>
        <v>9.719952121563398E-2</v>
      </c>
      <c r="X139" s="1205">
        <f>('SHWLP-Att'!$AC$33*(X32/$AE$32))/X32/'SHWLP-Att'!$Y$33*'SHWLP-Att'!$AR$4</f>
        <v>9.7199521215633994E-2</v>
      </c>
      <c r="Y139" s="1205">
        <f>('SHWLP-Att'!$AC$33*(Y32/$AE$32))/Y32/'SHWLP-Att'!$Y$33*'SHWLP-Att'!$AR$4</f>
        <v>9.719952121563398E-2</v>
      </c>
      <c r="Z139" s="1205">
        <f>('SHWLP-Att'!$AC$33*(Z32/$AE$32))/Z32/'SHWLP-Att'!$Y$33*'SHWLP-Att'!$AR$4</f>
        <v>9.7199521215633994E-2</v>
      </c>
      <c r="AA139" s="1205">
        <f>('SHWLP-Att'!$AC$33*(AA32/$AE$32))/AA32/'SHWLP-Att'!$Y$33*'SHWLP-Att'!$AR$4</f>
        <v>9.719952121563398E-2</v>
      </c>
      <c r="AB139" s="1205">
        <f>('SHWLP-Att'!$AC$33*(AB32/$AE$32))/AB32/'SHWLP-Att'!$Y$33*'SHWLP-Att'!$AR$4</f>
        <v>9.7199521215633994E-2</v>
      </c>
      <c r="AC139" s="1205">
        <f>('SHWLP-Att'!$AC$33*(AC32/$AE$32))/AC32/'SHWLP-Att'!$Y$33*'SHWLP-Att'!$AR$4</f>
        <v>9.719952121563398E-2</v>
      </c>
      <c r="AD139" s="1205">
        <f>('SHWLP-Att'!$AC$33*(AD32/$AE$32))/AD32/'SHWLP-Att'!$Y$33*'SHWLP-Att'!$AR$4</f>
        <v>9.719952121563398E-2</v>
      </c>
      <c r="AE139" s="1205">
        <f>('SHWLP-Att'!$AC$33*(AE32/$AE$32))/AE32/'SHWLP-Att'!$Y$33*'SHWLP-Att'!$AR$4</f>
        <v>9.719952121563398E-2</v>
      </c>
      <c r="AF139" s="1191"/>
      <c r="AG139" s="1191"/>
      <c r="AH139" s="1191"/>
    </row>
    <row r="140" spans="3:34" s="1190" customFormat="1">
      <c r="C140" s="1204" t="s">
        <v>1135</v>
      </c>
      <c r="D140" s="1204" t="s">
        <v>1094</v>
      </c>
      <c r="E140" s="1208">
        <f>('SHWLP-Att'!$AC$8*(E40/$AE$40))/E40/'SHWLP-Att'!$Y$8*'SHWLP-Att'!$AR$4</f>
        <v>2.8872632118561337E-2</v>
      </c>
      <c r="F140" s="1208">
        <f>('SHWLP-Att'!$AC$8*(F40/$AE$40))/F40/'SHWLP-Att'!$Y$8*'SHWLP-Att'!$AR$4</f>
        <v>2.8872632118561347E-2</v>
      </c>
      <c r="G140" s="1208">
        <f>('SHWLP-Att'!$AC$8*(G40/$AE$40))/G40/'SHWLP-Att'!$Y$8*'SHWLP-Att'!$AR$4</f>
        <v>2.8872632118561347E-2</v>
      </c>
      <c r="H140" s="1208">
        <f>('SHWLP-Att'!$AC$8*(H40/$AE$40))/H40/'SHWLP-Att'!$Y$8*'SHWLP-Att'!$AR$4</f>
        <v>2.8872632118561337E-2</v>
      </c>
      <c r="I140" s="1208">
        <f>('SHWLP-Att'!$AC$8*(I40/$AE$40))/I40/'SHWLP-Att'!$Y$8*'SHWLP-Att'!$AR$4</f>
        <v>2.8872632118561337E-2</v>
      </c>
      <c r="J140" s="1208">
        <f>('SHWLP-Att'!$AC$8*(J40/$AE$40))/J40/'SHWLP-Att'!$Y$8*'SHWLP-Att'!$AR$4</f>
        <v>2.8872632118561347E-2</v>
      </c>
      <c r="K140" s="1208">
        <f>('SHWLP-Att'!$AC$8*(K40/$AE$40))/K40/'SHWLP-Att'!$Y$8*'SHWLP-Att'!$AR$4</f>
        <v>2.8872632118561347E-2</v>
      </c>
      <c r="L140" s="1208">
        <f>('SHWLP-Att'!$AC$8*(L40/$AE$40))/L40/'SHWLP-Att'!$Y$8*'SHWLP-Att'!$AR$4</f>
        <v>2.8872632118561337E-2</v>
      </c>
      <c r="M140" s="1208">
        <f>('SHWLP-Att'!$AC$8*(M40/$AE$40))/M40/'SHWLP-Att'!$Y$8*'SHWLP-Att'!$AR$4</f>
        <v>2.8872632118561337E-2</v>
      </c>
      <c r="N140" s="1208">
        <f>('SHWLP-Att'!$AC$8*(N40/$AE$40))/N40/'SHWLP-Att'!$Y$8*'SHWLP-Att'!$AR$4</f>
        <v>2.8872632118561347E-2</v>
      </c>
      <c r="O140" s="1208">
        <f>('SHWLP-Att'!$AC$8*(O40/$AE$40))/O40/'SHWLP-Att'!$Y$8*'SHWLP-Att'!$AR$4</f>
        <v>2.8872632118561347E-2</v>
      </c>
      <c r="P140" s="1208">
        <f>('SHWLP-Att'!$AC$8*(P40/$AE$40))/P40/'SHWLP-Att'!$Y$8*'SHWLP-Att'!$AR$4</f>
        <v>2.8872632118561347E-2</v>
      </c>
      <c r="Q140" s="1208">
        <f>('SHWLP-Att'!$AC$8*(Q40/$AE$40))/Q40/'SHWLP-Att'!$Y$8*'SHWLP-Att'!$AR$4</f>
        <v>2.8872632118561347E-2</v>
      </c>
      <c r="R140" s="1208">
        <f>('SHWLP-Att'!$AC$8*(R40/$AE$40))/R40/'SHWLP-Att'!$Y$8*'SHWLP-Att'!$AR$4</f>
        <v>2.8872632118561347E-2</v>
      </c>
      <c r="S140" s="1208">
        <f>('SHWLP-Att'!$AC$8*(S40/$AE$40))/S40/'SHWLP-Att'!$Y$8*'SHWLP-Att'!$AR$4</f>
        <v>2.8872632118561337E-2</v>
      </c>
      <c r="T140" s="1208">
        <f>('SHWLP-Att'!$AC$8*(T40/$AE$40))/T40/'SHWLP-Att'!$Y$8*'SHWLP-Att'!$AR$4</f>
        <v>2.8872632118561337E-2</v>
      </c>
      <c r="U140" s="1208">
        <f>('SHWLP-Att'!$AC$8*(U40/$AE$40))/U40/'SHWLP-Att'!$Y$8*'SHWLP-Att'!$AR$4</f>
        <v>2.8872632118561347E-2</v>
      </c>
      <c r="V140" s="1208">
        <f>('SHWLP-Att'!$AC$8*(V40/$AE$40))/V40/'SHWLP-Att'!$Y$8*'SHWLP-Att'!$AR$4</f>
        <v>2.8872632118561347E-2</v>
      </c>
      <c r="W140" s="1208">
        <f>V140</f>
        <v>2.8872632118561347E-2</v>
      </c>
      <c r="X140" s="1208">
        <f>('SHWLP-Att'!$AC$8*(X40/$AE$40))/X40/'SHWLP-Att'!$Y$8*'SHWLP-Att'!$AR$4</f>
        <v>2.8872632118561347E-2</v>
      </c>
      <c r="Y140" s="1208">
        <f>('SHWLP-Att'!$AC$8*(Y40/$AE$40))/Y40/'SHWLP-Att'!$Y$8*'SHWLP-Att'!$AR$4</f>
        <v>2.8872632118561347E-2</v>
      </c>
      <c r="Z140" s="1208">
        <f>('SHWLP-Att'!$AC$8*(Z40/$AE$40))/Z40/'SHWLP-Att'!$Y$8*'SHWLP-Att'!$AR$4</f>
        <v>2.8872632118561347E-2</v>
      </c>
      <c r="AA140" s="1208">
        <f>('SHWLP-Att'!$AC$8*(AA40/$AE$40))/AA40/'SHWLP-Att'!$Y$8*'SHWLP-Att'!$AR$4</f>
        <v>2.8872632118561337E-2</v>
      </c>
      <c r="AB140" s="1208">
        <f>('SHWLP-Att'!$AC$8*(AB40/$AE$40))/AB40/'SHWLP-Att'!$Y$8*'SHWLP-Att'!$AR$4</f>
        <v>2.8872632118561337E-2</v>
      </c>
      <c r="AC140" s="1208">
        <f>('SHWLP-Att'!$AC$8*(AC40/$AE$40))/AC40/'SHWLP-Att'!$Y$8*'SHWLP-Att'!$AR$4</f>
        <v>2.8872632118561347E-2</v>
      </c>
      <c r="AD140" s="1208">
        <f>('SHWLP-Att'!$AC$8*(AD40/$AE$40))/AD40/'SHWLP-Att'!$Y$8*'SHWLP-Att'!$AR$4</f>
        <v>2.8872632118561337E-2</v>
      </c>
      <c r="AE140" s="1208">
        <f>('SHWLP-Att'!$AC$8*(AE40/$AE$40))/AE40/'SHWLP-Att'!$Y$8*'SHWLP-Att'!$AR$4</f>
        <v>2.8872632118561347E-2</v>
      </c>
      <c r="AF140" s="1191"/>
      <c r="AG140" s="1191"/>
      <c r="AH140" s="1191"/>
    </row>
    <row r="141" spans="3:34" s="1190" customFormat="1">
      <c r="C141" s="1205" t="s">
        <v>1136</v>
      </c>
      <c r="D141" s="1205" t="s">
        <v>1094</v>
      </c>
      <c r="E141" s="1205">
        <f>('SHWLP-Att'!$AC$34*(E41/$AE$41))/E41/'SHWLP-Att'!$Y$34*'SHWLP-Att'!$AR$4</f>
        <v>9.7811263318112601E-2</v>
      </c>
      <c r="F141" s="1205">
        <f>('SHWLP-Att'!$AC$34*(F41/$AE$41))/F41/'SHWLP-Att'!$Y$34*'SHWLP-Att'!$AR$4</f>
        <v>9.7811263318112615E-2</v>
      </c>
      <c r="G141" s="1205">
        <f>('SHWLP-Att'!$AC$34*(G41/$AE$41))/G41/'SHWLP-Att'!$Y$34*'SHWLP-Att'!$AR$4</f>
        <v>9.7811263318112601E-2</v>
      </c>
      <c r="H141" s="1205">
        <f>('SHWLP-Att'!$AC$34*(H41/$AE$41))/H41/'SHWLP-Att'!$Y$34*'SHWLP-Att'!$AR$4</f>
        <v>9.7811263318112601E-2</v>
      </c>
      <c r="I141" s="1205">
        <f>('SHWLP-Att'!$AC$34*(I41/$AE$41))/I41/'SHWLP-Att'!$Y$34*'SHWLP-Att'!$AR$4</f>
        <v>9.7811263318112601E-2</v>
      </c>
      <c r="J141" s="1205">
        <f>('SHWLP-Att'!$AC$34*(J41/$AE$41))/J41/'SHWLP-Att'!$Y$34*'SHWLP-Att'!$AR$4</f>
        <v>9.7811263318112587E-2</v>
      </c>
      <c r="K141" s="1205">
        <f>('SHWLP-Att'!$AC$34*(K41/$AE$41))/K41/'SHWLP-Att'!$Y$34*'SHWLP-Att'!$AR$4</f>
        <v>9.7811263318112601E-2</v>
      </c>
      <c r="L141" s="1205">
        <f>('SHWLP-Att'!$AC$34*(L41/$AE$41))/L41/'SHWLP-Att'!$Y$34*'SHWLP-Att'!$AR$4</f>
        <v>9.7811263318112601E-2</v>
      </c>
      <c r="M141" s="1205">
        <f>('SHWLP-Att'!$AC$34*(M41/$AE$41))/M41/'SHWLP-Att'!$Y$34*'SHWLP-Att'!$AR$4</f>
        <v>9.7811263318112601E-2</v>
      </c>
      <c r="N141" s="1205">
        <f>('SHWLP-Att'!$AC$34*(N41/$AE$41))/N41/'SHWLP-Att'!$Y$34*'SHWLP-Att'!$AR$4</f>
        <v>9.7811263318112587E-2</v>
      </c>
      <c r="O141" s="1205">
        <f>('SHWLP-Att'!$AC$34*(O41/$AE$41))/O41/'SHWLP-Att'!$Y$34*'SHWLP-Att'!$AR$4</f>
        <v>9.7811263318112601E-2</v>
      </c>
      <c r="P141" s="1205">
        <f>('SHWLP-Att'!$AC$34*(P41/$AE$41))/P41/'SHWLP-Att'!$Y$34*'SHWLP-Att'!$AR$4</f>
        <v>9.7811263318112601E-2</v>
      </c>
      <c r="Q141" s="1205">
        <f>('SHWLP-Att'!$AC$34*(Q41/$AE$41))/Q41/'SHWLP-Att'!$Y$34*'SHWLP-Att'!$AR$4</f>
        <v>9.7811263318112601E-2</v>
      </c>
      <c r="R141" s="1205">
        <f>('SHWLP-Att'!$AC$34*(R41/$AE$41))/R41/'SHWLP-Att'!$Y$34*'SHWLP-Att'!$AR$4</f>
        <v>9.7811263318112615E-2</v>
      </c>
      <c r="S141" s="1205">
        <f>('SHWLP-Att'!$AC$34*(S41/$AE$41))/S41/'SHWLP-Att'!$Y$34*'SHWLP-Att'!$AR$4</f>
        <v>9.7811263318112601E-2</v>
      </c>
      <c r="T141" s="1205">
        <f>('SHWLP-Att'!$AC$34*(T41/$AE$41))/T41/'SHWLP-Att'!$Y$34*'SHWLP-Att'!$AR$4</f>
        <v>9.7811263318112587E-2</v>
      </c>
      <c r="U141" s="1205">
        <f>('SHWLP-Att'!$AC$34*(U41/$AE$41))/U41/'SHWLP-Att'!$Y$34*'SHWLP-Att'!$AR$4</f>
        <v>9.7811263318112587E-2</v>
      </c>
      <c r="V141" s="1205">
        <f>('SHWLP-Att'!$AC$34*(V41/$AE$41))/V41/'SHWLP-Att'!$Y$34*'SHWLP-Att'!$AR$4</f>
        <v>9.7811263318112615E-2</v>
      </c>
      <c r="W141" s="1205">
        <f>('SHWLP-Att'!$AC$34*(W41/$AE$41))/W41/'SHWLP-Att'!$Y$34*'SHWLP-Att'!$AR$4</f>
        <v>9.7811263318112615E-2</v>
      </c>
      <c r="X141" s="1205">
        <f>('SHWLP-Att'!$AC$34*(X41/$AE$41))/X41/'SHWLP-Att'!$Y$34*'SHWLP-Att'!$AR$4</f>
        <v>9.7811263318112601E-2</v>
      </c>
      <c r="Y141" s="1205">
        <f>('SHWLP-Att'!$AC$34*(Y41/$AE$41))/Y41/'SHWLP-Att'!$Y$34*'SHWLP-Att'!$AR$4</f>
        <v>9.7811263318112601E-2</v>
      </c>
      <c r="Z141" s="1205">
        <f>('SHWLP-Att'!$AC$34*(Z41/$AE$41))/Z41/'SHWLP-Att'!$Y$34*'SHWLP-Att'!$AR$4</f>
        <v>9.7811263318112601E-2</v>
      </c>
      <c r="AA141" s="1205">
        <f>('SHWLP-Att'!$AC$34*(AA41/$AE$41))/AA41/'SHWLP-Att'!$Y$34*'SHWLP-Att'!$AR$4</f>
        <v>9.7811263318112601E-2</v>
      </c>
      <c r="AB141" s="1205">
        <f>('SHWLP-Att'!$AC$34*(AB41/$AE$41))/AB41/'SHWLP-Att'!$Y$34*'SHWLP-Att'!$AR$4</f>
        <v>9.7811263318112601E-2</v>
      </c>
      <c r="AC141" s="1205">
        <f>('SHWLP-Att'!$AC$34*(AC41/$AE$41))/AC41/'SHWLP-Att'!$Y$34*'SHWLP-Att'!$AR$4</f>
        <v>9.7811263318112601E-2</v>
      </c>
      <c r="AD141" s="1205">
        <f>('SHWLP-Att'!$AC$34*(AD41/$AE$41))/AD41/'SHWLP-Att'!$Y$34*'SHWLP-Att'!$AR$4</f>
        <v>9.7811263318112615E-2</v>
      </c>
      <c r="AE141" s="1205">
        <f>('SHWLP-Att'!$AC$34*(AE41/$AE$41))/AE41/'SHWLP-Att'!$Y$34*'SHWLP-Att'!$AR$4</f>
        <v>9.7811263318112601E-2</v>
      </c>
      <c r="AF141" s="1191"/>
      <c r="AG141" s="1191"/>
      <c r="AH141" s="1191"/>
    </row>
    <row r="142" spans="3:34" s="1197" customFormat="1">
      <c r="C142" s="1204" t="s">
        <v>1137</v>
      </c>
      <c r="D142" s="1204" t="s">
        <v>1094</v>
      </c>
      <c r="E142" s="1204">
        <f>IFERROR((('SHWLP-Att'!$AC$9*(E49/$AE$49))/E49/'SHWLP-Att'!$Y$9),0*'SHWLP-Att'!$AR$4)</f>
        <v>0</v>
      </c>
      <c r="F142" s="1204">
        <f>IFERROR((('SHWLP-Att'!$AC$9*(F49/$AE$49))/F49/'SHWLP-Att'!$Y$9),0*'SHWLP-Att'!$AR$4)</f>
        <v>0</v>
      </c>
      <c r="G142" s="1204">
        <f>IFERROR((('SHWLP-Att'!$AC$9*(G49/$AE$49))/G49/'SHWLP-Att'!$Y$9),0*'SHWLP-Att'!$AR$4)</f>
        <v>0</v>
      </c>
      <c r="H142" s="1204">
        <f>IFERROR((('SHWLP-Att'!$AC$9*(H49/$AE$49))/H49/'SHWLP-Att'!$Y$9),0*'SHWLP-Att'!$AR$4)</f>
        <v>0</v>
      </c>
      <c r="I142" s="1204">
        <f>IFERROR((('SHWLP-Att'!$AC$9*(I49/$AE$49))/I49/'SHWLP-Att'!$Y$9),0*'SHWLP-Att'!$AR$4)</f>
        <v>0</v>
      </c>
      <c r="J142" s="1204">
        <f>IFERROR((('SHWLP-Att'!$AC$9*(J49/$AE$49))/J49/'SHWLP-Att'!$Y$9),0*'SHWLP-Att'!$AR$4)</f>
        <v>0</v>
      </c>
      <c r="K142" s="1204">
        <f>IFERROR((('SHWLP-Att'!$AC$9*(K49/$AE$49))/K49/'SHWLP-Att'!$Y$9),0*'SHWLP-Att'!$AR$4)</f>
        <v>0</v>
      </c>
      <c r="L142" s="1204">
        <f>IFERROR((('SHWLP-Att'!$AC$9*(L49/$AE$49))/L49/'SHWLP-Att'!$Y$9),0*'SHWLP-Att'!$AR$4)</f>
        <v>0</v>
      </c>
      <c r="M142" s="1204">
        <f>IFERROR((('SHWLP-Att'!$AC$9*(M49/$AE$49))/M49/'SHWLP-Att'!$Y$9),0*'SHWLP-Att'!$AR$4)</f>
        <v>0</v>
      </c>
      <c r="N142" s="1204">
        <f>IFERROR((('SHWLP-Att'!$AC$9*(N49/$AE$49))/N49/'SHWLP-Att'!$Y$9),0*'SHWLP-Att'!$AR$4)</f>
        <v>0</v>
      </c>
      <c r="O142" s="1204">
        <f>IFERROR((('SHWLP-Att'!$AC$9*(O49/$AE$49))/O49/'SHWLP-Att'!$Y$9),0*'SHWLP-Att'!$AR$4)</f>
        <v>0</v>
      </c>
      <c r="P142" s="1204">
        <f>IFERROR((('SHWLP-Att'!$AC$9*(P49/$AE$49))/P49/'SHWLP-Att'!$Y$9),0*'SHWLP-Att'!$AR$4)</f>
        <v>0</v>
      </c>
      <c r="Q142" s="1204">
        <f>IFERROR((('SHWLP-Att'!$AC$9*(Q49/$AE$49))/Q49/'SHWLP-Att'!$Y$9),0*'SHWLP-Att'!$AR$4)</f>
        <v>0</v>
      </c>
      <c r="R142" s="1204">
        <f>IFERROR((('SHWLP-Att'!$AC$9*(R49/$AE$49))/R49/'SHWLP-Att'!$Y$9),0*'SHWLP-Att'!$AR$4)</f>
        <v>0</v>
      </c>
      <c r="S142" s="1204">
        <f>IFERROR((('SHWLP-Att'!$AC$9*(S49/$AE$49))/S49/'SHWLP-Att'!$Y$9),0*'SHWLP-Att'!$AR$4)</f>
        <v>0</v>
      </c>
      <c r="T142" s="1204">
        <f>IFERROR((('SHWLP-Att'!$AC$9*(T49/$AE$49))/T49/'SHWLP-Att'!$Y$9),0*'SHWLP-Att'!$AR$4)</f>
        <v>0</v>
      </c>
      <c r="U142" s="1204">
        <f>IFERROR((('SHWLP-Att'!$AC$9*(U49/$AE$49))/U49/'SHWLP-Att'!$Y$9),0*'SHWLP-Att'!$AR$4)</f>
        <v>0</v>
      </c>
      <c r="V142" s="1204">
        <f>IFERROR((('SHWLP-Att'!$AC$9*(V49/$AE$49))/V49/'SHWLP-Att'!$Y$9),0*'SHWLP-Att'!$AR$4)</f>
        <v>0</v>
      </c>
      <c r="W142" s="1204">
        <f>IFERROR((('SHWLP-Att'!$AC$9*(W49/$AE$49))/W49/'SHWLP-Att'!$Y$9),0*'SHWLP-Att'!$AR$4)</f>
        <v>0</v>
      </c>
      <c r="X142" s="1204">
        <f>IFERROR((('SHWLP-Att'!$AC$9*(X49/$AE$49))/X49/'SHWLP-Att'!$Y$9),0*'SHWLP-Att'!$AR$4)</f>
        <v>0</v>
      </c>
      <c r="Y142" s="1204">
        <f>IFERROR((('SHWLP-Att'!$AC$9*(Y49/$AE$49))/Y49/'SHWLP-Att'!$Y$9),0*'SHWLP-Att'!$AR$4)</f>
        <v>0</v>
      </c>
      <c r="Z142" s="1204">
        <f>IFERROR((('SHWLP-Att'!$AC$9*(Z49/$AE$49))/Z49/'SHWLP-Att'!$Y$9),0*'SHWLP-Att'!$AR$4)</f>
        <v>0</v>
      </c>
      <c r="AA142" s="1204">
        <f>IFERROR((('SHWLP-Att'!$AC$9*(AA49/$AE$49))/AA49/'SHWLP-Att'!$Y$9),0*'SHWLP-Att'!$AR$4)</f>
        <v>0</v>
      </c>
      <c r="AB142" s="1204">
        <f>IFERROR((('SHWLP-Att'!$AC$9*(AB49/$AE$49))/AB49/'SHWLP-Att'!$Y$9),0*'SHWLP-Att'!$AR$4)</f>
        <v>0</v>
      </c>
      <c r="AC142" s="1204">
        <f>IFERROR((('SHWLP-Att'!$AC$9*(AC49/$AE$49))/AC49/'SHWLP-Att'!$Y$9),0*'SHWLP-Att'!$AR$4)</f>
        <v>0</v>
      </c>
      <c r="AD142" s="1204">
        <f>IFERROR((('SHWLP-Att'!$AC$9*(AD49/$AE$49))/AD49/'SHWLP-Att'!$Y$9),0*'SHWLP-Att'!$AR$4)</f>
        <v>0</v>
      </c>
      <c r="AE142" s="1204">
        <f>IFERROR((('SHWLP-Att'!$AC$9*(AE49/$AE$49))/AE49/'SHWLP-Att'!$Y$9),0*'SHWLP-Att'!$AR$4)</f>
        <v>0</v>
      </c>
      <c r="AF142" s="1198"/>
      <c r="AG142" s="1198"/>
      <c r="AH142" s="1198"/>
    </row>
    <row r="143" spans="3:34" s="1190" customFormat="1">
      <c r="C143" s="1205" t="s">
        <v>1138</v>
      </c>
      <c r="D143" s="1205" t="s">
        <v>1094</v>
      </c>
      <c r="E143" s="1205">
        <f>('SHWLP-Att'!$AC$35*(E50/$AE$50))/E50/'SHWLP-Att'!$Y$35*'SHWLP-Att'!$AR$4</f>
        <v>7.3933561643835619E-2</v>
      </c>
      <c r="F143" s="1205">
        <f>('SHWLP-Att'!$AC$35*(F50/$AE$50))/F50/'SHWLP-Att'!$Y$35*'SHWLP-Att'!$AR$4</f>
        <v>7.3933561643835619E-2</v>
      </c>
      <c r="G143" s="1205">
        <f>('SHWLP-Att'!$AC$35*(G50/$AE$50))/G50/'SHWLP-Att'!$Y$35*'SHWLP-Att'!$AR$4</f>
        <v>7.3933561643835619E-2</v>
      </c>
      <c r="H143" s="1205">
        <f>('SHWLP-Att'!$AC$35*(H50/$AE$50))/H50/'SHWLP-Att'!$Y$35*'SHWLP-Att'!$AR$4</f>
        <v>7.3933561643835619E-2</v>
      </c>
      <c r="I143" s="1205">
        <f>('SHWLP-Att'!$AC$35*(I50/$AE$50))/I50/'SHWLP-Att'!$Y$35*'SHWLP-Att'!$AR$4</f>
        <v>7.3933561643835619E-2</v>
      </c>
      <c r="J143" s="1205">
        <f>('SHWLP-Att'!$AC$35*(J50/$AE$50))/J50/'SHWLP-Att'!$Y$35*'SHWLP-Att'!$AR$4</f>
        <v>7.3933561643835619E-2</v>
      </c>
      <c r="K143" s="1205">
        <f>('SHWLP-Att'!$AC$35*(K50/$AE$50))/K50/'SHWLP-Att'!$Y$35*'SHWLP-Att'!$AR$4</f>
        <v>7.3933561643835619E-2</v>
      </c>
      <c r="L143" s="1205">
        <f>('SHWLP-Att'!$AC$35*(L50/$AE$50))/L50/'SHWLP-Att'!$Y$35*'SHWLP-Att'!$AR$4</f>
        <v>7.3933561643835619E-2</v>
      </c>
      <c r="M143" s="1205">
        <f>('SHWLP-Att'!$AC$35*(M50/$AE$50))/M50/'SHWLP-Att'!$Y$35*'SHWLP-Att'!$AR$4</f>
        <v>7.3933561643835619E-2</v>
      </c>
      <c r="N143" s="1205">
        <f>('SHWLP-Att'!$AC$35*(N50/$AE$50))/N50/'SHWLP-Att'!$Y$35*'SHWLP-Att'!$AR$4</f>
        <v>7.3933561643835619E-2</v>
      </c>
      <c r="O143" s="1205">
        <f>('SHWLP-Att'!$AC$35*(O50/$AE$50))/O50/'SHWLP-Att'!$Y$35*'SHWLP-Att'!$AR$4</f>
        <v>7.3933561643835619E-2</v>
      </c>
      <c r="P143" s="1205">
        <f>('SHWLP-Att'!$AC$35*(P50/$AE$50))/P50/'SHWLP-Att'!$Y$35*'SHWLP-Att'!$AR$4</f>
        <v>7.3933561643835619E-2</v>
      </c>
      <c r="Q143" s="1205">
        <f>('SHWLP-Att'!$AC$35*(Q50/$AE$50))/Q50/'SHWLP-Att'!$Y$35*'SHWLP-Att'!$AR$4</f>
        <v>7.3933561643835619E-2</v>
      </c>
      <c r="R143" s="1205">
        <f>('SHWLP-Att'!$AC$35*(R50/$AE$50))/R50/'SHWLP-Att'!$Y$35*'SHWLP-Att'!$AR$4</f>
        <v>7.3933561643835619E-2</v>
      </c>
      <c r="S143" s="1205">
        <f>('SHWLP-Att'!$AC$35*(S50/$AE$50))/S50/'SHWLP-Att'!$Y$35*'SHWLP-Att'!$AR$4</f>
        <v>7.3933561643835619E-2</v>
      </c>
      <c r="T143" s="1205">
        <f>('SHWLP-Att'!$AC$35*(T50/$AE$50))/T50/'SHWLP-Att'!$Y$35*'SHWLP-Att'!$AR$4</f>
        <v>7.3933561643835619E-2</v>
      </c>
      <c r="U143" s="1205">
        <f>('SHWLP-Att'!$AC$35*(U50/$AE$50))/U50/'SHWLP-Att'!$Y$35*'SHWLP-Att'!$AR$4</f>
        <v>7.3933561643835619E-2</v>
      </c>
      <c r="V143" s="1205">
        <f>('SHWLP-Att'!$AC$35*(V50/$AE$50))/V50/'SHWLP-Att'!$Y$35*'SHWLP-Att'!$AR$4</f>
        <v>7.3933561643835619E-2</v>
      </c>
      <c r="W143" s="1205">
        <f>('SHWLP-Att'!$AC$35*(W50/$AE$50))/W50/'SHWLP-Att'!$Y$35*'SHWLP-Att'!$AR$4</f>
        <v>7.3933561643835619E-2</v>
      </c>
      <c r="X143" s="1205">
        <f>('SHWLP-Att'!$AC$35*(X50/$AE$50))/X50/'SHWLP-Att'!$Y$35*'SHWLP-Att'!$AR$4</f>
        <v>7.3933561643835619E-2</v>
      </c>
      <c r="Y143" s="1205">
        <f>('SHWLP-Att'!$AC$35*(Y50/$AE$50))/Y50/'SHWLP-Att'!$Y$35*'SHWLP-Att'!$AR$4</f>
        <v>7.3933561643835619E-2</v>
      </c>
      <c r="Z143" s="1205">
        <f>('SHWLP-Att'!$AC$35*(Z50/$AE$50))/Z50/'SHWLP-Att'!$Y$35*'SHWLP-Att'!$AR$4</f>
        <v>7.3933561643835619E-2</v>
      </c>
      <c r="AA143" s="1205">
        <f>('SHWLP-Att'!$AC$35*(AA50/$AE$50))/AA50/'SHWLP-Att'!$Y$35*'SHWLP-Att'!$AR$4</f>
        <v>7.3933561643835619E-2</v>
      </c>
      <c r="AB143" s="1205">
        <f>('SHWLP-Att'!$AC$35*(AB50/$AE$50))/AB50/'SHWLP-Att'!$Y$35*'SHWLP-Att'!$AR$4</f>
        <v>7.3933561643835619E-2</v>
      </c>
      <c r="AC143" s="1205">
        <f>('SHWLP-Att'!$AC$35*(AC50/$AE$50))/AC50/'SHWLP-Att'!$Y$35*'SHWLP-Att'!$AR$4</f>
        <v>7.3933561643835619E-2</v>
      </c>
      <c r="AD143" s="1205">
        <f>('SHWLP-Att'!$AC$35*(AD50/$AE$50))/AD50/'SHWLP-Att'!$Y$35*'SHWLP-Att'!$AR$4</f>
        <v>7.3933561643835619E-2</v>
      </c>
      <c r="AE143" s="1205">
        <f>('SHWLP-Att'!$AC$35*(AE50/$AE$50))/AE50/'SHWLP-Att'!$Y$35*'SHWLP-Att'!$AR$4</f>
        <v>7.3933561643835619E-2</v>
      </c>
      <c r="AF143" s="1191"/>
      <c r="AG143" s="1191"/>
      <c r="AH143" s="1191"/>
    </row>
    <row r="144" spans="3:34" s="1190" customFormat="1">
      <c r="C144" s="1204" t="s">
        <v>1139</v>
      </c>
      <c r="D144" s="1204" t="s">
        <v>1094</v>
      </c>
      <c r="E144" s="1208">
        <f>('SHWLP-Att'!$AC$10*(E58/$AE$58))/E58/'SHWLP-Att'!$Y$10*'SHWLP-Att'!$AR$4</f>
        <v>5.3636180909571333E-2</v>
      </c>
      <c r="F144" s="1208">
        <f>('SHWLP-Att'!$AC$10*(F58/$AE$58))/F58/'SHWLP-Att'!$Y$10*'SHWLP-Att'!$AR$4</f>
        <v>5.3636180909571333E-2</v>
      </c>
      <c r="G144" s="1208">
        <f>('SHWLP-Att'!$AC$10*(G58/$AE$58))/G58/'SHWLP-Att'!$Y$10*'SHWLP-Att'!$AR$4</f>
        <v>5.3636180909571333E-2</v>
      </c>
      <c r="H144" s="1208">
        <f>('SHWLP-Att'!$AC$10*(H58/$AE$58))/H58/'SHWLP-Att'!$Y$10*'SHWLP-Att'!$AR$4</f>
        <v>5.3636180909571333E-2</v>
      </c>
      <c r="I144" s="1208">
        <f>('SHWLP-Att'!$AC$10*(I58/$AE$58))/I58/'SHWLP-Att'!$Y$10*'SHWLP-Att'!$AR$4</f>
        <v>5.3636180909571333E-2</v>
      </c>
      <c r="J144" s="1208">
        <f>('SHWLP-Att'!$AC$10*(J58/$AE$58))/J58/'SHWLP-Att'!$Y$10*'SHWLP-Att'!$AR$4</f>
        <v>5.3636180909571333E-2</v>
      </c>
      <c r="K144" s="1208">
        <f>('SHWLP-Att'!$AC$10*(K58/$AE$58))/K58/'SHWLP-Att'!$Y$10*'SHWLP-Att'!$AR$4</f>
        <v>5.363618090957134E-2</v>
      </c>
      <c r="L144" s="1208">
        <f>('SHWLP-Att'!$AC$10*(L58/$AE$58))/L58/'SHWLP-Att'!$Y$10*'SHWLP-Att'!$AR$4</f>
        <v>5.3636180909571333E-2</v>
      </c>
      <c r="M144" s="1208">
        <f>('SHWLP-Att'!$AC$10*(M58/$AE$58))/M58/'SHWLP-Att'!$Y$10*'SHWLP-Att'!$AR$4</f>
        <v>5.3636180909571333E-2</v>
      </c>
      <c r="N144" s="1208">
        <f>('SHWLP-Att'!$AC$10*(N58/$AE$58))/N58/'SHWLP-Att'!$Y$10*'SHWLP-Att'!$AR$4</f>
        <v>5.3636180909571333E-2</v>
      </c>
      <c r="O144" s="1208">
        <f>('SHWLP-Att'!$AC$10*(O58/$AE$58))/O58/'SHWLP-Att'!$Y$10*'SHWLP-Att'!$AR$4</f>
        <v>5.3636180909571333E-2</v>
      </c>
      <c r="P144" s="1208">
        <f>('SHWLP-Att'!$AC$10*(P58/$AE$58))/P58/'SHWLP-Att'!$Y$10*'SHWLP-Att'!$AR$4</f>
        <v>5.3636180909571333E-2</v>
      </c>
      <c r="Q144" s="1208">
        <f>('SHWLP-Att'!$AC$10*(Q58/$AE$58))/Q58/'SHWLP-Att'!$Y$10*'SHWLP-Att'!$AR$4</f>
        <v>5.3636180909571333E-2</v>
      </c>
      <c r="R144" s="1208">
        <f>('SHWLP-Att'!$AC$10*(R58/$AE$58))/R58/'SHWLP-Att'!$Y$10*'SHWLP-Att'!$AR$4</f>
        <v>5.3636180909571333E-2</v>
      </c>
      <c r="S144" s="1208">
        <f>('SHWLP-Att'!$AC$10*(S58/$AE$58))/S58/'SHWLP-Att'!$Y$10*'SHWLP-Att'!$AR$4</f>
        <v>5.363618090957134E-2</v>
      </c>
      <c r="T144" s="1208">
        <f>('SHWLP-Att'!$AC$10*(T58/$AE$58))/T58/'SHWLP-Att'!$Y$10*'SHWLP-Att'!$AR$4</f>
        <v>5.3636180909571333E-2</v>
      </c>
      <c r="U144" s="1208">
        <f>('SHWLP-Att'!$AC$10*(U58/$AE$58))/U58/'SHWLP-Att'!$Y$10*'SHWLP-Att'!$AR$4</f>
        <v>5.3636180909571333E-2</v>
      </c>
      <c r="V144" s="1208">
        <f>('SHWLP-Att'!$AC$10*(V58/$AE$58))/V58/'SHWLP-Att'!$Y$10*'SHWLP-Att'!$AR$4</f>
        <v>5.3636180909571333E-2</v>
      </c>
      <c r="W144" s="1208">
        <f>('SHWLP-Att'!$AC$10*(W58/$AE$58))/W58/'SHWLP-Att'!$Y$10*'SHWLP-Att'!$AR$4</f>
        <v>5.363618090957134E-2</v>
      </c>
      <c r="X144" s="1208">
        <f>('SHWLP-Att'!$AC$10*(X58/$AE$58))/X58/'SHWLP-Att'!$Y$10*'SHWLP-Att'!$AR$4</f>
        <v>5.3636180909571333E-2</v>
      </c>
      <c r="Y144" s="1208">
        <f>('SHWLP-Att'!$AC$10*(Y58/$AE$58))/Y58/'SHWLP-Att'!$Y$10*'SHWLP-Att'!$AR$4</f>
        <v>5.363618090957134E-2</v>
      </c>
      <c r="Z144" s="1208">
        <f>('SHWLP-Att'!$AC$10*(Z58/$AE$58))/Z58/'SHWLP-Att'!$Y$10*'SHWLP-Att'!$AR$4</f>
        <v>5.3636180909571333E-2</v>
      </c>
      <c r="AA144" s="1208">
        <f>('SHWLP-Att'!$AC$10*(AA58/$AE$58))/AA58/'SHWLP-Att'!$Y$10*'SHWLP-Att'!$AR$4</f>
        <v>5.363618090957134E-2</v>
      </c>
      <c r="AB144" s="1208">
        <f>('SHWLP-Att'!$AC$10*(AB58/$AE$58))/AB58/'SHWLP-Att'!$Y$10*'SHWLP-Att'!$AR$4</f>
        <v>5.363618090957134E-2</v>
      </c>
      <c r="AC144" s="1208">
        <f>('SHWLP-Att'!$AC$10*(AC58/$AE$58))/AC58/'SHWLP-Att'!$Y$10*'SHWLP-Att'!$AR$4</f>
        <v>5.3636180909571333E-2</v>
      </c>
      <c r="AD144" s="1208">
        <f>('SHWLP-Att'!$AC$10*(AD58/$AE$58))/AD58/'SHWLP-Att'!$Y$10*'SHWLP-Att'!$AR$4</f>
        <v>5.363618090957134E-2</v>
      </c>
      <c r="AE144" s="1208">
        <f>('SHWLP-Att'!$AC$10*(AE58/$AE$58))/AE58/'SHWLP-Att'!$Y$10*'SHWLP-Att'!$AR$4</f>
        <v>5.3636180909571333E-2</v>
      </c>
      <c r="AF144" s="1191"/>
      <c r="AG144" s="1191"/>
      <c r="AH144" s="1191"/>
    </row>
    <row r="145" spans="3:34" s="1190" customFormat="1">
      <c r="C145" s="1205" t="s">
        <v>1140</v>
      </c>
      <c r="D145" s="1205" t="s">
        <v>1094</v>
      </c>
      <c r="E145" s="1205">
        <f>('SHWLP-Att'!$AC$36*(E59/$AE$59))/E59/'SHWLP-Att'!$Y$36*'SHWLP-Att'!$AR$4</f>
        <v>0.10834756563890431</v>
      </c>
      <c r="F145" s="1205">
        <f>('SHWLP-Att'!$AC$36*(F59/$AE$59))/F59/'SHWLP-Att'!$Y$36*'SHWLP-Att'!$AR$4</f>
        <v>0.1083475656389043</v>
      </c>
      <c r="G145" s="1205">
        <f>('SHWLP-Att'!$AC$36*(G59/$AE$59))/G59/'SHWLP-Att'!$Y$36*'SHWLP-Att'!$AR$4</f>
        <v>0.1083475656389043</v>
      </c>
      <c r="H145" s="1205">
        <f>('SHWLP-Att'!$AC$36*(H59/$AE$59))/H59/'SHWLP-Att'!$Y$36*'SHWLP-Att'!$AR$4</f>
        <v>0.1083475656389043</v>
      </c>
      <c r="I145" s="1205">
        <f>('SHWLP-Att'!$AC$36*(I59/$AE$59))/I59/'SHWLP-Att'!$Y$36*'SHWLP-Att'!$AR$4</f>
        <v>0.1083475656389043</v>
      </c>
      <c r="J145" s="1205">
        <f>('SHWLP-Att'!$AC$36*(J59/$AE$59))/J59/'SHWLP-Att'!$Y$36*'SHWLP-Att'!$AR$4</f>
        <v>0.10834756563890431</v>
      </c>
      <c r="K145" s="1205">
        <f>('SHWLP-Att'!$AC$36*(K59/$AE$59))/K59/'SHWLP-Att'!$Y$36*'SHWLP-Att'!$AR$4</f>
        <v>0.1083475656389043</v>
      </c>
      <c r="L145" s="1205">
        <f>('SHWLP-Att'!$AC$36*(L59/$AE$59))/L59/'SHWLP-Att'!$Y$36*'SHWLP-Att'!$AR$4</f>
        <v>0.1083475656389043</v>
      </c>
      <c r="M145" s="1205">
        <f>('SHWLP-Att'!$AC$36*(M59/$AE$59))/M59/'SHWLP-Att'!$Y$36*'SHWLP-Att'!$AR$4</f>
        <v>0.1083475656389043</v>
      </c>
      <c r="N145" s="1205">
        <f>('SHWLP-Att'!$AC$36*(N59/$AE$59))/N59/'SHWLP-Att'!$Y$36*'SHWLP-Att'!$AR$4</f>
        <v>0.1083475656389043</v>
      </c>
      <c r="O145" s="1205">
        <f>('SHWLP-Att'!$AC$36*(O59/$AE$59))/O59/'SHWLP-Att'!$Y$36*'SHWLP-Att'!$AR$4</f>
        <v>0.1083475656389043</v>
      </c>
      <c r="P145" s="1205">
        <f>('SHWLP-Att'!$AC$36*(P59/$AE$59))/P59/'SHWLP-Att'!$Y$36*'SHWLP-Att'!$AR$4</f>
        <v>0.1083475656389043</v>
      </c>
      <c r="Q145" s="1205">
        <f>('SHWLP-Att'!$AC$36*(Q59/$AE$59))/Q59/'SHWLP-Att'!$Y$36*'SHWLP-Att'!$AR$4</f>
        <v>0.10834756563890431</v>
      </c>
      <c r="R145" s="1205">
        <f>('SHWLP-Att'!$AC$36*(R59/$AE$59))/R59/'SHWLP-Att'!$Y$36*'SHWLP-Att'!$AR$4</f>
        <v>0.1083475656389043</v>
      </c>
      <c r="S145" s="1205">
        <f>('SHWLP-Att'!$AC$36*(S59/$AE$59))/S59/'SHWLP-Att'!$Y$36*'SHWLP-Att'!$AR$4</f>
        <v>0.10834756563890431</v>
      </c>
      <c r="T145" s="1205">
        <f>('SHWLP-Att'!$AC$36*(T59/$AE$59))/T59/'SHWLP-Att'!$Y$36*'SHWLP-Att'!$AR$4</f>
        <v>0.10834756563890431</v>
      </c>
      <c r="U145" s="1205">
        <f>('SHWLP-Att'!$AC$36*(U59/$AE$59))/U59/'SHWLP-Att'!$Y$36*'SHWLP-Att'!$AR$4</f>
        <v>0.1083475656389043</v>
      </c>
      <c r="V145" s="1205">
        <f>('SHWLP-Att'!$AC$36*(V59/$AE$59))/V59/'SHWLP-Att'!$Y$36*'SHWLP-Att'!$AR$4</f>
        <v>0.1083475656389043</v>
      </c>
      <c r="W145" s="1205">
        <f>('SHWLP-Att'!$AC$36*(W59/$AE$59))/W59/'SHWLP-Att'!$Y$36*'SHWLP-Att'!$AR$4</f>
        <v>0.10834756563890431</v>
      </c>
      <c r="X145" s="1205">
        <f>('SHWLP-Att'!$AC$36*(X59/$AE$59))/X59/'SHWLP-Att'!$Y$36*'SHWLP-Att'!$AR$4</f>
        <v>0.10834756563890431</v>
      </c>
      <c r="Y145" s="1205">
        <f>('SHWLP-Att'!$AC$36*(Y59/$AE$59))/Y59/'SHWLP-Att'!$Y$36*'SHWLP-Att'!$AR$4</f>
        <v>0.10834756563890433</v>
      </c>
      <c r="Z145" s="1205">
        <f>('SHWLP-Att'!$AC$36*(Z59/$AE$59))/Z59/'SHWLP-Att'!$Y$36*'SHWLP-Att'!$AR$4</f>
        <v>0.10834756563890431</v>
      </c>
      <c r="AA145" s="1205">
        <f>('SHWLP-Att'!$AC$36*(AA59/$AE$59))/AA59/'SHWLP-Att'!$Y$36*'SHWLP-Att'!$AR$4</f>
        <v>0.10834756563890431</v>
      </c>
      <c r="AB145" s="1205">
        <f>('SHWLP-Att'!$AC$36*(AB59/$AE$59))/AB59/'SHWLP-Att'!$Y$36*'SHWLP-Att'!$AR$4</f>
        <v>0.1083475656389043</v>
      </c>
      <c r="AC145" s="1205">
        <f>('SHWLP-Att'!$AC$36*(AC59/$AE$59))/AC59/'SHWLP-Att'!$Y$36*'SHWLP-Att'!$AR$4</f>
        <v>0.10834756563890433</v>
      </c>
      <c r="AD145" s="1205">
        <f>('SHWLP-Att'!$AC$36*(AD59/$AE$59))/AD59/'SHWLP-Att'!$Y$36*'SHWLP-Att'!$AR$4</f>
        <v>0.1083475656389043</v>
      </c>
      <c r="AE145" s="1205">
        <f>('SHWLP-Att'!$AC$36*(AE59/$AE$59))/AE59/'SHWLP-Att'!$Y$36*'SHWLP-Att'!$AR$4</f>
        <v>0.1083475656389043</v>
      </c>
      <c r="AF145" s="1191"/>
      <c r="AG145" s="1191"/>
      <c r="AH145" s="1191"/>
    </row>
    <row r="146" spans="3:34" s="1190" customFormat="1">
      <c r="C146" s="1204" t="s">
        <v>1141</v>
      </c>
      <c r="D146" s="1204" t="s">
        <v>1094</v>
      </c>
      <c r="E146" s="1208">
        <f>('SHWLP-Att'!$AC$11*(E67/$AE$67))/E67/'SHWLP-Att'!$Y$11*'SHWLP-Att'!$AR$4</f>
        <v>4.0532301618876602E-2</v>
      </c>
      <c r="F146" s="1208">
        <f>('SHWLP-Att'!$AC$11*(F67/$AE$67))/F67/'SHWLP-Att'!$Y$11*'SHWLP-Att'!$AR$4</f>
        <v>4.0532301618876602E-2</v>
      </c>
      <c r="G146" s="1208">
        <f>('SHWLP-Att'!$AC$11*(G67/$AE$67))/G67/'SHWLP-Att'!$Y$11*'SHWLP-Att'!$AR$4</f>
        <v>4.0532301618876609E-2</v>
      </c>
      <c r="H146" s="1208">
        <f>('SHWLP-Att'!$AC$11*(H67/$AE$67))/H67/'SHWLP-Att'!$Y$11*'SHWLP-Att'!$AR$4</f>
        <v>4.0532301618876602E-2</v>
      </c>
      <c r="I146" s="1208">
        <f>('SHWLP-Att'!$AC$11*(I67/$AE$67))/I67/'SHWLP-Att'!$Y$11*'SHWLP-Att'!$AR$4</f>
        <v>4.0532301618876602E-2</v>
      </c>
      <c r="J146" s="1208">
        <f>('SHWLP-Att'!$AC$11*(J67/$AE$67))/J67/'SHWLP-Att'!$Y$11*'SHWLP-Att'!$AR$4</f>
        <v>4.0532301618876602E-2</v>
      </c>
      <c r="K146" s="1208">
        <f>('SHWLP-Att'!$AC$11*(K67/$AE$67))/K67/'SHWLP-Att'!$Y$11*'SHWLP-Att'!$AR$4</f>
        <v>4.0532301618876602E-2</v>
      </c>
      <c r="L146" s="1208">
        <f>('SHWLP-Att'!$AC$11*(L67/$AE$67))/L67/'SHWLP-Att'!$Y$11*'SHWLP-Att'!$AR$4</f>
        <v>4.0532301618876602E-2</v>
      </c>
      <c r="M146" s="1208">
        <f>('SHWLP-Att'!$AC$11*(M67/$AE$67))/M67/'SHWLP-Att'!$Y$11*'SHWLP-Att'!$AR$4</f>
        <v>4.0532301618876602E-2</v>
      </c>
      <c r="N146" s="1208">
        <f>('SHWLP-Att'!$AC$11*(N67/$AE$67))/N67/'SHWLP-Att'!$Y$11*'SHWLP-Att'!$AR$4</f>
        <v>4.0532301618876602E-2</v>
      </c>
      <c r="O146" s="1208">
        <f>('SHWLP-Att'!$AC$11*(O67/$AE$67))/O67/'SHWLP-Att'!$Y$11*'SHWLP-Att'!$AR$4</f>
        <v>4.0532301618876602E-2</v>
      </c>
      <c r="P146" s="1208">
        <f>('SHWLP-Att'!$AC$11*(P67/$AE$67))/P67/'SHWLP-Att'!$Y$11*'SHWLP-Att'!$AR$4</f>
        <v>4.0532301618876602E-2</v>
      </c>
      <c r="Q146" s="1208">
        <f>('SHWLP-Att'!$AC$11*(Q67/$AE$67))/Q67/'SHWLP-Att'!$Y$11*'SHWLP-Att'!$AR$4</f>
        <v>4.0532301618876602E-2</v>
      </c>
      <c r="R146" s="1208">
        <f>('SHWLP-Att'!$AC$11*(R67/$AE$67))/R67/'SHWLP-Att'!$Y$11*'SHWLP-Att'!$AR$4</f>
        <v>4.0532301618876602E-2</v>
      </c>
      <c r="S146" s="1208">
        <f>('SHWLP-Att'!$AC$11*(S67/$AE$67))/S67/'SHWLP-Att'!$Y$11*'SHWLP-Att'!$AR$4</f>
        <v>4.0532301618876602E-2</v>
      </c>
      <c r="T146" s="1208">
        <f>('SHWLP-Att'!$AC$11*(T67/$AE$67))/T67/'SHWLP-Att'!$Y$11*'SHWLP-Att'!$AR$4</f>
        <v>4.0532301618876609E-2</v>
      </c>
      <c r="U146" s="1208">
        <f>('SHWLP-Att'!$AC$11*(U67/$AE$67))/U67/'SHWLP-Att'!$Y$11*'SHWLP-Att'!$AR$4</f>
        <v>4.0532301618876602E-2</v>
      </c>
      <c r="V146" s="1208">
        <f>('SHWLP-Att'!$AC$11*(V67/$AE$67))/V67/'SHWLP-Att'!$Y$11*'SHWLP-Att'!$AR$4</f>
        <v>4.0532301618876602E-2</v>
      </c>
      <c r="W146" s="1208">
        <f>('SHWLP-Att'!$AC$11*(W67/$AE$67))/W67/'SHWLP-Att'!$Y$11*'SHWLP-Att'!$AR$4</f>
        <v>4.0532301618876602E-2</v>
      </c>
      <c r="X146" s="1208">
        <f>('SHWLP-Att'!$AC$11*(X67/$AE$67))/X67/'SHWLP-Att'!$Y$11*'SHWLP-Att'!$AR$4</f>
        <v>4.0532301618876602E-2</v>
      </c>
      <c r="Y146" s="1208">
        <f>('SHWLP-Att'!$AC$11*(Y67/$AE$67))/Y67/'SHWLP-Att'!$Y$11*'SHWLP-Att'!$AR$4</f>
        <v>4.0532301618876602E-2</v>
      </c>
      <c r="Z146" s="1208">
        <f>('SHWLP-Att'!$AC$11*(Z67/$AE$67))/Z67/'SHWLP-Att'!$Y$11*'SHWLP-Att'!$AR$4</f>
        <v>4.0532301618876602E-2</v>
      </c>
      <c r="AA146" s="1208">
        <f>('SHWLP-Att'!$AC$11*(AA67/$AE$67))/AA67/'SHWLP-Att'!$Y$11*'SHWLP-Att'!$AR$4</f>
        <v>4.0532301618876602E-2</v>
      </c>
      <c r="AB146" s="1208">
        <f>('SHWLP-Att'!$AC$11*(AB67/$AE$67))/AB67/'SHWLP-Att'!$Y$11*'SHWLP-Att'!$AR$4</f>
        <v>4.0532301618876602E-2</v>
      </c>
      <c r="AC146" s="1208">
        <f>('SHWLP-Att'!$AC$11*(AC67/$AE$67))/AC67/'SHWLP-Att'!$Y$11*'SHWLP-Att'!$AR$4</f>
        <v>4.0532301618876602E-2</v>
      </c>
      <c r="AD146" s="1208">
        <f>('SHWLP-Att'!$AC$11*(AD67/$AE$67))/AD67/'SHWLP-Att'!$Y$11*'SHWLP-Att'!$AR$4</f>
        <v>4.0532301618876596E-2</v>
      </c>
      <c r="AE146" s="1208">
        <f>('SHWLP-Att'!$AC$11*(AE67/$AE$67))/AE67/'SHWLP-Att'!$Y$11*'SHWLP-Att'!$AR$4</f>
        <v>4.0532301618876602E-2</v>
      </c>
      <c r="AF146" s="1191"/>
      <c r="AG146" s="1191"/>
      <c r="AH146" s="1191"/>
    </row>
    <row r="147" spans="3:34" s="1190" customFormat="1">
      <c r="C147" s="1205" t="s">
        <v>1142</v>
      </c>
      <c r="D147" s="1205" t="s">
        <v>1094</v>
      </c>
      <c r="E147" s="1205">
        <f>('SHWLP-Att'!$AC$37*(E68/$AE$68))/E68/'SHWLP-Att'!$Y$37*'SHWLP-Att'!$AR$4</f>
        <v>7.0492508379347424E-2</v>
      </c>
      <c r="F147" s="1205">
        <f>('SHWLP-Att'!$AC$37*(F68/$AE$68))/F68/'SHWLP-Att'!$Y$37*'SHWLP-Att'!$AR$4</f>
        <v>7.049250837934741E-2</v>
      </c>
      <c r="G147" s="1205">
        <f>('SHWLP-Att'!$AC$37*(G68/$AE$68))/G68/'SHWLP-Att'!$Y$37*'SHWLP-Att'!$AR$4</f>
        <v>7.0492508379347424E-2</v>
      </c>
      <c r="H147" s="1205">
        <f>('SHWLP-Att'!$AC$37*(H68/$AE$68))/H68/'SHWLP-Att'!$Y$37*'SHWLP-Att'!$AR$4</f>
        <v>7.049250837934741E-2</v>
      </c>
      <c r="I147" s="1205">
        <f>('SHWLP-Att'!$AC$37*(I68/$AE$68))/I68/'SHWLP-Att'!$Y$37*'SHWLP-Att'!$AR$4</f>
        <v>7.0492508379347424E-2</v>
      </c>
      <c r="J147" s="1205">
        <f>('SHWLP-Att'!$AC$37*(J68/$AE$68))/J68/'SHWLP-Att'!$Y$37*'SHWLP-Att'!$AR$4</f>
        <v>7.0492508379347424E-2</v>
      </c>
      <c r="K147" s="1205">
        <f>('SHWLP-Att'!$AC$37*(K68/$AE$68))/K68/'SHWLP-Att'!$Y$37*'SHWLP-Att'!$AR$4</f>
        <v>7.049250837934741E-2</v>
      </c>
      <c r="L147" s="1205">
        <f>('SHWLP-Att'!$AC$37*(L68/$AE$68))/L68/'SHWLP-Att'!$Y$37*'SHWLP-Att'!$AR$4</f>
        <v>7.049250837934741E-2</v>
      </c>
      <c r="M147" s="1205">
        <f>('SHWLP-Att'!$AC$37*(M68/$AE$68))/M68/'SHWLP-Att'!$Y$37*'SHWLP-Att'!$AR$4</f>
        <v>7.049250837934741E-2</v>
      </c>
      <c r="N147" s="1205">
        <f>('SHWLP-Att'!$AC$37*(N68/$AE$68))/N68/'SHWLP-Att'!$Y$37*'SHWLP-Att'!$AR$4</f>
        <v>7.049250837934741E-2</v>
      </c>
      <c r="O147" s="1205">
        <f>('SHWLP-Att'!$AC$37*(O68/$AE$68))/O68/'SHWLP-Att'!$Y$37*'SHWLP-Att'!$AR$4</f>
        <v>7.049250837934741E-2</v>
      </c>
      <c r="P147" s="1205">
        <f>('SHWLP-Att'!$AC$37*(P68/$AE$68))/P68/'SHWLP-Att'!$Y$37*'SHWLP-Att'!$AR$4</f>
        <v>7.0492508379347424E-2</v>
      </c>
      <c r="Q147" s="1205">
        <f>('SHWLP-Att'!$AC$37*(Q68/$AE$68))/Q68/'SHWLP-Att'!$Y$37*'SHWLP-Att'!$AR$4</f>
        <v>7.049250837934741E-2</v>
      </c>
      <c r="R147" s="1205">
        <f>('SHWLP-Att'!$AC$37*(R68/$AE$68))/R68/'SHWLP-Att'!$Y$37*'SHWLP-Att'!$AR$4</f>
        <v>7.0492508379347424E-2</v>
      </c>
      <c r="S147" s="1205">
        <f>('SHWLP-Att'!$AC$37*(S68/$AE$68))/S68/'SHWLP-Att'!$Y$37*'SHWLP-Att'!$AR$4</f>
        <v>7.049250837934741E-2</v>
      </c>
      <c r="T147" s="1205">
        <f>('SHWLP-Att'!$AC$37*(T68/$AE$68))/T68/'SHWLP-Att'!$Y$37*'SHWLP-Att'!$AR$4</f>
        <v>7.0492508379347424E-2</v>
      </c>
      <c r="U147" s="1205">
        <f>('SHWLP-Att'!$AC$37*(U68/$AE$68))/U68/'SHWLP-Att'!$Y$37*'SHWLP-Att'!$AR$4</f>
        <v>7.0492508379347424E-2</v>
      </c>
      <c r="V147" s="1205">
        <f>('SHWLP-Att'!$AC$37*(V68/$AE$68))/V68/'SHWLP-Att'!$Y$37*'SHWLP-Att'!$AR$4</f>
        <v>7.0492508379347424E-2</v>
      </c>
      <c r="W147" s="1205">
        <f>('SHWLP-Att'!$AC$37*(W68/$AE$68))/W68/'SHWLP-Att'!$Y$37*'SHWLP-Att'!$AR$4</f>
        <v>7.0492508379347424E-2</v>
      </c>
      <c r="X147" s="1205">
        <f>('SHWLP-Att'!$AC$37*(X68/$AE$68))/X68/'SHWLP-Att'!$Y$37*'SHWLP-Att'!$AR$4</f>
        <v>7.049250837934741E-2</v>
      </c>
      <c r="Y147" s="1205">
        <f>('SHWLP-Att'!$AC$37*(Y68/$AE$68))/Y68/'SHWLP-Att'!$Y$37*'SHWLP-Att'!$AR$4</f>
        <v>7.049250837934741E-2</v>
      </c>
      <c r="Z147" s="1205">
        <f>('SHWLP-Att'!$AC$37*(Z68/$AE$68))/Z68/'SHWLP-Att'!$Y$37*'SHWLP-Att'!$AR$4</f>
        <v>7.0492508379347424E-2</v>
      </c>
      <c r="AA147" s="1205">
        <f>('SHWLP-Att'!$AC$37*(AA68/$AE$68))/AA68/'SHWLP-Att'!$Y$37*'SHWLP-Att'!$AR$4</f>
        <v>7.0492508379347424E-2</v>
      </c>
      <c r="AB147" s="1205">
        <f>('SHWLP-Att'!$AC$37*(AB68/$AE$68))/AB68/'SHWLP-Att'!$Y$37*'SHWLP-Att'!$AR$4</f>
        <v>7.0492508379347424E-2</v>
      </c>
      <c r="AC147" s="1205">
        <f>('SHWLP-Att'!$AC$37*(AC68/$AE$68))/AC68/'SHWLP-Att'!$Y$37*'SHWLP-Att'!$AR$4</f>
        <v>7.049250837934741E-2</v>
      </c>
      <c r="AD147" s="1205">
        <f>('SHWLP-Att'!$AC$37*(AD68/$AE$68))/AD68/'SHWLP-Att'!$Y$37*'SHWLP-Att'!$AR$4</f>
        <v>7.0492508379347424E-2</v>
      </c>
      <c r="AE147" s="1205">
        <f>('SHWLP-Att'!$AC$37*(AE68/$AE$68))/AE68/'SHWLP-Att'!$Y$37*'SHWLP-Att'!$AR$4</f>
        <v>7.049250837934741E-2</v>
      </c>
      <c r="AF147" s="1191"/>
      <c r="AG147" s="1191"/>
      <c r="AH147" s="1191"/>
    </row>
    <row r="148" spans="3:34" s="1190" customFormat="1">
      <c r="C148" s="1204" t="s">
        <v>1144</v>
      </c>
      <c r="D148" s="1204" t="s">
        <v>1094</v>
      </c>
      <c r="E148" s="1208">
        <f>('SHWLP-Att'!$AC$12*(E76/$AE$76))/E76/'SHWLP-Att'!$Y$12*'SHWLP-Att'!$AR$4</f>
        <v>2.8576484379305097E-2</v>
      </c>
      <c r="F148" s="1208">
        <f>('SHWLP-Att'!$AC$12*(F76/$AE$76))/F76/'SHWLP-Att'!$Y$12*'SHWLP-Att'!$AR$4</f>
        <v>2.8576484379305097E-2</v>
      </c>
      <c r="G148" s="1208">
        <f>('SHWLP-Att'!$AC$12*(G76/$AE$76))/G76/'SHWLP-Att'!$Y$12*'SHWLP-Att'!$AR$4</f>
        <v>2.8576484379305087E-2</v>
      </c>
      <c r="H148" s="1208">
        <f>('SHWLP-Att'!$AC$12*(H76/$AE$76))/H76/'SHWLP-Att'!$Y$12*'SHWLP-Att'!$AR$4</f>
        <v>2.8576484379305087E-2</v>
      </c>
      <c r="I148" s="1208">
        <f>('SHWLP-Att'!$AC$12*(I76/$AE$76))/I76/'SHWLP-Att'!$Y$12*'SHWLP-Att'!$AR$4</f>
        <v>2.8576484379305097E-2</v>
      </c>
      <c r="J148" s="1208">
        <f>('SHWLP-Att'!$AC$12*(J76/$AE$76))/J76/'SHWLP-Att'!$Y$12*'SHWLP-Att'!$AR$4</f>
        <v>2.8576484379305097E-2</v>
      </c>
      <c r="K148" s="1208">
        <f>('SHWLP-Att'!$AC$12*(K76/$AE$76))/K76/'SHWLP-Att'!$Y$12*'SHWLP-Att'!$AR$4</f>
        <v>2.8576484379305097E-2</v>
      </c>
      <c r="L148" s="1208">
        <f>('SHWLP-Att'!$AC$12*(L76/$AE$76))/L76/'SHWLP-Att'!$Y$12*'SHWLP-Att'!$AR$4</f>
        <v>2.8576484379305097E-2</v>
      </c>
      <c r="M148" s="1208">
        <f>('SHWLP-Att'!$AC$12*(M76/$AE$76))/M76/'SHWLP-Att'!$Y$12*'SHWLP-Att'!$AR$4</f>
        <v>2.8576484379305087E-2</v>
      </c>
      <c r="N148" s="1208">
        <f>('SHWLP-Att'!$AC$12*(N76/$AE$76))/N76/'SHWLP-Att'!$Y$12*'SHWLP-Att'!$AR$4</f>
        <v>2.8576484379305097E-2</v>
      </c>
      <c r="O148" s="1208">
        <f>('SHWLP-Att'!$AC$12*(O76/$AE$76))/O76/'SHWLP-Att'!$Y$12*'SHWLP-Att'!$AR$4</f>
        <v>2.8576484379305097E-2</v>
      </c>
      <c r="P148" s="1208">
        <f>('SHWLP-Att'!$AC$12*(P76/$AE$76))/P76/'SHWLP-Att'!$Y$12*'SHWLP-Att'!$AR$4</f>
        <v>2.8576484379305097E-2</v>
      </c>
      <c r="Q148" s="1208">
        <f>('SHWLP-Att'!$AC$12*(Q76/$AE$76))/Q76/'SHWLP-Att'!$Y$12*'SHWLP-Att'!$AR$4</f>
        <v>2.8576484379305097E-2</v>
      </c>
      <c r="R148" s="1208">
        <f>('SHWLP-Att'!$AC$12*(R76/$AE$76))/R76/'SHWLP-Att'!$Y$12*'SHWLP-Att'!$AR$4</f>
        <v>2.8576484379305097E-2</v>
      </c>
      <c r="S148" s="1208">
        <f>('SHWLP-Att'!$AC$12*(S76/$AE$76))/S76/'SHWLP-Att'!$Y$12*'SHWLP-Att'!$AR$4</f>
        <v>2.8576484379305097E-2</v>
      </c>
      <c r="T148" s="1208">
        <f>('SHWLP-Att'!$AC$12*(T76/$AE$76))/T76/'SHWLP-Att'!$Y$12*'SHWLP-Att'!$AR$4</f>
        <v>2.8576484379305087E-2</v>
      </c>
      <c r="U148" s="1208">
        <f>('SHWLP-Att'!$AC$12*(U76/$AE$76))/U76/'SHWLP-Att'!$Y$12*'SHWLP-Att'!$AR$4</f>
        <v>2.8576484379305097E-2</v>
      </c>
      <c r="V148" s="1208">
        <f>('SHWLP-Att'!$AC$12*(V76/$AE$76))/V76/'SHWLP-Att'!$Y$12*'SHWLP-Att'!$AR$4</f>
        <v>2.8576484379305097E-2</v>
      </c>
      <c r="W148" s="1208">
        <f>('SHWLP-Att'!$AC$12*(W76/$AE$76))/W76/'SHWLP-Att'!$Y$12*'SHWLP-Att'!$AR$4</f>
        <v>2.8576484379305097E-2</v>
      </c>
      <c r="X148" s="1208">
        <f>('SHWLP-Att'!$AC$12*(X76/$AE$76))/X76/'SHWLP-Att'!$Y$12*'SHWLP-Att'!$AR$4</f>
        <v>2.8576484379305097E-2</v>
      </c>
      <c r="Y148" s="1208">
        <f>('SHWLP-Att'!$AC$12*(Y76/$AE$76))/Y76/'SHWLP-Att'!$Y$12*'SHWLP-Att'!$AR$4</f>
        <v>2.8576484379305097E-2</v>
      </c>
      <c r="Z148" s="1208">
        <f>('SHWLP-Att'!$AC$12*(Z76/$AE$76))/Z76/'SHWLP-Att'!$Y$12*'SHWLP-Att'!$AR$4</f>
        <v>2.8576484379305087E-2</v>
      </c>
      <c r="AA148" s="1208">
        <f>('SHWLP-Att'!$AC$12*(AA76/$AE$76))/AA76/'SHWLP-Att'!$Y$12*'SHWLP-Att'!$AR$4</f>
        <v>2.8576484379305097E-2</v>
      </c>
      <c r="AB148" s="1208">
        <f>('SHWLP-Att'!$AC$12*(AB76/$AE$76))/AB76/'SHWLP-Att'!$Y$12*'SHWLP-Att'!$AR$4</f>
        <v>2.8576484379305087E-2</v>
      </c>
      <c r="AC148" s="1208">
        <f>('SHWLP-Att'!$AC$12*(AC76/$AE$76))/AC76/'SHWLP-Att'!$Y$12*'SHWLP-Att'!$AR$4</f>
        <v>2.8576484379305097E-2</v>
      </c>
      <c r="AD148" s="1208">
        <f>('SHWLP-Att'!$AC$12*(AD76/$AE$76))/AD76/'SHWLP-Att'!$Y$12*'SHWLP-Att'!$AR$4</f>
        <v>2.8576484379305097E-2</v>
      </c>
      <c r="AE148" s="1208">
        <f>('SHWLP-Att'!$AC$12*(AE76/$AE$76))/AE76/'SHWLP-Att'!$Y$12*'SHWLP-Att'!$AR$4</f>
        <v>2.8576484379305097E-2</v>
      </c>
      <c r="AF148" s="1191"/>
      <c r="AG148" s="1191"/>
      <c r="AH148" s="1191"/>
    </row>
    <row r="149" spans="3:34" s="1190" customFormat="1">
      <c r="C149" s="1205" t="s">
        <v>1145</v>
      </c>
      <c r="D149" s="1205" t="s">
        <v>1094</v>
      </c>
      <c r="E149" s="1205">
        <f>('SHWLP-Att'!$AC$38*(E77/$AE$77))/E77/'SHWLP-Att'!$Y$38*'SHWLP-Att'!$AR$4</f>
        <v>0.15633511364349068</v>
      </c>
      <c r="F149" s="1205">
        <f>('SHWLP-Att'!$AC$38*(F77/$AE$77))/F77/'SHWLP-Att'!$Y$38*'SHWLP-Att'!$AR$4</f>
        <v>0.15633511364349068</v>
      </c>
      <c r="G149" s="1205">
        <f>('SHWLP-Att'!$AC$38*(G77/$AE$77))/G77/'SHWLP-Att'!$Y$38*'SHWLP-Att'!$AR$4</f>
        <v>0.1563351136434907</v>
      </c>
      <c r="H149" s="1205">
        <f>('SHWLP-Att'!$AC$38*(H77/$AE$77))/H77/'SHWLP-Att'!$Y$38*'SHWLP-Att'!$AR$4</f>
        <v>0.15633511364349068</v>
      </c>
      <c r="I149" s="1205">
        <f>('SHWLP-Att'!$AC$38*(I77/$AE$77))/I77/'SHWLP-Att'!$Y$38*'SHWLP-Att'!$AR$4</f>
        <v>0.15633511364349068</v>
      </c>
      <c r="J149" s="1205">
        <f>('SHWLP-Att'!$AC$38*(J77/$AE$77))/J77/'SHWLP-Att'!$Y$38*'SHWLP-Att'!$AR$4</f>
        <v>0.1563351136434907</v>
      </c>
      <c r="K149" s="1205">
        <f>('SHWLP-Att'!$AC$38*(K77/$AE$77))/K77/'SHWLP-Att'!$Y$38*'SHWLP-Att'!$AR$4</f>
        <v>0.15633511364349068</v>
      </c>
      <c r="L149" s="1205">
        <f>('SHWLP-Att'!$AC$38*(L77/$AE$77))/L77/'SHWLP-Att'!$Y$38*'SHWLP-Att'!$AR$4</f>
        <v>0.15633511364349068</v>
      </c>
      <c r="M149" s="1205">
        <f>('SHWLP-Att'!$AC$38*(M77/$AE$77))/M77/'SHWLP-Att'!$Y$38*'SHWLP-Att'!$AR$4</f>
        <v>0.1563351136434907</v>
      </c>
      <c r="N149" s="1205">
        <f>('SHWLP-Att'!$AC$38*(N77/$AE$77))/N77/'SHWLP-Att'!$Y$38*'SHWLP-Att'!$AR$4</f>
        <v>0.15633511364349068</v>
      </c>
      <c r="O149" s="1205">
        <f>('SHWLP-Att'!$AC$38*(O77/$AE$77))/O77/'SHWLP-Att'!$Y$38*'SHWLP-Att'!$AR$4</f>
        <v>0.15633511364349068</v>
      </c>
      <c r="P149" s="1205">
        <f>('SHWLP-Att'!$AC$38*(P77/$AE$77))/P77/'SHWLP-Att'!$Y$38*'SHWLP-Att'!$AR$4</f>
        <v>0.1563351136434907</v>
      </c>
      <c r="Q149" s="1205">
        <f>('SHWLP-Att'!$AC$38*(Q77/$AE$77))/Q77/'SHWLP-Att'!$Y$38*'SHWLP-Att'!$AR$4</f>
        <v>0.1563351136434907</v>
      </c>
      <c r="R149" s="1205">
        <f>('SHWLP-Att'!$AC$38*(R77/$AE$77))/R77/'SHWLP-Att'!$Y$38*'SHWLP-Att'!$AR$4</f>
        <v>0.15633511364349068</v>
      </c>
      <c r="S149" s="1205">
        <f>('SHWLP-Att'!$AC$38*(S77/$AE$77))/S77/'SHWLP-Att'!$Y$38*'SHWLP-Att'!$AR$4</f>
        <v>0.1563351136434907</v>
      </c>
      <c r="T149" s="1205">
        <f>('SHWLP-Att'!$AC$38*(T77/$AE$77))/T77/'SHWLP-Att'!$Y$38*'SHWLP-Att'!$AR$4</f>
        <v>0.1563351136434907</v>
      </c>
      <c r="U149" s="1205">
        <f>('SHWLP-Att'!$AC$38*(U77/$AE$77))/U77/'SHWLP-Att'!$Y$38*'SHWLP-Att'!$AR$4</f>
        <v>0.1563351136434907</v>
      </c>
      <c r="V149" s="1205">
        <f>('SHWLP-Att'!$AC$38*(V77/$AE$77))/V77/'SHWLP-Att'!$Y$38*'SHWLP-Att'!$AR$4</f>
        <v>0.15633511364349068</v>
      </c>
      <c r="W149" s="1205">
        <f>('SHWLP-Att'!$AC$38*(W77/$AE$77))/W77/'SHWLP-Att'!$Y$38*'SHWLP-Att'!$AR$4</f>
        <v>0.15633511364349068</v>
      </c>
      <c r="X149" s="1205">
        <f>('SHWLP-Att'!$AC$38*(X77/$AE$77))/X77/'SHWLP-Att'!$Y$38*'SHWLP-Att'!$AR$4</f>
        <v>0.15633511364349068</v>
      </c>
      <c r="Y149" s="1205">
        <f>('SHWLP-Att'!$AC$38*(Y77/$AE$77))/Y77/'SHWLP-Att'!$Y$38*'SHWLP-Att'!$AR$4</f>
        <v>0.1563351136434907</v>
      </c>
      <c r="Z149" s="1205">
        <f>('SHWLP-Att'!$AC$38*(Z77/$AE$77))/Z77/'SHWLP-Att'!$Y$38*'SHWLP-Att'!$AR$4</f>
        <v>0.1563351136434907</v>
      </c>
      <c r="AA149" s="1205">
        <f>('SHWLP-Att'!$AC$38*(AA77/$AE$77))/AA77/'SHWLP-Att'!$Y$38*'SHWLP-Att'!$AR$4</f>
        <v>0.15633511364349068</v>
      </c>
      <c r="AB149" s="1205">
        <f>('SHWLP-Att'!$AC$38*(AB77/$AE$77))/AB77/'SHWLP-Att'!$Y$38*'SHWLP-Att'!$AR$4</f>
        <v>0.15633511364349073</v>
      </c>
      <c r="AC149" s="1205">
        <f>('SHWLP-Att'!$AC$38*(AC77/$AE$77))/AC77/'SHWLP-Att'!$Y$38*'SHWLP-Att'!$AR$4</f>
        <v>0.15633511364349068</v>
      </c>
      <c r="AD149" s="1205">
        <f>('SHWLP-Att'!$AC$38*(AD77/$AE$77))/AD77/'SHWLP-Att'!$Y$38*'SHWLP-Att'!$AR$4</f>
        <v>0.15633511364349068</v>
      </c>
      <c r="AE149" s="1205">
        <f>('SHWLP-Att'!$AC$38*(AE77/$AE$77))/AE77/'SHWLP-Att'!$Y$38*'SHWLP-Att'!$AR$4</f>
        <v>0.1563351136434907</v>
      </c>
      <c r="AF149" s="1191"/>
      <c r="AG149" s="1191"/>
      <c r="AH149" s="1191"/>
    </row>
    <row r="150" spans="3:34" s="1190" customFormat="1">
      <c r="C150" s="1204" t="s">
        <v>1146</v>
      </c>
      <c r="D150" s="1204" t="s">
        <v>1094</v>
      </c>
      <c r="E150" s="1208">
        <f>('SHWLP-Att'!$AC$18*(E85/$AE$85))/E85/'SHWLP-Att'!$Y$18*'SHWLP-Att'!$AR$4</f>
        <v>0.10654691190277016</v>
      </c>
      <c r="F150" s="1208">
        <f>('SHWLP-Att'!$AC$18*(F85/$AE$85))/F85/'SHWLP-Att'!$Y$18*'SHWLP-Att'!$AR$4</f>
        <v>0.10654691190277014</v>
      </c>
      <c r="G150" s="1208">
        <f>('SHWLP-Att'!$AC$18*(G85/$AE$85))/G85/'SHWLP-Att'!$Y$18*'SHWLP-Att'!$AR$4</f>
        <v>0.10654691190277014</v>
      </c>
      <c r="H150" s="1208">
        <f>('SHWLP-Att'!$AC$18*(H85/$AE$85))/H85/'SHWLP-Att'!$Y$18*'SHWLP-Att'!$AR$4</f>
        <v>0.10654691190277014</v>
      </c>
      <c r="I150" s="1208">
        <f>('SHWLP-Att'!$AC$18*(I85/$AE$85))/I85/'SHWLP-Att'!$Y$18*'SHWLP-Att'!$AR$4</f>
        <v>0.10654691190277016</v>
      </c>
      <c r="J150" s="1208">
        <f>('SHWLP-Att'!$AC$18*(J85/$AE$85))/J85/'SHWLP-Att'!$Y$18*'SHWLP-Att'!$AR$4</f>
        <v>0.10654691190277016</v>
      </c>
      <c r="K150" s="1208">
        <f>('SHWLP-Att'!$AC$18*(K85/$AE$85))/K85/'SHWLP-Att'!$Y$18*'SHWLP-Att'!$AR$4</f>
        <v>0.10654691190277017</v>
      </c>
      <c r="L150" s="1208">
        <f>('SHWLP-Att'!$AC$18*(L85/$AE$85))/L85/'SHWLP-Att'!$Y$18*'SHWLP-Att'!$AR$4</f>
        <v>0.10654691190277016</v>
      </c>
      <c r="M150" s="1208">
        <f>('SHWLP-Att'!$AC$18*(M85/$AE$85))/M85/'SHWLP-Att'!$Y$18*'SHWLP-Att'!$AR$4</f>
        <v>0.10654691190277016</v>
      </c>
      <c r="N150" s="1208">
        <f>('SHWLP-Att'!$AC$18*(N85/$AE$85))/N85/'SHWLP-Att'!$Y$18*'SHWLP-Att'!$AR$4</f>
        <v>0.10654691190277014</v>
      </c>
      <c r="O150" s="1208">
        <f>('SHWLP-Att'!$AC$18*(O85/$AE$85))/O85/'SHWLP-Att'!$Y$18*'SHWLP-Att'!$AR$4</f>
        <v>0.10654691190277016</v>
      </c>
      <c r="P150" s="1208">
        <f>('SHWLP-Att'!$AC$18*(P85/$AE$85))/P85/'SHWLP-Att'!$Y$18*'SHWLP-Att'!$AR$4</f>
        <v>0.10654691190277016</v>
      </c>
      <c r="Q150" s="1208">
        <f>('SHWLP-Att'!$AC$18*(Q85/$AE$85))/Q85/'SHWLP-Att'!$Y$18*'SHWLP-Att'!$AR$4</f>
        <v>0.10654691190277014</v>
      </c>
      <c r="R150" s="1208">
        <f>('SHWLP-Att'!$AC$18*(R85/$AE$85))/R85/'SHWLP-Att'!$Y$18*'SHWLP-Att'!$AR$4</f>
        <v>0.10654691190277014</v>
      </c>
      <c r="S150" s="1208">
        <f>('SHWLP-Att'!$AC$18*(S85/$AE$85))/S85/'SHWLP-Att'!$Y$18*'SHWLP-Att'!$AR$4</f>
        <v>0.10654691190277014</v>
      </c>
      <c r="T150" s="1208">
        <f>('SHWLP-Att'!$AC$18*(T85/$AE$85))/T85/'SHWLP-Att'!$Y$18*'SHWLP-Att'!$AR$4</f>
        <v>0.10654691190277016</v>
      </c>
      <c r="U150" s="1208">
        <f>('SHWLP-Att'!$AC$18*(U85/$AE$85))/U85/'SHWLP-Att'!$Y$18*'SHWLP-Att'!$AR$4</f>
        <v>0.10654691190277014</v>
      </c>
      <c r="V150" s="1208">
        <f>('SHWLP-Att'!$AC$18*(V85/$AE$85))/V85/'SHWLP-Att'!$Y$18*'SHWLP-Att'!$AR$4</f>
        <v>0.10654691190277017</v>
      </c>
      <c r="W150" s="1208">
        <f>('SHWLP-Att'!$AC$18*(W85/$AE$85))/W85/'SHWLP-Att'!$Y$18*'SHWLP-Att'!$AR$4</f>
        <v>0.10654691190277014</v>
      </c>
      <c r="X150" s="1208">
        <f>('SHWLP-Att'!$AC$18*(X85/$AE$85))/X85/'SHWLP-Att'!$Y$18*'SHWLP-Att'!$AR$4</f>
        <v>0.10654691190277016</v>
      </c>
      <c r="Y150" s="1208">
        <f>('SHWLP-Att'!$AC$18*(Y85/$AE$85))/Y85/'SHWLP-Att'!$Y$18*'SHWLP-Att'!$AR$4</f>
        <v>0.10654691190277016</v>
      </c>
      <c r="Z150" s="1208">
        <f>('SHWLP-Att'!$AC$18*(Z85/$AE$85))/Z85/'SHWLP-Att'!$Y$18*'SHWLP-Att'!$AR$4</f>
        <v>0.10654691190277014</v>
      </c>
      <c r="AA150" s="1208">
        <f>('SHWLP-Att'!$AC$18*(AA85/$AE$85))/AA85/'SHWLP-Att'!$Y$18*'SHWLP-Att'!$AR$4</f>
        <v>0.10654691190277016</v>
      </c>
      <c r="AB150" s="1208">
        <f>('SHWLP-Att'!$AC$18*(AB85/$AE$85))/AB85/'SHWLP-Att'!$Y$18*'SHWLP-Att'!$AR$4</f>
        <v>0.10654691190277014</v>
      </c>
      <c r="AC150" s="1208">
        <f>('SHWLP-Att'!$AC$18*(AC85/$AE$85))/AC85/'SHWLP-Att'!$Y$18*'SHWLP-Att'!$AR$4</f>
        <v>0.10654691190277014</v>
      </c>
      <c r="AD150" s="1208">
        <f>('SHWLP-Att'!$AC$18*(AD85/$AE$85))/AD85/'SHWLP-Att'!$Y$18*'SHWLP-Att'!$AR$4</f>
        <v>0.10654691190277016</v>
      </c>
      <c r="AE150" s="1208">
        <f>('SHWLP-Att'!$AC$18*(AE85/$AE$85))/AE85/'SHWLP-Att'!$Y$18*'SHWLP-Att'!$AR$4</f>
        <v>0.10654691190277014</v>
      </c>
      <c r="AF150" s="1191"/>
      <c r="AG150" s="1191"/>
      <c r="AH150" s="1191"/>
    </row>
    <row r="151" spans="3:34" s="1190" customFormat="1">
      <c r="C151" s="1205" t="s">
        <v>1147</v>
      </c>
      <c r="D151" s="1205" t="s">
        <v>1094</v>
      </c>
      <c r="E151" s="1205">
        <f>('SHWLP-Att'!$AC$44*(E86/$AE$86))/E86/'SHWLP-Att'!$Y$44*'SHWLP-Att'!$AR$4</f>
        <v>9.3753800076472826E-2</v>
      </c>
      <c r="F151" s="1205">
        <f>('SHWLP-Att'!$AC$44*(F86/$AE$86))/F86/'SHWLP-Att'!$Y$44*'SHWLP-Att'!$AR$4</f>
        <v>9.3753800076472812E-2</v>
      </c>
      <c r="G151" s="1205">
        <f>('SHWLP-Att'!$AC$44*(G86/$AE$86))/G86/'SHWLP-Att'!$Y$44*'SHWLP-Att'!$AR$4</f>
        <v>9.3753800076472826E-2</v>
      </c>
      <c r="H151" s="1205">
        <f>('SHWLP-Att'!$AC$44*(H86/$AE$86))/H86/'SHWLP-Att'!$Y$44*'SHWLP-Att'!$AR$4</f>
        <v>9.3753800076472826E-2</v>
      </c>
      <c r="I151" s="1205">
        <f>('SHWLP-Att'!$AC$44*(I86/$AE$86))/I86/'SHWLP-Att'!$Y$44*'SHWLP-Att'!$AR$4</f>
        <v>9.3753800076472826E-2</v>
      </c>
      <c r="J151" s="1205">
        <f>('SHWLP-Att'!$AC$44*(J86/$AE$86))/J86/'SHWLP-Att'!$Y$44*'SHWLP-Att'!$AR$4</f>
        <v>9.3753800076472826E-2</v>
      </c>
      <c r="K151" s="1205">
        <f>('SHWLP-Att'!$AC$44*(K86/$AE$86))/K86/'SHWLP-Att'!$Y$44*'SHWLP-Att'!$AR$4</f>
        <v>9.3753800076472812E-2</v>
      </c>
      <c r="L151" s="1205">
        <f>('SHWLP-Att'!$AC$44*(L86/$AE$86))/L86/'SHWLP-Att'!$Y$44*'SHWLP-Att'!$AR$4</f>
        <v>9.3753800076472826E-2</v>
      </c>
      <c r="M151" s="1205">
        <f>('SHWLP-Att'!$AC$44*(M86/$AE$86))/M86/'SHWLP-Att'!$Y$44*'SHWLP-Att'!$AR$4</f>
        <v>9.3753800076472826E-2</v>
      </c>
      <c r="N151" s="1205">
        <f>('SHWLP-Att'!$AC$44*(N86/$AE$86))/N86/'SHWLP-Att'!$Y$44*'SHWLP-Att'!$AR$4</f>
        <v>9.3753800076472826E-2</v>
      </c>
      <c r="O151" s="1205">
        <f>('SHWLP-Att'!$AC$44*(O86/$AE$86))/O86/'SHWLP-Att'!$Y$44*'SHWLP-Att'!$AR$4</f>
        <v>9.3753800076472826E-2</v>
      </c>
      <c r="P151" s="1205">
        <f>('SHWLP-Att'!$AC$44*(P86/$AE$86))/P86/'SHWLP-Att'!$Y$44*'SHWLP-Att'!$AR$4</f>
        <v>9.3753800076472826E-2</v>
      </c>
      <c r="Q151" s="1205">
        <f>('SHWLP-Att'!$AC$44*(Q86/$AE$86))/Q86/'SHWLP-Att'!$Y$44*'SHWLP-Att'!$AR$4</f>
        <v>9.3753800076472826E-2</v>
      </c>
      <c r="R151" s="1205">
        <f>('SHWLP-Att'!$AC$44*(R86/$AE$86))/R86/'SHWLP-Att'!$Y$44*'SHWLP-Att'!$AR$4</f>
        <v>9.3753800076472812E-2</v>
      </c>
      <c r="S151" s="1205">
        <f>('SHWLP-Att'!$AC$44*(S86/$AE$86))/S86/'SHWLP-Att'!$Y$44*'SHWLP-Att'!$AR$4</f>
        <v>9.3753800076472826E-2</v>
      </c>
      <c r="T151" s="1205">
        <f>('SHWLP-Att'!$AC$44*(T86/$AE$86))/T86/'SHWLP-Att'!$Y$44*'SHWLP-Att'!$AR$4</f>
        <v>9.3753800076472812E-2</v>
      </c>
      <c r="U151" s="1205">
        <f>('SHWLP-Att'!$AC$44*(U86/$AE$86))/U86/'SHWLP-Att'!$Y$44*'SHWLP-Att'!$AR$4</f>
        <v>9.3753800076472826E-2</v>
      </c>
      <c r="V151" s="1205">
        <f>('SHWLP-Att'!$AC$44*(V86/$AE$86))/V86/'SHWLP-Att'!$Y$44*'SHWLP-Att'!$AR$4</f>
        <v>9.3753800076472826E-2</v>
      </c>
      <c r="W151" s="1205">
        <f>('SHWLP-Att'!$AC$44*(W86/$AE$86))/W86/'SHWLP-Att'!$Y$44*'SHWLP-Att'!$AR$4</f>
        <v>9.3753800076472812E-2</v>
      </c>
      <c r="X151" s="1205">
        <f>('SHWLP-Att'!$AC$44*(X86/$AE$86))/X86/'SHWLP-Att'!$Y$44*'SHWLP-Att'!$AR$4</f>
        <v>9.3753800076472826E-2</v>
      </c>
      <c r="Y151" s="1205">
        <f>('SHWLP-Att'!$AC$44*(Y86/$AE$86))/Y86/'SHWLP-Att'!$Y$44*'SHWLP-Att'!$AR$4</f>
        <v>9.3753800076472826E-2</v>
      </c>
      <c r="Z151" s="1205">
        <f>('SHWLP-Att'!$AC$44*(Z86/$AE$86))/Z86/'SHWLP-Att'!$Y$44*'SHWLP-Att'!$AR$4</f>
        <v>9.3753800076472812E-2</v>
      </c>
      <c r="AA151" s="1205">
        <f>('SHWLP-Att'!$AC$44*(AA86/$AE$86))/AA86/'SHWLP-Att'!$Y$44*'SHWLP-Att'!$AR$4</f>
        <v>9.3753800076472812E-2</v>
      </c>
      <c r="AB151" s="1205">
        <f>('SHWLP-Att'!$AC$44*(AB86/$AE$86))/AB86/'SHWLP-Att'!$Y$44*'SHWLP-Att'!$AR$4</f>
        <v>9.3753800076472826E-2</v>
      </c>
      <c r="AC151" s="1205">
        <f>('SHWLP-Att'!$AC$44*(AC86/$AE$86))/AC86/'SHWLP-Att'!$Y$44*'SHWLP-Att'!$AR$4</f>
        <v>9.3753800076472812E-2</v>
      </c>
      <c r="AD151" s="1205">
        <f>('SHWLP-Att'!$AC$44*(AD86/$AE$86))/AD86/'SHWLP-Att'!$Y$44*'SHWLP-Att'!$AR$4</f>
        <v>9.3753800076472826E-2</v>
      </c>
      <c r="AE151" s="1205">
        <f>('SHWLP-Att'!$AC$44*(AE86/$AE$86))/AE86/'SHWLP-Att'!$Y$44*'SHWLP-Att'!$AR$4</f>
        <v>9.3753800076472826E-2</v>
      </c>
      <c r="AF151" s="1191"/>
      <c r="AG151" s="1191"/>
      <c r="AH151" s="1191"/>
    </row>
    <row r="152" spans="3:34" s="1190" customFormat="1">
      <c r="C152" s="1204" t="s">
        <v>1155</v>
      </c>
      <c r="D152" s="1204" t="s">
        <v>1094</v>
      </c>
      <c r="E152" s="1208">
        <f>('SHWLP-Att'!$AC$20*(E94/$AE$94))/E94/'SHWLP-Att'!$Y$20*'SHWLP-Att'!$AR$4</f>
        <v>1.5418408833120173E-2</v>
      </c>
      <c r="F152" s="1208">
        <f>('SHWLP-Att'!$AC$20*(F94/$AE$94))/F94/'SHWLP-Att'!$Y$20*'SHWLP-Att'!$AR$4</f>
        <v>1.5418408833120173E-2</v>
      </c>
      <c r="G152" s="1208">
        <f>('SHWLP-Att'!$AC$20*(G94/$AE$94))/G94/'SHWLP-Att'!$Y$20*'SHWLP-Att'!$AR$4</f>
        <v>1.5418408833120173E-2</v>
      </c>
      <c r="H152" s="1208">
        <f>('SHWLP-Att'!$AC$20*(H94/$AE$94))/H94/'SHWLP-Att'!$Y$20*'SHWLP-Att'!$AR$4</f>
        <v>1.5418408833120173E-2</v>
      </c>
      <c r="I152" s="1208">
        <f>('SHWLP-Att'!$AC$20*(I94/$AE$94))/I94/'SHWLP-Att'!$Y$20*'SHWLP-Att'!$AR$4</f>
        <v>1.5418408833120173E-2</v>
      </c>
      <c r="J152" s="1208">
        <f>('SHWLP-Att'!$AC$20*(J94/$AE$94))/J94/'SHWLP-Att'!$Y$20*'SHWLP-Att'!$AR$4</f>
        <v>1.5418408833120173E-2</v>
      </c>
      <c r="K152" s="1208">
        <f>('SHWLP-Att'!$AC$20*(K94/$AE$94))/K94/'SHWLP-Att'!$Y$20*'SHWLP-Att'!$AR$4</f>
        <v>1.541840883312017E-2</v>
      </c>
      <c r="L152" s="1208">
        <f>('SHWLP-Att'!$AC$20*(L94/$AE$94))/L94/'SHWLP-Att'!$Y$20*'SHWLP-Att'!$AR$4</f>
        <v>1.5418408833120173E-2</v>
      </c>
      <c r="M152" s="1208">
        <f>('SHWLP-Att'!$AC$20*(M94/$AE$94))/M94/'SHWLP-Att'!$Y$20*'SHWLP-Att'!$AR$4</f>
        <v>1.5418408833120173E-2</v>
      </c>
      <c r="N152" s="1208">
        <f>('SHWLP-Att'!$AC$20*(N94/$AE$94))/N94/'SHWLP-Att'!$Y$20*'SHWLP-Att'!$AR$4</f>
        <v>1.5418408833120173E-2</v>
      </c>
      <c r="O152" s="1208">
        <f>('SHWLP-Att'!$AC$20*(O94/$AE$94))/O94/'SHWLP-Att'!$Y$20*'SHWLP-Att'!$AR$4</f>
        <v>1.5418408833120173E-2</v>
      </c>
      <c r="P152" s="1208">
        <f>('SHWLP-Att'!$AC$20*(P94/$AE$94))/P94/'SHWLP-Att'!$Y$20*'SHWLP-Att'!$AR$4</f>
        <v>1.5418408833120173E-2</v>
      </c>
      <c r="Q152" s="1208">
        <f>('SHWLP-Att'!$AC$20*(Q94/$AE$94))/Q94/'SHWLP-Att'!$Y$20*'SHWLP-Att'!$AR$4</f>
        <v>1.5418408833120173E-2</v>
      </c>
      <c r="R152" s="1208">
        <f>('SHWLP-Att'!$AC$20*(R94/$AE$94))/R94/'SHWLP-Att'!$Y$20*'SHWLP-Att'!$AR$4</f>
        <v>1.5418408833120173E-2</v>
      </c>
      <c r="S152" s="1208">
        <f>('SHWLP-Att'!$AC$20*(S94/$AE$94))/S94/'SHWLP-Att'!$Y$20*'SHWLP-Att'!$AR$4</f>
        <v>1.5418408833120173E-2</v>
      </c>
      <c r="T152" s="1208">
        <f>('SHWLP-Att'!$AC$20*(T94/$AE$94))/T94/'SHWLP-Att'!$Y$20*'SHWLP-Att'!$AR$4</f>
        <v>1.5418408833120173E-2</v>
      </c>
      <c r="U152" s="1208">
        <f>('SHWLP-Att'!$AC$20*(U94/$AE$94))/U94/'SHWLP-Att'!$Y$20*'SHWLP-Att'!$AR$4</f>
        <v>1.5418408833120173E-2</v>
      </c>
      <c r="V152" s="1208">
        <f>('SHWLP-Att'!$AC$20*(V94/$AE$94))/V94/'SHWLP-Att'!$Y$20*'SHWLP-Att'!$AR$4</f>
        <v>1.5418408833120173E-2</v>
      </c>
      <c r="W152" s="1208">
        <f>('SHWLP-Att'!$AC$20*(W94/$AE$94))/W94/'SHWLP-Att'!$Y$20*'SHWLP-Att'!$AR$4</f>
        <v>1.5418408833120173E-2</v>
      </c>
      <c r="X152" s="1208">
        <f>('SHWLP-Att'!$AC$20*(X94/$AE$94))/X94/'SHWLP-Att'!$Y$20*'SHWLP-Att'!$AR$4</f>
        <v>1.5418408833120175E-2</v>
      </c>
      <c r="Y152" s="1208">
        <f>('SHWLP-Att'!$AC$20*(Y94/$AE$94))/Y94/'SHWLP-Att'!$Y$20*'SHWLP-Att'!$AR$4</f>
        <v>1.5418408833120173E-2</v>
      </c>
      <c r="Z152" s="1208">
        <f>('SHWLP-Att'!$AC$20*(Z94/$AE$94))/Z94/'SHWLP-Att'!$Y$20*'SHWLP-Att'!$AR$4</f>
        <v>1.5418408833120175E-2</v>
      </c>
      <c r="AA152" s="1208">
        <f>('SHWLP-Att'!$AC$20*(AA94/$AE$94))/AA94/'SHWLP-Att'!$Y$20*'SHWLP-Att'!$AR$4</f>
        <v>1.5418408833120173E-2</v>
      </c>
      <c r="AB152" s="1208">
        <f>('SHWLP-Att'!$AC$20*(AB94/$AE$94))/AB94/'SHWLP-Att'!$Y$20*'SHWLP-Att'!$AR$4</f>
        <v>1.5418408833120173E-2</v>
      </c>
      <c r="AC152" s="1208">
        <f>('SHWLP-Att'!$AC$20*(AC94/$AE$94))/AC94/'SHWLP-Att'!$Y$20*'SHWLP-Att'!$AR$4</f>
        <v>1.5418408833120173E-2</v>
      </c>
      <c r="AD152" s="1208">
        <f>('SHWLP-Att'!$AC$20*(AD94/$AE$94))/AD94/'SHWLP-Att'!$Y$20*'SHWLP-Att'!$AR$4</f>
        <v>1.5418408833120173E-2</v>
      </c>
      <c r="AE152" s="1208">
        <f>('SHWLP-Att'!$AC$20*(AE94/$AE$94))/AE94/'SHWLP-Att'!$Y$20*'SHWLP-Att'!$AR$4</f>
        <v>1.5418408833120173E-2</v>
      </c>
      <c r="AF152" s="1191"/>
      <c r="AG152" s="1191"/>
      <c r="AH152" s="1191"/>
    </row>
    <row r="153" spans="3:34" s="1190" customFormat="1">
      <c r="C153" s="1205" t="s">
        <v>1156</v>
      </c>
      <c r="D153" s="1205" t="s">
        <v>1094</v>
      </c>
      <c r="E153" s="1205">
        <f>('SHWLP-Att'!$AC$46*(E95/$AE$95))/E95/'SHWLP-Att'!$Y$46*'SHWLP-Att'!$AR$4</f>
        <v>1.2172836562722956E-2</v>
      </c>
      <c r="F153" s="1205">
        <f>('SHWLP-Att'!$AC$46*(F95/$AE$95))/F95/'SHWLP-Att'!$Y$46*'SHWLP-Att'!$AR$4</f>
        <v>1.217283656272296E-2</v>
      </c>
      <c r="G153" s="1205">
        <f>('SHWLP-Att'!$AC$46*(G95/$AE$95))/G95/'SHWLP-Att'!$Y$46*'SHWLP-Att'!$AR$4</f>
        <v>1.2172836562722958E-2</v>
      </c>
      <c r="H153" s="1205">
        <f>('SHWLP-Att'!$AC$46*(H95/$AE$95))/H95/'SHWLP-Att'!$Y$46*'SHWLP-Att'!$AR$4</f>
        <v>1.2172836562722958E-2</v>
      </c>
      <c r="I153" s="1205">
        <f>('SHWLP-Att'!$AC$46*(I95/$AE$95))/I95/'SHWLP-Att'!$Y$46*'SHWLP-Att'!$AR$4</f>
        <v>1.2172836562722958E-2</v>
      </c>
      <c r="J153" s="1205">
        <f>('SHWLP-Att'!$AC$46*(J95/$AE$95))/J95/'SHWLP-Att'!$Y$46*'SHWLP-Att'!$AR$4</f>
        <v>1.2172836562722956E-2</v>
      </c>
      <c r="K153" s="1205">
        <f>('SHWLP-Att'!$AC$46*(K95/$AE$95))/K95/'SHWLP-Att'!$Y$46*'SHWLP-Att'!$AR$4</f>
        <v>1.2172836562722958E-2</v>
      </c>
      <c r="L153" s="1205">
        <f>('SHWLP-Att'!$AC$46*(L95/$AE$95))/L95/'SHWLP-Att'!$Y$46*'SHWLP-Att'!$AR$4</f>
        <v>1.2172836562722956E-2</v>
      </c>
      <c r="M153" s="1205">
        <f>('SHWLP-Att'!$AC$46*(M95/$AE$95))/M95/'SHWLP-Att'!$Y$46*'SHWLP-Att'!$AR$4</f>
        <v>1.2172836562722958E-2</v>
      </c>
      <c r="N153" s="1205">
        <f>('SHWLP-Att'!$AC$46*(N95/$AE$95))/N95/'SHWLP-Att'!$Y$46*'SHWLP-Att'!$AR$4</f>
        <v>1.217283656272296E-2</v>
      </c>
      <c r="O153" s="1205">
        <f>('SHWLP-Att'!$AC$46*(O95/$AE$95))/O95/'SHWLP-Att'!$Y$46*'SHWLP-Att'!$AR$4</f>
        <v>1.2172836562722958E-2</v>
      </c>
      <c r="P153" s="1205">
        <f>('SHWLP-Att'!$AC$46*(P95/$AE$95))/P95/'SHWLP-Att'!$Y$46*'SHWLP-Att'!$AR$4</f>
        <v>1.2172836562722956E-2</v>
      </c>
      <c r="Q153" s="1205">
        <f>('SHWLP-Att'!$AC$46*(Q95/$AE$95))/Q95/'SHWLP-Att'!$Y$46*'SHWLP-Att'!$AR$4</f>
        <v>1.2172836562722958E-2</v>
      </c>
      <c r="R153" s="1205">
        <f>('SHWLP-Att'!$AC$46*(R95/$AE$95))/R95/'SHWLP-Att'!$Y$46*'SHWLP-Att'!$AR$4</f>
        <v>1.2172836562722958E-2</v>
      </c>
      <c r="S153" s="1205">
        <f>('SHWLP-Att'!$AC$46*(S95/$AE$95))/S95/'SHWLP-Att'!$Y$46*'SHWLP-Att'!$AR$4</f>
        <v>1.2172836562722958E-2</v>
      </c>
      <c r="T153" s="1205">
        <f>('SHWLP-Att'!$AC$46*(T95/$AE$95))/T95/'SHWLP-Att'!$Y$46*'SHWLP-Att'!$AR$4</f>
        <v>1.2172836562722958E-2</v>
      </c>
      <c r="U153" s="1205">
        <f>('SHWLP-Att'!$AC$46*(U95/$AE$95))/U95/'SHWLP-Att'!$Y$46*'SHWLP-Att'!$AR$4</f>
        <v>1.2172836562722958E-2</v>
      </c>
      <c r="V153" s="1205">
        <f>('SHWLP-Att'!$AC$46*(V95/$AE$95))/V95/'SHWLP-Att'!$Y$46*'SHWLP-Att'!$AR$4</f>
        <v>1.2172836562722958E-2</v>
      </c>
      <c r="W153" s="1205">
        <f>('SHWLP-Att'!$AC$46*(W95/$AE$95))/W95/'SHWLP-Att'!$Y$46*'SHWLP-Att'!$AR$4</f>
        <v>1.2172836562722958E-2</v>
      </c>
      <c r="X153" s="1205">
        <f>('SHWLP-Att'!$AC$46*(X95/$AE$95))/X95/'SHWLP-Att'!$Y$46*'SHWLP-Att'!$AR$4</f>
        <v>1.2172836562722958E-2</v>
      </c>
      <c r="Y153" s="1205">
        <f>('SHWLP-Att'!$AC$46*(Y95/$AE$95))/Y95/'SHWLP-Att'!$Y$46*'SHWLP-Att'!$AR$4</f>
        <v>1.2172836562722958E-2</v>
      </c>
      <c r="Z153" s="1205">
        <f>('SHWLP-Att'!$AC$46*(Z95/$AE$95))/Z95/'SHWLP-Att'!$Y$46*'SHWLP-Att'!$AR$4</f>
        <v>1.2172836562722956E-2</v>
      </c>
      <c r="AA153" s="1205">
        <f>('SHWLP-Att'!$AC$46*(AA95/$AE$95))/AA95/'SHWLP-Att'!$Y$46*'SHWLP-Att'!$AR$4</f>
        <v>1.2172836562722956E-2</v>
      </c>
      <c r="AB153" s="1205">
        <f>('SHWLP-Att'!$AC$46*(AB95/$AE$95))/AB95/'SHWLP-Att'!$Y$46*'SHWLP-Att'!$AR$4</f>
        <v>1.2172836562722956E-2</v>
      </c>
      <c r="AC153" s="1205">
        <f>('SHWLP-Att'!$AC$46*(AC95/$AE$95))/AC95/'SHWLP-Att'!$Y$46*'SHWLP-Att'!$AR$4</f>
        <v>1.217283656272296E-2</v>
      </c>
      <c r="AD153" s="1205">
        <f>('SHWLP-Att'!$AC$46*(AD95/$AE$95))/AD95/'SHWLP-Att'!$Y$46*'SHWLP-Att'!$AR$4</f>
        <v>1.2172836562722956E-2</v>
      </c>
      <c r="AE153" s="1205">
        <f>('SHWLP-Att'!$AC$46*(AE95/$AE$95))/AE95/'SHWLP-Att'!$Y$46*'SHWLP-Att'!$AR$4</f>
        <v>1.2172836562722958E-2</v>
      </c>
      <c r="AF153" s="1191"/>
      <c r="AG153" s="1191"/>
      <c r="AH153" s="1191"/>
    </row>
    <row r="154" spans="3:34" s="1190" customFormat="1">
      <c r="C154" s="1204" t="s">
        <v>1148</v>
      </c>
      <c r="D154" s="1204" t="s">
        <v>1094</v>
      </c>
      <c r="E154" s="1208">
        <f>('SHWLP-Att'!$AC$23*(E103/$AE$103))/E103/'SHWLP-Att'!$Y$23*'SHWLP-Att'!$AR$4</f>
        <v>0.12363219324132463</v>
      </c>
      <c r="F154" s="1208">
        <f>('SHWLP-Att'!$AC$23*(F103/$AE$103))/F103/'SHWLP-Att'!$Y$23*'SHWLP-Att'!$AR$4</f>
        <v>0.12363219324132463</v>
      </c>
      <c r="G154" s="1208">
        <f>('SHWLP-Att'!$AC$23*(G103/$AE$103))/G103/'SHWLP-Att'!$Y$23*'SHWLP-Att'!$AR$4</f>
        <v>0.12363219324132463</v>
      </c>
      <c r="H154" s="1208">
        <f>('SHWLP-Att'!$AC$23*(H103/$AE$103))/H103/'SHWLP-Att'!$Y$23*'SHWLP-Att'!$AR$4</f>
        <v>0.12363219324132463</v>
      </c>
      <c r="I154" s="1208">
        <f>('SHWLP-Att'!$AC$23*(I103/$AE$103))/I103/'SHWLP-Att'!$Y$23*'SHWLP-Att'!$AR$4</f>
        <v>0.12363219324132463</v>
      </c>
      <c r="J154" s="1208">
        <f>('SHWLP-Att'!$AC$23*(J103/$AE$103))/J103/'SHWLP-Att'!$Y$23*'SHWLP-Att'!$AR$4</f>
        <v>0.12363219324132463</v>
      </c>
      <c r="K154" s="1208">
        <f>('SHWLP-Att'!$AC$23*(K103/$AE$103))/K103/'SHWLP-Att'!$Y$23*'SHWLP-Att'!$AR$4</f>
        <v>0.12363219324132463</v>
      </c>
      <c r="L154" s="1208">
        <f>('SHWLP-Att'!$AC$23*(L103/$AE$103))/L103/'SHWLP-Att'!$Y$23*'SHWLP-Att'!$AR$4</f>
        <v>0.12363219324132463</v>
      </c>
      <c r="M154" s="1208">
        <f>('SHWLP-Att'!$AC$23*(M103/$AE$103))/M103/'SHWLP-Att'!$Y$23*'SHWLP-Att'!$AR$4</f>
        <v>0.12363219324132463</v>
      </c>
      <c r="N154" s="1208">
        <f>('SHWLP-Att'!$AC$23*(N103/$AE$103))/N103/'SHWLP-Att'!$Y$23*'SHWLP-Att'!$AR$4</f>
        <v>0.12363219324132463</v>
      </c>
      <c r="O154" s="1208">
        <f>('SHWLP-Att'!$AC$23*(O103/$AE$103))/O103/'SHWLP-Att'!$Y$23*'SHWLP-Att'!$AR$4</f>
        <v>0.12363219324132463</v>
      </c>
      <c r="P154" s="1208">
        <f>('SHWLP-Att'!$AC$23*(P103/$AE$103))/P103/'SHWLP-Att'!$Y$23*'SHWLP-Att'!$AR$4</f>
        <v>0.12363219324132463</v>
      </c>
      <c r="Q154" s="1208">
        <f>('SHWLP-Att'!$AC$23*(Q103/$AE$103))/Q103/'SHWLP-Att'!$Y$23*'SHWLP-Att'!$AR$4</f>
        <v>0.12363219324132463</v>
      </c>
      <c r="R154" s="1208">
        <f>('SHWLP-Att'!$AC$23*(R103/$AE$103))/R103/'SHWLP-Att'!$Y$23*'SHWLP-Att'!$AR$4</f>
        <v>0.12363219324132463</v>
      </c>
      <c r="S154" s="1208">
        <f>('SHWLP-Att'!$AC$23*(S103/$AE$103))/S103/'SHWLP-Att'!$Y$23*'SHWLP-Att'!$AR$4</f>
        <v>0.12363219324132463</v>
      </c>
      <c r="T154" s="1208">
        <f>('SHWLP-Att'!$AC$23*(T103/$AE$103))/T103/'SHWLP-Att'!$Y$23*'SHWLP-Att'!$AR$4</f>
        <v>0.12363219324132463</v>
      </c>
      <c r="U154" s="1208">
        <f>('SHWLP-Att'!$AC$23*(U103/$AE$103))/U103/'SHWLP-Att'!$Y$23*'SHWLP-Att'!$AR$4</f>
        <v>0.12363219324132463</v>
      </c>
      <c r="V154" s="1208">
        <f>('SHWLP-Att'!$AC$23*(V103/$AE$103))/V103/'SHWLP-Att'!$Y$23*'SHWLP-Att'!$AR$4</f>
        <v>0.12363219324132463</v>
      </c>
      <c r="W154" s="1208">
        <f>('SHWLP-Att'!$AC$23*(W103/$AE$103))/W103/'SHWLP-Att'!$Y$23*'SHWLP-Att'!$AR$4</f>
        <v>0.12363219324132463</v>
      </c>
      <c r="X154" s="1208">
        <f>('SHWLP-Att'!$AC$23*(X103/$AE$103))/X103/'SHWLP-Att'!$Y$23*'SHWLP-Att'!$AR$4</f>
        <v>0.12363219324132463</v>
      </c>
      <c r="Y154" s="1208">
        <f>('SHWLP-Att'!$AC$23*(Y103/$AE$103))/Y103/'SHWLP-Att'!$Y$23*'SHWLP-Att'!$AR$4</f>
        <v>0.12363219324132463</v>
      </c>
      <c r="Z154" s="1208">
        <f>('SHWLP-Att'!$AC$23*(Z103/$AE$103))/Z103/'SHWLP-Att'!$Y$23*'SHWLP-Att'!$AR$4</f>
        <v>0.12363219324132463</v>
      </c>
      <c r="AA154" s="1208">
        <f>('SHWLP-Att'!$AC$23*(AA103/$AE$103))/AA103/'SHWLP-Att'!$Y$23*'SHWLP-Att'!$AR$4</f>
        <v>0.12363219324132463</v>
      </c>
      <c r="AB154" s="1208">
        <f>('SHWLP-Att'!$AC$23*(AB103/$AE$103))/AB103/'SHWLP-Att'!$Y$23*'SHWLP-Att'!$AR$4</f>
        <v>0.12363219324132463</v>
      </c>
      <c r="AC154" s="1208">
        <f>('SHWLP-Att'!$AC$23*(AC103/$AE$103))/AC103/'SHWLP-Att'!$Y$23*'SHWLP-Att'!$AR$4</f>
        <v>0.12363219324132463</v>
      </c>
      <c r="AD154" s="1209">
        <f>AC154</f>
        <v>0.12363219324132463</v>
      </c>
      <c r="AE154" s="1208">
        <f>('SHWLP-Att'!$AC$23*(AE103/$AE$103))/AE103/'SHWLP-Att'!$Y$23*'SHWLP-Att'!$AR$4</f>
        <v>0.12363219324132463</v>
      </c>
      <c r="AF154" s="1191"/>
      <c r="AG154" s="1191"/>
      <c r="AH154" s="1191"/>
    </row>
    <row r="155" spans="3:34" s="1190" customFormat="1">
      <c r="C155" s="1205" t="s">
        <v>1149</v>
      </c>
      <c r="D155" s="1205" t="s">
        <v>1094</v>
      </c>
      <c r="E155" s="1205">
        <f>('SHWLP-Att'!$AC$49*(E104/$AE$104))/E104/'SHWLP-Att'!$Y$49*'SHWLP-Att'!$AR$4</f>
        <v>7.0896254631734185E-2</v>
      </c>
      <c r="F155" s="1205">
        <f>('SHWLP-Att'!$AC$49*(F104/$AE$104))/F104/'SHWLP-Att'!$Y$49*'SHWLP-Att'!$AR$4</f>
        <v>7.0896254631734185E-2</v>
      </c>
      <c r="G155" s="1205">
        <f>('SHWLP-Att'!$AC$49*(G104/$AE$104))/G104/'SHWLP-Att'!$Y$49*'SHWLP-Att'!$AR$4</f>
        <v>7.0896254631734199E-2</v>
      </c>
      <c r="H155" s="1205">
        <f>('SHWLP-Att'!$AC$49*(H104/$AE$104))/H104/'SHWLP-Att'!$Y$49*'SHWLP-Att'!$AR$4</f>
        <v>7.0896254631734185E-2</v>
      </c>
      <c r="I155" s="1205">
        <f>('SHWLP-Att'!$AC$49*(I104/$AE$104))/I104/'SHWLP-Att'!$Y$49*'SHWLP-Att'!$AR$4</f>
        <v>7.0896254631734199E-2</v>
      </c>
      <c r="J155" s="1205">
        <f>('SHWLP-Att'!$AC$49*(J104/$AE$104))/J104/'SHWLP-Att'!$Y$49*'SHWLP-Att'!$AR$4</f>
        <v>7.0896254631734185E-2</v>
      </c>
      <c r="K155" s="1205">
        <f>('SHWLP-Att'!$AC$49*(K104/$AE$104))/K104/'SHWLP-Att'!$Y$49*'SHWLP-Att'!$AR$4</f>
        <v>7.0896254631734185E-2</v>
      </c>
      <c r="L155" s="1205">
        <f>('SHWLP-Att'!$AC$49*(L104/$AE$104))/L104/'SHWLP-Att'!$Y$49*'SHWLP-Att'!$AR$4</f>
        <v>7.0896254631734171E-2</v>
      </c>
      <c r="M155" s="1205">
        <f>('SHWLP-Att'!$AC$49*(M104/$AE$104))/M104/'SHWLP-Att'!$Y$49*'SHWLP-Att'!$AR$4</f>
        <v>7.0896254631734185E-2</v>
      </c>
      <c r="N155" s="1205">
        <f>('SHWLP-Att'!$AC$49*(N104/$AE$104))/N104/'SHWLP-Att'!$Y$49*'SHWLP-Att'!$AR$4</f>
        <v>7.0896254631734171E-2</v>
      </c>
      <c r="O155" s="1205">
        <f>('SHWLP-Att'!$AC$49*(O104/$AE$104))/O104/'SHWLP-Att'!$Y$49*'SHWLP-Att'!$AR$4</f>
        <v>7.0896254631734185E-2</v>
      </c>
      <c r="P155" s="1205">
        <f>('SHWLP-Att'!$AC$49*(P104/$AE$104))/P104/'SHWLP-Att'!$Y$49*'SHWLP-Att'!$AR$4</f>
        <v>7.0896254631734185E-2</v>
      </c>
      <c r="Q155" s="1205">
        <f>('SHWLP-Att'!$AC$49*(Q104/$AE$104))/Q104/'SHWLP-Att'!$Y$49*'SHWLP-Att'!$AR$4</f>
        <v>7.0896254631734185E-2</v>
      </c>
      <c r="R155" s="1205">
        <f>('SHWLP-Att'!$AC$49*(R104/$AE$104))/R104/'SHWLP-Att'!$Y$49*'SHWLP-Att'!$AR$4</f>
        <v>7.0896254631734185E-2</v>
      </c>
      <c r="S155" s="1205">
        <f>('SHWLP-Att'!$AC$49*(S104/$AE$104))/S104/'SHWLP-Att'!$Y$49*'SHWLP-Att'!$AR$4</f>
        <v>7.0896254631734171E-2</v>
      </c>
      <c r="T155" s="1205">
        <f>('SHWLP-Att'!$AC$49*(T104/$AE$104))/T104/'SHWLP-Att'!$Y$49*'SHWLP-Att'!$AR$4</f>
        <v>7.0896254631734185E-2</v>
      </c>
      <c r="U155" s="1205">
        <f>('SHWLP-Att'!$AC$49*(U104/$AE$104))/U104/'SHWLP-Att'!$Y$49*'SHWLP-Att'!$AR$4</f>
        <v>7.0896254631734185E-2</v>
      </c>
      <c r="V155" s="1205">
        <f>('SHWLP-Att'!$AC$49*(V104/$AE$104))/V104/'SHWLP-Att'!$Y$49*'SHWLP-Att'!$AR$4</f>
        <v>7.0896254631734185E-2</v>
      </c>
      <c r="W155" s="1205">
        <f>('SHWLP-Att'!$AC$49*(W104/$AE$104))/W104/'SHWLP-Att'!$Y$49*'SHWLP-Att'!$AR$4</f>
        <v>7.0896254631734185E-2</v>
      </c>
      <c r="X155" s="1205">
        <f>('SHWLP-Att'!$AC$49*(X104/$AE$104))/X104/'SHWLP-Att'!$Y$49*'SHWLP-Att'!$AR$4</f>
        <v>7.0896254631734185E-2</v>
      </c>
      <c r="Y155" s="1205">
        <f>('SHWLP-Att'!$AC$49*(Y104/$AE$104))/Y104/'SHWLP-Att'!$Y$49*'SHWLP-Att'!$AR$4</f>
        <v>7.0896254631734185E-2</v>
      </c>
      <c r="Z155" s="1205">
        <f>('SHWLP-Att'!$AC$49*(Z104/$AE$104))/Z104/'SHWLP-Att'!$Y$49*'SHWLP-Att'!$AR$4</f>
        <v>7.0896254631734185E-2</v>
      </c>
      <c r="AA155" s="1205">
        <f>('SHWLP-Att'!$AC$49*(AA104/$AE$104))/AA104/'SHWLP-Att'!$Y$49*'SHWLP-Att'!$AR$4</f>
        <v>7.0896254631734185E-2</v>
      </c>
      <c r="AB155" s="1205">
        <f>('SHWLP-Att'!$AC$49*(AB104/$AE$104))/AB104/'SHWLP-Att'!$Y$49*'SHWLP-Att'!$AR$4</f>
        <v>7.0896254631734185E-2</v>
      </c>
      <c r="AC155" s="1205">
        <f>('SHWLP-Att'!$AC$49*(AC104/$AE$104))/AC104/'SHWLP-Att'!$Y$49*'SHWLP-Att'!$AR$4</f>
        <v>7.0896254631734185E-2</v>
      </c>
      <c r="AD155" s="1205">
        <f>('SHWLP-Att'!$AC$49*(AD104/$AE$104))/AD104/'SHWLP-Att'!$Y$49*'SHWLP-Att'!$AR$4</f>
        <v>7.0896254631734185E-2</v>
      </c>
      <c r="AE155" s="1205">
        <f>('SHWLP-Att'!$AC$49*(AE104/$AE$104))/AE104/'SHWLP-Att'!$Y$49*'SHWLP-Att'!$AR$4</f>
        <v>7.0896254631734185E-2</v>
      </c>
      <c r="AF155" s="1191"/>
      <c r="AG155" s="1191"/>
      <c r="AH155" s="1191"/>
    </row>
    <row r="156" spans="3:34" s="1190" customFormat="1">
      <c r="C156" s="1204" t="str">
        <f>LEFT(SETUP!$B$3,1)&amp;"-"&amp;SETUP!$B$52&amp;"_"&amp;RIGHT(COMM!$O$31,3)&amp;"_HET"&amp;"_"&amp;SETUP!$B$66</f>
        <v>R-SH_Att_HET_X0</v>
      </c>
      <c r="D156" s="1204" t="s">
        <v>1094</v>
      </c>
      <c r="E156" s="1208">
        <f>('SHWLP-Att'!$AC$24*(E112/$AE$112))/E112/'SHWLP-Att'!$Y$24*'SHWLP-Att'!$AR$4</f>
        <v>4.1530403053105569E-2</v>
      </c>
      <c r="F156" s="1208">
        <f>('SHWLP-Att'!$AC$24*(F112/$AE$112))/F112/'SHWLP-Att'!$Y$24*'SHWLP-Att'!$AR$4</f>
        <v>4.1530403053105569E-2</v>
      </c>
      <c r="G156" s="1208">
        <f>('SHWLP-Att'!$AC$24*(G112/$AE$112))/G112/'SHWLP-Att'!$Y$24*'SHWLP-Att'!$AR$4</f>
        <v>4.1530403053105569E-2</v>
      </c>
      <c r="H156" s="1208">
        <f>('SHWLP-Att'!$AC$24*(H112/$AE$112))/H112/'SHWLP-Att'!$Y$24*'SHWLP-Att'!$AR$4</f>
        <v>4.1530403053105569E-2</v>
      </c>
      <c r="I156" s="1208">
        <f>('SHWLP-Att'!$AC$24*(I112/$AE$112))/I112/'SHWLP-Att'!$Y$24*'SHWLP-Att'!$AR$4</f>
        <v>4.1530403053105569E-2</v>
      </c>
      <c r="J156" s="1208">
        <f>('SHWLP-Att'!$AC$24*(J112/$AE$112))/J112/'SHWLP-Att'!$Y$24*'SHWLP-Att'!$AR$4</f>
        <v>4.1530403053105569E-2</v>
      </c>
      <c r="K156" s="1208">
        <f>('SHWLP-Att'!$AC$24*(K112/$AE$112))/K112/'SHWLP-Att'!$Y$24*'SHWLP-Att'!$AR$4</f>
        <v>4.1530403053105569E-2</v>
      </c>
      <c r="L156" s="1208">
        <f>('SHWLP-Att'!$AC$24*(L112/$AE$112))/L112/'SHWLP-Att'!$Y$24*'SHWLP-Att'!$AR$4</f>
        <v>4.1530403053105562E-2</v>
      </c>
      <c r="M156" s="1208">
        <f>('SHWLP-Att'!$AC$24*(M112/$AE$112))/M112/'SHWLP-Att'!$Y$24*'SHWLP-Att'!$AR$4</f>
        <v>4.1530403053105569E-2</v>
      </c>
      <c r="N156" s="1208">
        <f>('SHWLP-Att'!$AC$24*(N112/$AE$112))/N112/'SHWLP-Att'!$Y$24*'SHWLP-Att'!$AR$4</f>
        <v>4.1530403053105569E-2</v>
      </c>
      <c r="O156" s="1208">
        <f>('SHWLP-Att'!$AC$24*(O112/$AE$112))/O112/'SHWLP-Att'!$Y$24*'SHWLP-Att'!$AR$4</f>
        <v>4.1530403053105576E-2</v>
      </c>
      <c r="P156" s="1208">
        <f>('SHWLP-Att'!$AC$24*(P112/$AE$112))/P112/'SHWLP-Att'!$Y$24*'SHWLP-Att'!$AR$4</f>
        <v>4.1530403053105569E-2</v>
      </c>
      <c r="Q156" s="1208">
        <f>('SHWLP-Att'!$AC$24*(Q112/$AE$112))/Q112/'SHWLP-Att'!$Y$24*'SHWLP-Att'!$AR$4</f>
        <v>4.1530403053105569E-2</v>
      </c>
      <c r="R156" s="1208">
        <f>('SHWLP-Att'!$AC$24*(R112/$AE$112))/R112/'SHWLP-Att'!$Y$24*'SHWLP-Att'!$AR$4</f>
        <v>4.1530403053105569E-2</v>
      </c>
      <c r="S156" s="1208">
        <f>('SHWLP-Att'!$AC$24*(S112/$AE$112))/S112/'SHWLP-Att'!$Y$24*'SHWLP-Att'!$AR$4</f>
        <v>4.1530403053105569E-2</v>
      </c>
      <c r="T156" s="1208">
        <f>('SHWLP-Att'!$AC$24*(T112/$AE$112))/T112/'SHWLP-Att'!$Y$24*'SHWLP-Att'!$AR$4</f>
        <v>4.1530403053105569E-2</v>
      </c>
      <c r="U156" s="1208">
        <f>('SHWLP-Att'!$AC$24*(U112/$AE$112))/U112/'SHWLP-Att'!$Y$24*'SHWLP-Att'!$AR$4</f>
        <v>4.1530403053105569E-2</v>
      </c>
      <c r="V156" s="1208">
        <f>('SHWLP-Att'!$AC$24*(V112/$AE$112))/V112/'SHWLP-Att'!$Y$24*'SHWLP-Att'!$AR$4</f>
        <v>4.1530403053105569E-2</v>
      </c>
      <c r="W156" s="1208">
        <f>('SHWLP-Att'!$AC$24*(W112/$AE$112))/W112/'SHWLP-Att'!$Y$24*'SHWLP-Att'!$AR$4</f>
        <v>4.1530403053105569E-2</v>
      </c>
      <c r="X156" s="1208">
        <f>('SHWLP-Att'!$AC$24*(X112/$AE$112))/X112/'SHWLP-Att'!$Y$24*'SHWLP-Att'!$AR$4</f>
        <v>4.1530403053105569E-2</v>
      </c>
      <c r="Y156" s="1208">
        <f>('SHWLP-Att'!$AC$24*(Y112/$AE$112))/Y112/'SHWLP-Att'!$Y$24*'SHWLP-Att'!$AR$4</f>
        <v>4.1530403053105569E-2</v>
      </c>
      <c r="Z156" s="1208">
        <f>('SHWLP-Att'!$AC$24*(Z112/$AE$112))/Z112/'SHWLP-Att'!$Y$24*'SHWLP-Att'!$AR$4</f>
        <v>4.1530403053105569E-2</v>
      </c>
      <c r="AA156" s="1208">
        <f>('SHWLP-Att'!$AC$24*(AA112/$AE$112))/AA112/'SHWLP-Att'!$Y$24*'SHWLP-Att'!$AR$4</f>
        <v>4.1530403053105569E-2</v>
      </c>
      <c r="AB156" s="1208">
        <f>('SHWLP-Att'!$AC$24*(AB112/$AE$112))/AB112/'SHWLP-Att'!$Y$24*'SHWLP-Att'!$AR$4</f>
        <v>4.1530403053105569E-2</v>
      </c>
      <c r="AC156" s="1208">
        <f>('SHWLP-Att'!$AC$24*(AC112/$AE$112))/AC112/'SHWLP-Att'!$Y$24*'SHWLP-Att'!$AR$4</f>
        <v>4.1530403053105576E-2</v>
      </c>
      <c r="AD156" s="1208">
        <f>('SHWLP-Att'!$AC$24*(AD112/$AE$112))/AD112/'SHWLP-Att'!$Y$24*'SHWLP-Att'!$AR$4</f>
        <v>4.1530403053105569E-2</v>
      </c>
      <c r="AE156" s="1208">
        <f>('SHWLP-Att'!$AC$24*(AE112/$AE$112))/AE112/'SHWLP-Att'!$Y$24*'SHWLP-Att'!$AR$4</f>
        <v>4.1530403053105569E-2</v>
      </c>
      <c r="AF156" s="1191"/>
      <c r="AG156" s="1191"/>
      <c r="AH156" s="1191"/>
    </row>
    <row r="157" spans="3:34" s="1190" customFormat="1">
      <c r="C157" s="1205" t="str">
        <f>LEFT(SETUP!$B$3,1)&amp;"-"&amp;SETUP!$B$54&amp;"_"&amp;RIGHT(COMM!$O$31,3)&amp;"_HET"&amp;"_"&amp;SETUP!$B$66</f>
        <v>R-WH_Att_HET_X0</v>
      </c>
      <c r="D157" s="1205" t="s">
        <v>1094</v>
      </c>
      <c r="E157" s="1205">
        <f>('SHWLP-Att'!$AC$50*(E113/$AE$113))/E113/'SHWLP-Att'!$Y$50*'SHWLP-Att'!$AR$4</f>
        <v>8.630120604421183E-3</v>
      </c>
      <c r="F157" s="1205">
        <f>('SHWLP-Att'!$AC$50*(F113/$AE$113))/F113/'SHWLP-Att'!$Y$50*'SHWLP-Att'!$AR$4</f>
        <v>8.630120604421183E-3</v>
      </c>
      <c r="G157" s="1205">
        <f>('SHWLP-Att'!$AC$50*(G113/$AE$113))/G113/'SHWLP-Att'!$Y$50*'SHWLP-Att'!$AR$4</f>
        <v>8.6301206044211848E-3</v>
      </c>
      <c r="H157" s="1205">
        <f>('SHWLP-Att'!$AC$50*(H113/$AE$113))/H113/'SHWLP-Att'!$Y$50*'SHWLP-Att'!$AR$4</f>
        <v>8.6301206044211848E-3</v>
      </c>
      <c r="I157" s="1205">
        <f>('SHWLP-Att'!$AC$50*(I113/$AE$113))/I113/'SHWLP-Att'!$Y$50*'SHWLP-Att'!$AR$4</f>
        <v>8.6301206044211848E-3</v>
      </c>
      <c r="J157" s="1205">
        <f>('SHWLP-Att'!$AC$50*(J113/$AE$113))/J113/'SHWLP-Att'!$Y$50*'SHWLP-Att'!$AR$4</f>
        <v>8.6301206044211848E-3</v>
      </c>
      <c r="K157" s="1205">
        <f>('SHWLP-Att'!$AC$50*(K113/$AE$113))/K113/'SHWLP-Att'!$Y$50*'SHWLP-Att'!$AR$4</f>
        <v>8.630120604421183E-3</v>
      </c>
      <c r="L157" s="1205">
        <f>('SHWLP-Att'!$AC$50*(L113/$AE$113))/L113/'SHWLP-Att'!$Y$50*'SHWLP-Att'!$AR$4</f>
        <v>8.630120604421183E-3</v>
      </c>
      <c r="M157" s="1205">
        <f>('SHWLP-Att'!$AC$50*(M113/$AE$113))/M113/'SHWLP-Att'!$Y$50*'SHWLP-Att'!$AR$4</f>
        <v>8.6301206044211848E-3</v>
      </c>
      <c r="N157" s="1205">
        <f>('SHWLP-Att'!$AC$50*(N113/$AE$113))/N113/'SHWLP-Att'!$Y$50*'SHWLP-Att'!$AR$4</f>
        <v>8.6301206044211848E-3</v>
      </c>
      <c r="O157" s="1205">
        <f>('SHWLP-Att'!$AC$50*(O113/$AE$113))/O113/'SHWLP-Att'!$Y$50*'SHWLP-Att'!$AR$4</f>
        <v>8.630120604421183E-3</v>
      </c>
      <c r="P157" s="1205">
        <f>('SHWLP-Att'!$AC$50*(P113/$AE$113))/P113/'SHWLP-Att'!$Y$50*'SHWLP-Att'!$AR$4</f>
        <v>8.6301206044211848E-3</v>
      </c>
      <c r="Q157" s="1205">
        <f>('SHWLP-Att'!$AC$50*(Q113/$AE$113))/Q113/'SHWLP-Att'!$Y$50*'SHWLP-Att'!$AR$4</f>
        <v>8.6301206044211848E-3</v>
      </c>
      <c r="R157" s="1205">
        <f>('SHWLP-Att'!$AC$50*(R113/$AE$113))/R113/'SHWLP-Att'!$Y$50*'SHWLP-Att'!$AR$4</f>
        <v>8.630120604421183E-3</v>
      </c>
      <c r="S157" s="1205">
        <f>('SHWLP-Att'!$AC$50*(S113/$AE$113))/S113/'SHWLP-Att'!$Y$50*'SHWLP-Att'!$AR$4</f>
        <v>8.6301206044211848E-3</v>
      </c>
      <c r="T157" s="1205">
        <f>('SHWLP-Att'!$AC$50*(T113/$AE$113))/T113/'SHWLP-Att'!$Y$50*'SHWLP-Att'!$AR$4</f>
        <v>8.630120604421183E-3</v>
      </c>
      <c r="U157" s="1205">
        <f>('SHWLP-Att'!$AC$50*(U113/$AE$113))/U113/'SHWLP-Att'!$Y$50*'SHWLP-Att'!$AR$4</f>
        <v>8.630120604421183E-3</v>
      </c>
      <c r="V157" s="1205">
        <f>('SHWLP-Att'!$AC$50*(V113/$AE$113))/V113/'SHWLP-Att'!$Y$50*'SHWLP-Att'!$AR$4</f>
        <v>8.630120604421183E-3</v>
      </c>
      <c r="W157" s="1205">
        <f>('SHWLP-Att'!$AC$50*(W113/$AE$113))/W113/'SHWLP-Att'!$Y$50*'SHWLP-Att'!$AR$4</f>
        <v>8.630120604421183E-3</v>
      </c>
      <c r="X157" s="1205">
        <f>('SHWLP-Att'!$AC$50*(X113/$AE$113))/X113/'SHWLP-Att'!$Y$50*'SHWLP-Att'!$AR$4</f>
        <v>8.630120604421183E-3</v>
      </c>
      <c r="Y157" s="1205">
        <f>('SHWLP-Att'!$AC$50*(Y113/$AE$113))/Y113/'SHWLP-Att'!$Y$50*'SHWLP-Att'!$AR$4</f>
        <v>8.6301206044211848E-3</v>
      </c>
      <c r="Z157" s="1205">
        <f>('SHWLP-Att'!$AC$50*(Z113/$AE$113))/Z113/'SHWLP-Att'!$Y$50*'SHWLP-Att'!$AR$4</f>
        <v>8.6301206044211848E-3</v>
      </c>
      <c r="AA157" s="1205">
        <f>('SHWLP-Att'!$AC$50*(AA113/$AE$113))/AA113/'SHWLP-Att'!$Y$50*'SHWLP-Att'!$AR$4</f>
        <v>8.6301206044211848E-3</v>
      </c>
      <c r="AB157" s="1205">
        <f>('SHWLP-Att'!$AC$50*(AB113/$AE$113))/AB113/'SHWLP-Att'!$Y$50*'SHWLP-Att'!$AR$4</f>
        <v>8.630120604421183E-3</v>
      </c>
      <c r="AC157" s="1205">
        <f>('SHWLP-Att'!$AC$50*(AC113/$AE$113))/AC113/'SHWLP-Att'!$Y$50*'SHWLP-Att'!$AR$4</f>
        <v>8.630120604421183E-3</v>
      </c>
      <c r="AD157" s="1205">
        <f>('SHWLP-Att'!$AC$50*(AD113/$AE$113))/AD113/'SHWLP-Att'!$Y$50*'SHWLP-Att'!$AR$4</f>
        <v>8.630120604421183E-3</v>
      </c>
      <c r="AE157" s="1205">
        <f>('SHWLP-Att'!$AC$50*(AE113/$AE$113))/AE113/'SHWLP-Att'!$Y$50*'SHWLP-Att'!$AR$4</f>
        <v>8.630120604421183E-3</v>
      </c>
      <c r="AF157" s="1191"/>
      <c r="AG157" s="1191"/>
      <c r="AH157" s="1191"/>
    </row>
    <row r="158" spans="3:34" s="1190" customFormat="1">
      <c r="C158" s="1205" t="s">
        <v>1153</v>
      </c>
      <c r="D158" s="1205" t="s">
        <v>1094</v>
      </c>
      <c r="E158" s="1205">
        <f>('SHWLP-Att'!$AC$51*(E115/$AE$115))/E115/'SHWLP-Att'!$Y$51*'SHWLP-Att'!$AR$4</f>
        <v>0.23917435704834378</v>
      </c>
      <c r="F158" s="1205">
        <f>('SHWLP-Att'!$AC$51*(F115/$AE$115))/F115/'SHWLP-Att'!$Y$51*'SHWLP-Att'!$AR$4</f>
        <v>0.23917435704834378</v>
      </c>
      <c r="G158" s="1205">
        <f>('SHWLP-Att'!$AC$51*(G115/$AE$115))/G115/'SHWLP-Att'!$Y$51*'SHWLP-Att'!$AR$4</f>
        <v>0.23917435704834378</v>
      </c>
      <c r="H158" s="1205">
        <f>('SHWLP-Att'!$AC$51*(H115/$AE$115))/H115/'SHWLP-Att'!$Y$51*'SHWLP-Att'!$AR$4</f>
        <v>0.23917435704834383</v>
      </c>
      <c r="I158" s="1205">
        <f>('SHWLP-Att'!$AC$51*(I115/$AE$115))/I115/'SHWLP-Att'!$Y$51*'SHWLP-Att'!$AR$4</f>
        <v>0.23917435704834378</v>
      </c>
      <c r="J158" s="1205">
        <f>('SHWLP-Att'!$AC$51*(J115/$AE$115))/J115/'SHWLP-Att'!$Y$51*'SHWLP-Att'!$AR$4</f>
        <v>0.23917435704834378</v>
      </c>
      <c r="K158" s="1205">
        <f>('SHWLP-Att'!$AC$51*(K115/$AE$115))/K115/'SHWLP-Att'!$Y$51*'SHWLP-Att'!$AR$4</f>
        <v>0.23917435704834378</v>
      </c>
      <c r="L158" s="1205">
        <f>('SHWLP-Att'!$AC$51*(L115/$AE$115))/L115/'SHWLP-Att'!$Y$51*'SHWLP-Att'!$AR$4</f>
        <v>0.23917435704834378</v>
      </c>
      <c r="M158" s="1205">
        <f>('SHWLP-Att'!$AC$51*(M115/$AE$115))/M115/'SHWLP-Att'!$Y$51*'SHWLP-Att'!$AR$4</f>
        <v>0.23917435704834383</v>
      </c>
      <c r="N158" s="1205">
        <f>('SHWLP-Att'!$AC$51*(N115/$AE$115))/N115/'SHWLP-Att'!$Y$51*'SHWLP-Att'!$AR$4</f>
        <v>0.23917435704834378</v>
      </c>
      <c r="O158" s="1205">
        <f>('SHWLP-Att'!$AC$51*(O115/$AE$115))/O115/'SHWLP-Att'!$Y$51*'SHWLP-Att'!$AR$4</f>
        <v>0.23917435704834378</v>
      </c>
      <c r="P158" s="1205">
        <f>('SHWLP-Att'!$AC$51*(P115/$AE$115))/P115/'SHWLP-Att'!$Y$51*'SHWLP-Att'!$AR$4</f>
        <v>0.23917435704834383</v>
      </c>
      <c r="Q158" s="1205">
        <f>('SHWLP-Att'!$AC$51*(Q115/$AE$115))/Q115/'SHWLP-Att'!$Y$51*'SHWLP-Att'!$AR$4</f>
        <v>0.23917435704834378</v>
      </c>
      <c r="R158" s="1205">
        <f>('SHWLP-Att'!$AC$51*(R115/$AE$115))/R115/'SHWLP-Att'!$Y$51*'SHWLP-Att'!$AR$4</f>
        <v>0.23917435704834378</v>
      </c>
      <c r="S158" s="1205">
        <f>('SHWLP-Att'!$AC$51*(S115/$AE$115))/S115/'SHWLP-Att'!$Y$51*'SHWLP-Att'!$AR$4</f>
        <v>0.23917435704834383</v>
      </c>
      <c r="T158" s="1205">
        <f>('SHWLP-Att'!$AC$51*(T115/$AE$115))/T115/'SHWLP-Att'!$Y$51*'SHWLP-Att'!$AR$4</f>
        <v>0.23917435704834378</v>
      </c>
      <c r="U158" s="1205">
        <f>('SHWLP-Att'!$AC$51*(U115/$AE$115))/U115/'SHWLP-Att'!$Y$51*'SHWLP-Att'!$AR$4</f>
        <v>0.23917435704834378</v>
      </c>
      <c r="V158" s="1205">
        <f>('SHWLP-Att'!$AC$51*(V115/$AE$115))/V115/'SHWLP-Att'!$Y$51*'SHWLP-Att'!$AR$4</f>
        <v>0.23917435704834383</v>
      </c>
      <c r="W158" s="1205">
        <f>('SHWLP-Att'!$AC$51*(W115/$AE$115))/W115/'SHWLP-Att'!$Y$51*'SHWLP-Att'!$AR$4</f>
        <v>0.23917435704834378</v>
      </c>
      <c r="X158" s="1205">
        <f>('SHWLP-Att'!$AC$51*(X115/$AE$115))/X115/'SHWLP-Att'!$Y$51*'SHWLP-Att'!$AR$4</f>
        <v>0.23917435704834378</v>
      </c>
      <c r="Y158" s="1205">
        <f>('SHWLP-Att'!$AC$51*(Y115/$AE$115))/Y115/'SHWLP-Att'!$Y$51*'SHWLP-Att'!$AR$4</f>
        <v>0.23917435704834383</v>
      </c>
      <c r="Z158" s="1205">
        <f>('SHWLP-Att'!$AC$51*(Z115/$AE$115))/Z115/'SHWLP-Att'!$Y$51*'SHWLP-Att'!$AR$4</f>
        <v>0.23917435704834378</v>
      </c>
      <c r="AA158" s="1205">
        <f>('SHWLP-Att'!$AC$51*(AA115/$AE$115))/AA115/'SHWLP-Att'!$Y$51*'SHWLP-Att'!$AR$4</f>
        <v>0.23917435704834378</v>
      </c>
      <c r="AB158" s="1205">
        <f>('SHWLP-Att'!$AC$51*(AB115/$AE$115))/AB115/'SHWLP-Att'!$Y$51*'SHWLP-Att'!$AR$4</f>
        <v>0.23917435704834383</v>
      </c>
      <c r="AC158" s="1205">
        <f>('SHWLP-Att'!$AC$51*(AC115/$AE$115))/AC115/'SHWLP-Att'!$Y$51*'SHWLP-Att'!$AR$4</f>
        <v>0.23917435704834383</v>
      </c>
      <c r="AD158" s="1205">
        <f>('SHWLP-Att'!$AC$51*(AD115/$AE$115))/AD115/'SHWLP-Att'!$Y$51*'SHWLP-Att'!$AR$4</f>
        <v>0.23917435704834378</v>
      </c>
      <c r="AE158" s="1205">
        <f>('SHWLP-Att'!$AC$51*(AE115/$AE$115))/AE115/'SHWLP-Att'!$Y$51*'SHWLP-Att'!$AR$4</f>
        <v>0.23917435704834378</v>
      </c>
      <c r="AF158" s="1191"/>
      <c r="AG158" s="1191"/>
      <c r="AH158" s="1191"/>
    </row>
    <row r="159" spans="3:34" s="1190" customFormat="1">
      <c r="C159" s="1206" t="s">
        <v>1262</v>
      </c>
      <c r="D159" s="1207" t="s">
        <v>1094</v>
      </c>
      <c r="E159" s="1207">
        <f>('SHWLP-Att'!$AC$59*(E116/$AE$116))/E116/'SHWLP-Att'!$Y$59*'SHWLP-Att'!$AR$4</f>
        <v>0.32776253014727186</v>
      </c>
      <c r="F159" s="1207">
        <f>('SHWLP-Att'!$AC$59*(F116/$AE$116))/F116/'SHWLP-Att'!$Y$59*'SHWLP-Att'!$AR$4</f>
        <v>0.32776253014727186</v>
      </c>
      <c r="G159" s="1207">
        <f>('SHWLP-Att'!$AC$59*(G116/$AE$116))/G116/'SHWLP-Att'!$Y$59*'SHWLP-Att'!$AR$4</f>
        <v>0.32776253014727186</v>
      </c>
      <c r="H159" s="1207">
        <f>('SHWLP-Att'!$AC$59*(H116/$AE$116))/H116/'SHWLP-Att'!$Y$59*'SHWLP-Att'!$AR$4</f>
        <v>0.32776253014727186</v>
      </c>
      <c r="I159" s="1207">
        <f>('SHWLP-Att'!$AC$59*(I116/$AE$116))/I116/'SHWLP-Att'!$Y$59*'SHWLP-Att'!$AR$4</f>
        <v>0.32776253014727186</v>
      </c>
      <c r="J159" s="1207">
        <f>('SHWLP-Att'!$AC$59*(J116/$AE$116))/J116/'SHWLP-Att'!$Y$59*'SHWLP-Att'!$AR$4</f>
        <v>0.32776253014727186</v>
      </c>
      <c r="K159" s="1207">
        <f>('SHWLP-Att'!$AC$59*(K116/$AE$116))/K116/'SHWLP-Att'!$Y$59*'SHWLP-Att'!$AR$4</f>
        <v>0.32776253014727191</v>
      </c>
      <c r="L159" s="1207">
        <f>('SHWLP-Att'!$AC$59*(L116/$AE$116))/L116/'SHWLP-Att'!$Y$59*'SHWLP-Att'!$AR$4</f>
        <v>0.32776253014727186</v>
      </c>
      <c r="M159" s="1207">
        <f>('SHWLP-Att'!$AC$59*(M116/$AE$116))/M116/'SHWLP-Att'!$Y$59*'SHWLP-Att'!$AR$4</f>
        <v>0.32776253014727186</v>
      </c>
      <c r="N159" s="1207">
        <f>('SHWLP-Att'!$AC$59*(N116/$AE$116))/N116/'SHWLP-Att'!$Y$59*'SHWLP-Att'!$AR$4</f>
        <v>0.32776253014727186</v>
      </c>
      <c r="O159" s="1207">
        <f>('SHWLP-Att'!$AC$59*(O116/$AE$116))/O116/'SHWLP-Att'!$Y$59*'SHWLP-Att'!$AR$4</f>
        <v>0.32776253014727186</v>
      </c>
      <c r="P159" s="1207">
        <f>('SHWLP-Att'!$AC$59*(P116/$AE$116))/P116/'SHWLP-Att'!$Y$59*'SHWLP-Att'!$AR$4</f>
        <v>0.32776253014727186</v>
      </c>
      <c r="Q159" s="1207">
        <f>('SHWLP-Att'!$AC$59*(Q116/$AE$116))/Q116/'SHWLP-Att'!$Y$59*'SHWLP-Att'!$AR$4</f>
        <v>0.32776253014727186</v>
      </c>
      <c r="R159" s="1207">
        <f>('SHWLP-Att'!$AC$59*(R116/$AE$116))/R116/'SHWLP-Att'!$Y$59*'SHWLP-Att'!$AR$4</f>
        <v>0.32776253014727186</v>
      </c>
      <c r="S159" s="1207">
        <f>('SHWLP-Att'!$AC$59*(S116/$AE$116))/S116/'SHWLP-Att'!$Y$59*'SHWLP-Att'!$AR$4</f>
        <v>0.32776253014727186</v>
      </c>
      <c r="T159" s="1207">
        <f>('SHWLP-Att'!$AC$59*(T116/$AE$116))/T116/'SHWLP-Att'!$Y$59*'SHWLP-Att'!$AR$4</f>
        <v>0.32776253014727186</v>
      </c>
      <c r="U159" s="1207">
        <f>('SHWLP-Att'!$AC$59*(U116/$AE$116))/U116/'SHWLP-Att'!$Y$59*'SHWLP-Att'!$AR$4</f>
        <v>0.32776253014727186</v>
      </c>
      <c r="V159" s="1207">
        <f>('SHWLP-Att'!$AC$59*(V116/$AE$116))/V116/'SHWLP-Att'!$Y$59*'SHWLP-Att'!$AR$4</f>
        <v>0.32776253014727186</v>
      </c>
      <c r="W159" s="1207">
        <f>('SHWLP-Att'!$AC$59*(W116/$AE$116))/W116/'SHWLP-Att'!$Y$59*'SHWLP-Att'!$AR$4</f>
        <v>0.32776253014727186</v>
      </c>
      <c r="X159" s="1207">
        <f>('SHWLP-Att'!$AC$59*(X116/$AE$116))/X116/'SHWLP-Att'!$Y$59*'SHWLP-Att'!$AR$4</f>
        <v>0.32776253014727191</v>
      </c>
      <c r="Y159" s="1207">
        <f>('SHWLP-Att'!$AC$59*(Y116/$AE$116))/Y116/'SHWLP-Att'!$Y$59*'SHWLP-Att'!$AR$4</f>
        <v>0.32776253014727186</v>
      </c>
      <c r="Z159" s="1207">
        <f>('SHWLP-Att'!$AC$59*(Z116/$AE$116))/Z116/'SHWLP-Att'!$Y$59*'SHWLP-Att'!$AR$4</f>
        <v>0.32776253014727186</v>
      </c>
      <c r="AA159" s="1207">
        <f>('SHWLP-Att'!$AC$59*(AA116/$AE$116))/AA116/'SHWLP-Att'!$Y$59*'SHWLP-Att'!$AR$4</f>
        <v>0.32776253014727186</v>
      </c>
      <c r="AB159" s="1207">
        <f>('SHWLP-Att'!$AC$59*(AB116/$AE$116))/AB116/'SHWLP-Att'!$Y$59*'SHWLP-Att'!$AR$4</f>
        <v>0.32776253014727186</v>
      </c>
      <c r="AC159" s="1207">
        <f>('SHWLP-Att'!$AC$59*(AC116/$AE$116))/AC116/'SHWLP-Att'!$Y$59*'SHWLP-Att'!$AR$4</f>
        <v>0.32776253014727191</v>
      </c>
      <c r="AD159" s="1207">
        <f>('SHWLP-Att'!$AC$59*(AD116/$AE$116))/AD116/'SHWLP-Att'!$Y$59*'SHWLP-Att'!$AR$4</f>
        <v>0.32776253014727186</v>
      </c>
      <c r="AE159" s="1207">
        <f>('SHWLP-Att'!$AC$59*(AE116/$AE$116))/AE116/'SHWLP-Att'!$Y$59*'SHWLP-Att'!$AR$4</f>
        <v>0.32776253014727186</v>
      </c>
      <c r="AF159" s="1191"/>
      <c r="AG159" s="1191"/>
      <c r="AH159" s="1191"/>
    </row>
    <row r="160" spans="3:34" s="1190" customFormat="1">
      <c r="C160" s="1207" t="s">
        <v>1263</v>
      </c>
      <c r="D160" s="1207" t="s">
        <v>1094</v>
      </c>
      <c r="E160" s="1207">
        <f>('SHWLP-Att'!$AC$60*(E117/$AE$117))/E117/'SHWLP-Att'!$Y$60*'SHWLP-Att'!$AR$4</f>
        <v>0.26548143487361747</v>
      </c>
      <c r="F160" s="1207">
        <f>('SHWLP-Att'!$AC$60*(F117/$AE$117))/F117/'SHWLP-Att'!$Y$60*'SHWLP-Att'!$AR$4</f>
        <v>0.26548143487361747</v>
      </c>
      <c r="G160" s="1207">
        <f>('SHWLP-Att'!$AC$60*(G117/$AE$117))/G117/'SHWLP-Att'!$Y$60*'SHWLP-Att'!$AR$4</f>
        <v>0.26548143487361747</v>
      </c>
      <c r="H160" s="1207">
        <f>('SHWLP-Att'!$AC$60*(H117/$AE$117))/H117/'SHWLP-Att'!$Y$60*'SHWLP-Att'!$AR$4</f>
        <v>0.26548143487361747</v>
      </c>
      <c r="I160" s="1207">
        <f>('SHWLP-Att'!$AC$60*(I117/$AE$117))/I117/'SHWLP-Att'!$Y$60*'SHWLP-Att'!$AR$4</f>
        <v>0.26548143487361747</v>
      </c>
      <c r="J160" s="1207">
        <f>('SHWLP-Att'!$AC$60*(J117/$AE$117))/J117/'SHWLP-Att'!$Y$60*'SHWLP-Att'!$AR$4</f>
        <v>0.26548143487361747</v>
      </c>
      <c r="K160" s="1207">
        <f>('SHWLP-Att'!$AC$60*(K117/$AE$117))/K117/'SHWLP-Att'!$Y$60*'SHWLP-Att'!$AR$4</f>
        <v>0.26548143487361747</v>
      </c>
      <c r="L160" s="1207">
        <f>('SHWLP-Att'!$AC$60*(L117/$AE$117))/L117/'SHWLP-Att'!$Y$60*'SHWLP-Att'!$AR$4</f>
        <v>0.26548143487361747</v>
      </c>
      <c r="M160" s="1207">
        <f>('SHWLP-Att'!$AC$60*(M117/$AE$117))/M117/'SHWLP-Att'!$Y$60*'SHWLP-Att'!$AR$4</f>
        <v>0.26548143487361747</v>
      </c>
      <c r="N160" s="1207">
        <f>('SHWLP-Att'!$AC$60*(N117/$AE$117))/N117/'SHWLP-Att'!$Y$60*'SHWLP-Att'!$AR$4</f>
        <v>0.26548143487361747</v>
      </c>
      <c r="O160" s="1207">
        <f>('SHWLP-Att'!$AC$60*(O117/$AE$117))/O117/'SHWLP-Att'!$Y$60*'SHWLP-Att'!$AR$4</f>
        <v>0.26548143487361747</v>
      </c>
      <c r="P160" s="1207">
        <f>('SHWLP-Att'!$AC$60*(P117/$AE$117))/P117/'SHWLP-Att'!$Y$60*'SHWLP-Att'!$AR$4</f>
        <v>0.26548143487361747</v>
      </c>
      <c r="Q160" s="1207">
        <f>('SHWLP-Att'!$AC$60*(Q117/$AE$117))/Q117/'SHWLP-Att'!$Y$60*'SHWLP-Att'!$AR$4</f>
        <v>0.26548143487361747</v>
      </c>
      <c r="R160" s="1207">
        <f>('SHWLP-Att'!$AC$60*(R117/$AE$117))/R117/'SHWLP-Att'!$Y$60*'SHWLP-Att'!$AR$4</f>
        <v>0.26548143487361747</v>
      </c>
      <c r="S160" s="1207">
        <f>('SHWLP-Att'!$AC$60*(S117/$AE$117))/S117/'SHWLP-Att'!$Y$60*'SHWLP-Att'!$AR$4</f>
        <v>0.26548143487361747</v>
      </c>
      <c r="T160" s="1207">
        <f>('SHWLP-Att'!$AC$60*(T117/$AE$117))/T117/'SHWLP-Att'!$Y$60*'SHWLP-Att'!$AR$4</f>
        <v>0.26548143487361747</v>
      </c>
      <c r="U160" s="1207">
        <f>('SHWLP-Att'!$AC$60*(U117/$AE$117))/U117/'SHWLP-Att'!$Y$60*'SHWLP-Att'!$AR$4</f>
        <v>0.26548143487361747</v>
      </c>
      <c r="V160" s="1207">
        <f>('SHWLP-Att'!$AC$60*(V117/$AE$117))/V117/'SHWLP-Att'!$Y$60*'SHWLP-Att'!$AR$4</f>
        <v>0.26548143487361747</v>
      </c>
      <c r="W160" s="1207">
        <f>('SHWLP-Att'!$AC$60*(W117/$AE$117))/W117/'SHWLP-Att'!$Y$60*'SHWLP-Att'!$AR$4</f>
        <v>0.26548143487361747</v>
      </c>
      <c r="X160" s="1207">
        <f>('SHWLP-Att'!$AC$60*(X117/$AE$117))/X117/'SHWLP-Att'!$Y$60*'SHWLP-Att'!$AR$4</f>
        <v>0.26548143487361753</v>
      </c>
      <c r="Y160" s="1207">
        <f>('SHWLP-Att'!$AC$60*(Y117/$AE$117))/Y117/'SHWLP-Att'!$Y$60*'SHWLP-Att'!$AR$4</f>
        <v>0.26548143487361747</v>
      </c>
      <c r="Z160" s="1207">
        <f>('SHWLP-Att'!$AC$60*(Z117/$AE$117))/Z117/'SHWLP-Att'!$Y$60*'SHWLP-Att'!$AR$4</f>
        <v>0.26548143487361753</v>
      </c>
      <c r="AA160" s="1207">
        <f>('SHWLP-Att'!$AC$60*(AA117/$AE$117))/AA117/'SHWLP-Att'!$Y$60*'SHWLP-Att'!$AR$4</f>
        <v>0.26548143487361747</v>
      </c>
      <c r="AB160" s="1207">
        <f>('SHWLP-Att'!$AC$60*(AB117/$AE$117))/AB117/'SHWLP-Att'!$Y$60*'SHWLP-Att'!$AR$4</f>
        <v>0.26548143487361747</v>
      </c>
      <c r="AC160" s="1207">
        <f>('SHWLP-Att'!$AC$60*(AC117/$AE$117))/AC117/'SHWLP-Att'!$Y$60*'SHWLP-Att'!$AR$4</f>
        <v>0.26548143487361747</v>
      </c>
      <c r="AD160" s="1207">
        <f>('SHWLP-Att'!$AC$60*(AD117/$AE$117))/AD117/'SHWLP-Att'!$Y$60*'SHWLP-Att'!$AR$4</f>
        <v>0.26548143487361747</v>
      </c>
      <c r="AE160" s="1207">
        <f>('SHWLP-Att'!$AC$60*(AE117/$AE$117))/AE117/'SHWLP-Att'!$Y$60*'SHWLP-Att'!$AR$4</f>
        <v>0.26548143487361747</v>
      </c>
      <c r="AF160" s="1191"/>
      <c r="AG160" s="1191"/>
      <c r="AH160" s="1191"/>
    </row>
    <row r="161" spans="3:66" s="1190" customFormat="1">
      <c r="C161" s="1191"/>
      <c r="D161" s="1191"/>
      <c r="E161" s="1191"/>
      <c r="F161" s="1191"/>
      <c r="G161" s="1191"/>
      <c r="H161" s="1191"/>
      <c r="I161" s="1191"/>
      <c r="J161" s="1191"/>
      <c r="K161" s="1191"/>
      <c r="L161" s="1191"/>
      <c r="M161" s="1191"/>
      <c r="N161" s="1191"/>
      <c r="O161" s="1191"/>
      <c r="P161" s="1191"/>
      <c r="Q161" s="1191"/>
      <c r="R161" s="1191"/>
      <c r="S161" s="1191"/>
      <c r="T161" s="1191"/>
      <c r="U161" s="1191"/>
      <c r="V161" s="1191"/>
      <c r="W161" s="1191"/>
      <c r="X161" s="1191"/>
      <c r="Y161" s="1191"/>
      <c r="Z161" s="1191"/>
      <c r="AA161" s="1191"/>
      <c r="AB161" s="1191"/>
      <c r="AC161" s="1191"/>
      <c r="AD161" s="1191"/>
      <c r="AE161" s="1191"/>
      <c r="AF161" s="1191"/>
      <c r="AG161" s="1191"/>
      <c r="AH161" s="1191"/>
    </row>
    <row r="162" spans="3:66" s="1190" customFormat="1">
      <c r="C162" s="1191"/>
      <c r="D162" s="1191"/>
      <c r="E162" s="1191"/>
      <c r="F162" s="1191"/>
      <c r="G162" s="1191"/>
      <c r="H162" s="1191"/>
      <c r="I162" s="1191"/>
      <c r="J162" s="1191"/>
      <c r="K162" s="1191"/>
      <c r="L162" s="1191"/>
      <c r="M162" s="1191"/>
      <c r="N162" s="1191"/>
      <c r="O162" s="1191"/>
      <c r="P162" s="1191"/>
      <c r="Q162" s="1191"/>
      <c r="R162" s="1191"/>
      <c r="S162" s="1191"/>
      <c r="T162" s="1191"/>
      <c r="U162" s="1191"/>
      <c r="V162" s="1191"/>
      <c r="W162" s="1191"/>
      <c r="X162" s="1191"/>
      <c r="Y162" s="1191"/>
      <c r="Z162" s="1191"/>
      <c r="AA162" s="1191"/>
      <c r="AB162" s="1191"/>
      <c r="AC162" s="1191"/>
      <c r="AD162" s="1191"/>
      <c r="AE162" s="1191"/>
      <c r="AF162" s="1191"/>
      <c r="AG162" s="1191"/>
      <c r="AH162" s="1191"/>
    </row>
    <row r="163" spans="3:66" s="1190" customFormat="1">
      <c r="C163" s="1191"/>
      <c r="D163" s="1191"/>
      <c r="E163" s="1191"/>
      <c r="F163" s="1191"/>
      <c r="G163" s="1191"/>
      <c r="H163" s="1191"/>
      <c r="I163" s="1191"/>
      <c r="J163" s="1191"/>
      <c r="K163" s="1191"/>
      <c r="L163" s="1191"/>
      <c r="M163" s="1191"/>
      <c r="N163" s="1191"/>
      <c r="O163" s="1191"/>
      <c r="P163" s="1191"/>
      <c r="Q163" s="1191"/>
      <c r="R163" s="1191"/>
      <c r="S163" s="1191"/>
      <c r="T163" s="1191"/>
      <c r="U163" s="1191"/>
      <c r="V163" s="1191"/>
      <c r="W163" s="1191"/>
      <c r="X163" s="1191"/>
      <c r="Y163" s="1191"/>
      <c r="Z163" s="1191"/>
      <c r="AA163" s="1191"/>
      <c r="AB163" s="1191"/>
      <c r="AC163" s="1191"/>
      <c r="AD163" s="1191"/>
      <c r="AE163" s="1191"/>
      <c r="AF163" s="1191"/>
      <c r="AG163" s="1191"/>
      <c r="AH163" s="1191"/>
    </row>
    <row r="164" spans="3:66">
      <c r="D164" s="1190"/>
      <c r="E164" s="1190"/>
      <c r="F164" s="1190"/>
      <c r="G164" s="1190"/>
      <c r="H164" s="1190"/>
      <c r="I164" s="1190"/>
      <c r="J164" s="1190"/>
      <c r="K164" s="1190"/>
      <c r="L164" s="1190"/>
      <c r="M164" s="1190"/>
      <c r="N164" s="1190"/>
      <c r="O164" s="1190"/>
      <c r="P164" s="1190"/>
      <c r="Q164" s="1190"/>
      <c r="R164" s="1190"/>
      <c r="S164" s="1190"/>
      <c r="T164" s="1190"/>
      <c r="U164" s="1190"/>
      <c r="V164" s="1190"/>
      <c r="W164" s="1190"/>
      <c r="X164" s="1190"/>
      <c r="Y164" s="1190"/>
      <c r="Z164" s="1190"/>
      <c r="AA164" s="1190"/>
      <c r="AB164" s="1190"/>
      <c r="AC164" s="1190"/>
      <c r="AD164" s="1190"/>
      <c r="AE164" s="1190"/>
      <c r="AF164" s="1190"/>
      <c r="AG164" s="1190"/>
      <c r="AH164" s="1190"/>
      <c r="AI164" s="1190"/>
      <c r="AJ164" s="1190"/>
      <c r="AK164" s="1190"/>
      <c r="AL164" s="1190"/>
      <c r="AO164" s="1129"/>
      <c r="AP164" s="1129"/>
      <c r="AQ164" s="1129"/>
      <c r="AR164" s="1129"/>
      <c r="AS164" s="1129"/>
      <c r="AT164" s="1129"/>
      <c r="AU164" s="1129"/>
      <c r="AW164" s="1129"/>
      <c r="AX164" s="1129"/>
      <c r="AY164" s="1129"/>
      <c r="AZ164" s="1129"/>
      <c r="BA164" s="1129"/>
      <c r="BB164" s="1129"/>
      <c r="BC164" s="1129"/>
      <c r="BD164" s="1129"/>
      <c r="BE164" s="1129"/>
      <c r="BF164" s="1129"/>
      <c r="BG164" s="1129"/>
      <c r="BH164" s="1129"/>
      <c r="BJ164" s="1129"/>
      <c r="BK164" s="1129"/>
      <c r="BL164" s="1129"/>
      <c r="BM164" s="1129"/>
      <c r="BN164" s="1129"/>
    </row>
    <row r="165" spans="3:66" ht="15">
      <c r="C165" s="1339" t="s">
        <v>1108</v>
      </c>
      <c r="D165" s="1339"/>
      <c r="E165" s="1339"/>
      <c r="F165" s="1339"/>
      <c r="G165" s="1339"/>
      <c r="H165" s="1339"/>
      <c r="I165" s="1128"/>
      <c r="J165" s="1128"/>
      <c r="K165" s="1128"/>
      <c r="L165" s="1128"/>
      <c r="M165" s="1128"/>
      <c r="N165" s="1128"/>
      <c r="O165" s="1128"/>
      <c r="P165" s="1128"/>
      <c r="Q165" s="1128"/>
      <c r="R165" s="1128"/>
      <c r="S165" s="1128"/>
      <c r="T165" s="1128"/>
      <c r="U165" s="1128"/>
      <c r="V165" s="1128"/>
      <c r="W165" s="1128"/>
      <c r="X165" s="1128"/>
      <c r="Y165" s="1128"/>
      <c r="Z165" s="1128"/>
      <c r="AA165" s="1128"/>
      <c r="AB165" s="1128"/>
      <c r="AC165" s="1128"/>
      <c r="AD165" s="1128"/>
      <c r="AE165" s="1128"/>
      <c r="AF165" s="1128"/>
      <c r="AO165" s="1129"/>
      <c r="AP165" s="1129"/>
      <c r="AQ165" s="1129"/>
      <c r="AR165" s="1129"/>
      <c r="AS165" s="1129"/>
      <c r="AT165" s="1129"/>
      <c r="AU165" s="1129"/>
      <c r="AW165" s="1129"/>
      <c r="AX165" s="1129"/>
      <c r="AY165" s="1129"/>
      <c r="AZ165" s="1129"/>
      <c r="BA165" s="1129"/>
      <c r="BB165" s="1129"/>
      <c r="BC165" s="1129"/>
      <c r="BD165" s="1129"/>
      <c r="BE165" s="1129"/>
      <c r="BF165" s="1129"/>
      <c r="BG165" s="1129"/>
      <c r="BH165" s="1129"/>
      <c r="BJ165" s="1129"/>
      <c r="BK165" s="1129"/>
      <c r="BL165" s="1129"/>
      <c r="BM165" s="1129"/>
      <c r="BN165" s="1129"/>
    </row>
    <row r="166" spans="3:66" ht="15">
      <c r="C166" s="1131" t="s">
        <v>253</v>
      </c>
      <c r="D166" s="1131" t="s">
        <v>277</v>
      </c>
      <c r="E166" s="1131" t="s">
        <v>255</v>
      </c>
      <c r="F166" s="1131" t="s">
        <v>256</v>
      </c>
      <c r="G166" s="1131" t="s">
        <v>655</v>
      </c>
      <c r="H166" s="1131" t="s">
        <v>660</v>
      </c>
      <c r="I166" s="1131" t="s">
        <v>663</v>
      </c>
      <c r="J166" s="1131" t="s">
        <v>664</v>
      </c>
      <c r="K166" s="1131" t="s">
        <v>665</v>
      </c>
      <c r="L166" s="1131" t="s">
        <v>668</v>
      </c>
      <c r="M166" s="1131" t="s">
        <v>669</v>
      </c>
      <c r="N166" s="1131" t="s">
        <v>671</v>
      </c>
      <c r="O166" s="1131" t="s">
        <v>673</v>
      </c>
      <c r="P166" s="1131" t="s">
        <v>678</v>
      </c>
      <c r="Q166" s="1131" t="s">
        <v>679</v>
      </c>
      <c r="R166" s="1131" t="s">
        <v>680</v>
      </c>
      <c r="S166" s="1131" t="s">
        <v>657</v>
      </c>
      <c r="T166" s="1131" t="s">
        <v>658</v>
      </c>
      <c r="U166" s="1131" t="s">
        <v>662</v>
      </c>
      <c r="V166" s="1131" t="s">
        <v>667</v>
      </c>
      <c r="W166" s="1131" t="s">
        <v>676</v>
      </c>
      <c r="X166" s="1131" t="s">
        <v>677</v>
      </c>
      <c r="Y166" s="1131" t="s">
        <v>661</v>
      </c>
      <c r="Z166" s="1131" t="s">
        <v>666</v>
      </c>
      <c r="AA166" s="1131" t="s">
        <v>670</v>
      </c>
      <c r="AB166" s="1131" t="s">
        <v>674</v>
      </c>
      <c r="AC166" s="1131" t="s">
        <v>675</v>
      </c>
      <c r="AD166" s="1131" t="s">
        <v>656</v>
      </c>
      <c r="AE166" s="1131" t="s">
        <v>659</v>
      </c>
      <c r="AF166" s="1131" t="s">
        <v>672</v>
      </c>
      <c r="AO166" s="1129"/>
      <c r="AP166" s="1129"/>
      <c r="AQ166" s="1129"/>
      <c r="AR166" s="1129"/>
      <c r="AS166" s="1129"/>
      <c r="AT166" s="1129"/>
      <c r="AU166" s="1129"/>
      <c r="AW166" s="1129"/>
      <c r="AX166" s="1129"/>
      <c r="AY166" s="1129"/>
      <c r="AZ166" s="1129"/>
      <c r="BA166" s="1129"/>
      <c r="BB166" s="1129"/>
      <c r="BC166" s="1129"/>
      <c r="BD166" s="1129"/>
      <c r="BE166" s="1129"/>
      <c r="BF166" s="1129"/>
      <c r="BG166" s="1129"/>
      <c r="BH166" s="1129"/>
      <c r="BJ166" s="1129"/>
      <c r="BK166" s="1129"/>
      <c r="BL166" s="1129"/>
      <c r="BM166" s="1129"/>
      <c r="BN166" s="1129"/>
    </row>
    <row r="167" spans="3:66" ht="15.75" thickBot="1">
      <c r="C167" s="1139" t="s">
        <v>1106</v>
      </c>
      <c r="D167" s="1139"/>
      <c r="E167" s="1139"/>
      <c r="F167" s="1139"/>
      <c r="G167" s="1139"/>
      <c r="H167" s="1139"/>
      <c r="I167" s="1139"/>
      <c r="J167" s="1139"/>
      <c r="K167" s="1139"/>
      <c r="L167" s="1139"/>
      <c r="M167" s="1139"/>
      <c r="N167" s="1139"/>
      <c r="O167" s="1139"/>
      <c r="P167" s="1139"/>
      <c r="Q167" s="1139"/>
      <c r="R167" s="1139"/>
      <c r="S167" s="1139"/>
      <c r="T167" s="1139"/>
      <c r="U167" s="1139"/>
      <c r="V167" s="1139"/>
      <c r="W167" s="1139"/>
      <c r="X167" s="1139"/>
      <c r="Y167" s="1139"/>
      <c r="Z167" s="1139"/>
      <c r="AA167" s="1139"/>
      <c r="AB167" s="1139"/>
      <c r="AC167" s="1139"/>
      <c r="AD167" s="1139"/>
      <c r="AE167" s="1139"/>
      <c r="AF167" s="1139"/>
      <c r="AO167" s="1129"/>
      <c r="AP167" s="1129"/>
      <c r="AQ167" s="1129"/>
      <c r="AR167" s="1129"/>
      <c r="AS167" s="1129"/>
      <c r="AT167" s="1129"/>
      <c r="AU167" s="1129"/>
      <c r="AW167" s="1129"/>
      <c r="AX167" s="1129"/>
      <c r="AY167" s="1129"/>
      <c r="AZ167" s="1129"/>
      <c r="BA167" s="1129"/>
      <c r="BB167" s="1129"/>
      <c r="BC167" s="1129"/>
      <c r="BD167" s="1129"/>
      <c r="BE167" s="1129"/>
      <c r="BF167" s="1129"/>
      <c r="BG167" s="1129"/>
      <c r="BH167" s="1129"/>
      <c r="BJ167" s="1129"/>
      <c r="BK167" s="1129"/>
      <c r="BL167" s="1129"/>
      <c r="BM167" s="1129"/>
      <c r="BN167" s="1129"/>
    </row>
    <row r="168" spans="3:66">
      <c r="C168" s="1134" t="s">
        <v>1102</v>
      </c>
      <c r="D168" s="1134" t="s">
        <v>1094</v>
      </c>
      <c r="E168" s="1134" t="s">
        <v>834</v>
      </c>
      <c r="F168" s="1134" t="s">
        <v>1096</v>
      </c>
      <c r="G168" s="1134">
        <f>SUMIFS(INDEX(ArchetypeDemand!$I$6:$AH$50,,MATCH($G$166,ArchetypeDemand!$I$4:$AH$4,0)),ArchetypeDemand!$F$6:$F$50,$F168)*'SHWLP-Att'!$R$14</f>
        <v>0.44833234472929073</v>
      </c>
      <c r="H168" s="1134">
        <f>SUMIFS(INDEX(ArchetypeDemand!$I$6:$AH$50,,MATCH(H$166,ArchetypeDemand!$I$4:$AH$4,0)),ArchetypeDemand!$F$6:$F$50,$F168)*'SHWLP-Att'!$R$14</f>
        <v>17.071537750681237</v>
      </c>
      <c r="I168" s="1134">
        <f>SUMIFS(INDEX(ArchetypeDemand!$I$6:$AH$50,,MATCH(I$166,ArchetypeDemand!$I$4:$AH$4,0)),ArchetypeDemand!$F$6:$F$50,$F168)*'SHWLP-Att'!$R$14</f>
        <v>3.4424035609174761</v>
      </c>
      <c r="J168" s="1134">
        <f>SUMIFS(INDEX(ArchetypeDemand!$I$6:$AH$50,,MATCH(J$166,ArchetypeDemand!$I$4:$AH$4,0)),ArchetypeDemand!$F$6:$F$50,$F168)*'SHWLP-Att'!$R$14</f>
        <v>0.53473664881441496</v>
      </c>
      <c r="K168" s="1134">
        <f>SUMIFS(INDEX(ArchetypeDemand!$I$6:$AH$50,,MATCH(K$166,ArchetypeDemand!$I$4:$AH$4,0)),ArchetypeDemand!$F$6:$F$50,$F168)*'SHWLP-Att'!$R$14</f>
        <v>0.51193914882126546</v>
      </c>
      <c r="L168" s="1134">
        <f>SUMIFS(INDEX(ArchetypeDemand!$I$6:$AH$50,,MATCH(L$166,ArchetypeDemand!$I$4:$AH$4,0)),ArchetypeDemand!$F$6:$F$50,$F168)*'SHWLP-Att'!$R$14</f>
        <v>0.20254801735599176</v>
      </c>
      <c r="M168" s="1134">
        <f>SUMIFS(INDEX(ArchetypeDemand!$I$6:$AH$50,,MATCH(M$166,ArchetypeDemand!$I$4:$AH$4,0)),ArchetypeDemand!$F$6:$F$50,$F168)*'SHWLP-Att'!$R$14</f>
        <v>1.6751892832054454</v>
      </c>
      <c r="N168" s="1134">
        <f>SUMIFS(INDEX(ArchetypeDemand!$I$6:$AH$50,,MATCH(N$166,ArchetypeDemand!$I$4:$AH$4,0)),ArchetypeDemand!$F$6:$F$50,$F168)*'SHWLP-Att'!$R$14</f>
        <v>3.0327896686531157</v>
      </c>
      <c r="O168" s="1134">
        <f>SUMIFS(INDEX(ArchetypeDemand!$I$6:$AH$50,,MATCH(O$166,ArchetypeDemand!$I$4:$AH$4,0)),ArchetypeDemand!$F$6:$F$50,$F168)*'SHWLP-Att'!$R$14</f>
        <v>0.23628350987082411</v>
      </c>
      <c r="P168" s="1134">
        <f>SUMIFS(INDEX(ArchetypeDemand!$I$6:$AH$50,,MATCH(P$166,ArchetypeDemand!$I$4:$AH$4,0)),ArchetypeDemand!$F$6:$F$50,$F168)*'SHWLP-Att'!$R$14</f>
        <v>0.41959187689005989</v>
      </c>
      <c r="Q168" s="1134">
        <f>SUMIFS(INDEX(ArchetypeDemand!$I$6:$AH$50,,MATCH(Q$166,ArchetypeDemand!$I$4:$AH$4,0)),ArchetypeDemand!$F$6:$F$50,$F168)*'SHWLP-Att'!$R$14</f>
        <v>0.65702499783221557</v>
      </c>
      <c r="R168" s="1134">
        <f>SUMIFS(INDEX(ArchetypeDemand!$I$6:$AH$50,,MATCH(R$166,ArchetypeDemand!$I$4:$AH$4,0)),ArchetypeDemand!$F$6:$F$50,$F168)*'SHWLP-Att'!$R$14</f>
        <v>1.6793403601509174</v>
      </c>
      <c r="S168" s="1134">
        <f>SUMIFS(INDEX(ArchetypeDemand!$I$6:$AH$50,,MATCH(S$166,ArchetypeDemand!$I$4:$AH$4,0)),ArchetypeDemand!$F$6:$F$50,$F168)*'SHWLP-Att'!$R$14</f>
        <v>0.48555770171503232</v>
      </c>
      <c r="T168" s="1134">
        <f>SUMIFS(INDEX(ArchetypeDemand!$I$6:$AH$50,,MATCH(T$166,ArchetypeDemand!$I$4:$AH$4,0)),ArchetypeDemand!$F$6:$F$50,$F168)*'SHWLP-Att'!$R$14</f>
        <v>5.8901390568380405</v>
      </c>
      <c r="U168" s="1134">
        <f>SUMIFS(INDEX(ArchetypeDemand!$I$6:$AH$50,,MATCH(U$166,ArchetypeDemand!$I$4:$AH$4,0)),ArchetypeDemand!$F$6:$F$50,$F168)*'SHWLP-Att'!$R$14</f>
        <v>0.64204725802396789</v>
      </c>
      <c r="V168" s="1134">
        <f>SUMIFS(INDEX(ArchetypeDemand!$I$6:$AH$50,,MATCH(V$166,ArchetypeDemand!$I$4:$AH$4,0)),ArchetypeDemand!$F$6:$F$50,$F168)*'SHWLP-Att'!$R$14</f>
        <v>1.2644500094294564</v>
      </c>
      <c r="W168" s="1134">
        <f>SUMIFS(INDEX(ArchetypeDemand!$I$6:$AH$50,,MATCH(W$166,ArchetypeDemand!$I$4:$AH$4,0)),ArchetypeDemand!$F$6:$F$50,$F168)*'SHWLP-Att'!$R$14</f>
        <v>0.54715742671873446</v>
      </c>
      <c r="X168" s="1134">
        <f>SUMIFS(INDEX(ArchetypeDemand!$I$6:$AH$50,,MATCH(X$166,ArchetypeDemand!$I$4:$AH$4,0)),ArchetypeDemand!$F$6:$F$50,$F168)*'SHWLP-Att'!$R$14</f>
        <v>1.06390992353164</v>
      </c>
      <c r="Y168" s="1134">
        <f>SUMIFS(INDEX(ArchetypeDemand!$I$6:$AH$50,,MATCH(Y$166,ArchetypeDemand!$I$4:$AH$4,0)),ArchetypeDemand!$F$6:$F$50,$F168)*'SHWLP-Att'!$R$14</f>
        <v>1.0308356542514037</v>
      </c>
      <c r="Z168" s="1134">
        <f>SUMIFS(INDEX(ArchetypeDemand!$I$6:$AH$50,,MATCH(Z$166,ArchetypeDemand!$I$4:$AH$4,0)),ArchetypeDemand!$F$6:$F$50,$F168)*'SHWLP-Att'!$R$14</f>
        <v>8.1240389515910172E-2</v>
      </c>
      <c r="AA168" s="1134">
        <f>SUMIFS(INDEX(ArchetypeDemand!$I$6:$AH$50,,MATCH(AA$166,ArchetypeDemand!$I$4:$AH$4,0)),ArchetypeDemand!$F$6:$F$50,$F168)*'SHWLP-Att'!$R$14</f>
        <v>0.41301958252452825</v>
      </c>
      <c r="AB168" s="1134">
        <f>SUMIFS(INDEX(ArchetypeDemand!$I$6:$AH$50,,MATCH(AB$166,ArchetypeDemand!$I$4:$AH$4,0)),ArchetypeDemand!$F$6:$F$50,$F168)*'SHWLP-Att'!$R$14</f>
        <v>0.10449024576810285</v>
      </c>
      <c r="AC168" s="1134">
        <f>SUMIFS(INDEX(ArchetypeDemand!$I$6:$AH$50,,MATCH(AC$166,ArchetypeDemand!$I$4:$AH$4,0)),ArchetypeDemand!$F$6:$F$50,$F168)*'SHWLP-Att'!$R$14</f>
        <v>0.32598048710089944</v>
      </c>
      <c r="AD168" s="1134">
        <f>SUMIFS(INDEX(ArchetypeDemand!$I$6:$AH$50,,MATCH(AD$166,ArchetypeDemand!$I$4:$AH$4,0)),ArchetypeDemand!$F$6:$F$50,$F168)*'SHWLP-Att'!$R$14</f>
        <v>0.36652101544843257</v>
      </c>
      <c r="AE168" s="1134">
        <f>SUMIFS(INDEX(ArchetypeDemand!$I$6:$AH$50,,MATCH(AE$166,ArchetypeDemand!$I$4:$AH$4,0)),ArchetypeDemand!$F$6:$F$50,$F168)*'SHWLP-Att'!$R$14</f>
        <v>0.45067079672863813</v>
      </c>
      <c r="AF168" s="1134">
        <f>SUMIFS(INDEX(ArchetypeDemand!$I$6:$AH$50,,MATCH(AF$166,ArchetypeDemand!$I$4:$AH$4,0)),ArchetypeDemand!$F$6:$F$50,$F168)*'SHWLP-Att'!$R$14</f>
        <v>0.34219644079928868</v>
      </c>
      <c r="AO168" s="1129"/>
      <c r="AP168" s="1129"/>
      <c r="AQ168" s="1129"/>
      <c r="AR168" s="1129"/>
      <c r="AS168" s="1129"/>
      <c r="AT168" s="1129"/>
      <c r="AU168" s="1129"/>
      <c r="AW168" s="1129"/>
      <c r="AX168" s="1129"/>
      <c r="AY168" s="1129"/>
      <c r="AZ168" s="1129"/>
      <c r="BA168" s="1129"/>
      <c r="BB168" s="1129"/>
      <c r="BC168" s="1129"/>
      <c r="BD168" s="1129"/>
      <c r="BE168" s="1129"/>
      <c r="BF168" s="1129"/>
      <c r="BG168" s="1129"/>
      <c r="BH168" s="1129"/>
      <c r="BJ168" s="1129"/>
      <c r="BK168" s="1129"/>
      <c r="BL168" s="1129"/>
      <c r="BM168" s="1129"/>
      <c r="BN168" s="1129"/>
    </row>
    <row r="169" spans="3:66">
      <c r="C169" s="1136" t="s">
        <v>1102</v>
      </c>
      <c r="D169" s="1136" t="s">
        <v>1094</v>
      </c>
      <c r="E169" s="1136" t="s">
        <v>834</v>
      </c>
      <c r="F169" s="1136" t="s">
        <v>1097</v>
      </c>
      <c r="G169" s="1136">
        <f>SUMIFS(INDEX(ArchetypeDemand!$I$6:$AH$50,,MATCH($G$166,ArchetypeDemand!$I$4:$AH$4,0)),ArchetypeDemand!$F$6:$F$50,$F169)*'SHWLP-Att'!$R$14</f>
        <v>1.1906284640221723</v>
      </c>
      <c r="H169" s="1136">
        <f>SUMIFS(INDEX(ArchetypeDemand!$I$6:$AH$50,,MATCH(H$166,ArchetypeDemand!$I$4:$AH$4,0)),ArchetypeDemand!$F$6:$F$50,$F169)*'SHWLP-Att'!$R$14</f>
        <v>29.817435067134955</v>
      </c>
      <c r="I169" s="1136">
        <f>SUMIFS(INDEX(ArchetypeDemand!$I$6:$AH$50,,MATCH(I$166,ArchetypeDemand!$I$4:$AH$4,0)),ArchetypeDemand!$F$6:$F$50,$F169)*'SHWLP-Att'!$R$14</f>
        <v>4.2795082854002269</v>
      </c>
      <c r="J169" s="1136">
        <f>SUMIFS(INDEX(ArchetypeDemand!$I$6:$AH$50,,MATCH(J$166,ArchetypeDemand!$I$4:$AH$4,0)),ArchetypeDemand!$F$6:$F$50,$F169)*'SHWLP-Att'!$R$14</f>
        <v>1.5226886041462406</v>
      </c>
      <c r="K169" s="1136">
        <f>SUMIFS(INDEX(ArchetypeDemand!$I$6:$AH$50,,MATCH(K$166,ArchetypeDemand!$I$4:$AH$4,0)),ArchetypeDemand!$F$6:$F$50,$F169)*'SHWLP-Att'!$R$14</f>
        <v>1.5149213164533828</v>
      </c>
      <c r="L169" s="1136">
        <f>SUMIFS(INDEX(ArchetypeDemand!$I$6:$AH$50,,MATCH(L$166,ArchetypeDemand!$I$4:$AH$4,0)),ArchetypeDemand!$F$6:$F$50,$F169)*'SHWLP-Att'!$R$14</f>
        <v>0.58035707513558998</v>
      </c>
      <c r="M169" s="1136">
        <f>SUMIFS(INDEX(ArchetypeDemand!$I$6:$AH$50,,MATCH(M$166,ArchetypeDemand!$I$4:$AH$4,0)),ArchetypeDemand!$F$6:$F$50,$F169)*'SHWLP-Att'!$R$14</f>
        <v>3.2303592563441108</v>
      </c>
      <c r="N169" s="1136">
        <f>SUMIFS(INDEX(ArchetypeDemand!$I$6:$AH$50,,MATCH(N$166,ArchetypeDemand!$I$4:$AH$4,0)),ArchetypeDemand!$F$6:$F$50,$F169)*'SHWLP-Att'!$R$14</f>
        <v>3.3836878162534836</v>
      </c>
      <c r="O169" s="1136">
        <f>SUMIFS(INDEX(ArchetypeDemand!$I$6:$AH$50,,MATCH(O$166,ArchetypeDemand!$I$4:$AH$4,0)),ArchetypeDemand!$F$6:$F$50,$F169)*'SHWLP-Att'!$R$14</f>
        <v>1.107929141488496</v>
      </c>
      <c r="P169" s="1136">
        <f>SUMIFS(INDEX(ArchetypeDemand!$I$6:$AH$50,,MATCH(P$166,ArchetypeDemand!$I$4:$AH$4,0)),ArchetypeDemand!$F$6:$F$50,$F169)*'SHWLP-Att'!$R$14</f>
        <v>1.5255394912698221</v>
      </c>
      <c r="Q169" s="1136">
        <f>SUMIFS(INDEX(ArchetypeDemand!$I$6:$AH$50,,MATCH(Q$166,ArchetypeDemand!$I$4:$AH$4,0)),ArchetypeDemand!$F$6:$F$50,$F169)*'SHWLP-Att'!$R$14</f>
        <v>2.0893046985970569</v>
      </c>
      <c r="R169" s="1136">
        <f>SUMIFS(INDEX(ArchetypeDemand!$I$6:$AH$50,,MATCH(R$166,ArchetypeDemand!$I$4:$AH$4,0)),ArchetypeDemand!$F$6:$F$50,$F169)*'SHWLP-Att'!$R$14</f>
        <v>2.3772498402717606</v>
      </c>
      <c r="S169" s="1136">
        <f>SUMIFS(INDEX(ArchetypeDemand!$I$6:$AH$50,,MATCH(S$166,ArchetypeDemand!$I$4:$AH$4,0)),ArchetypeDemand!$F$6:$F$50,$F169)*'SHWLP-Att'!$R$14</f>
        <v>1.7128236388310325</v>
      </c>
      <c r="T169" s="1136">
        <f>SUMIFS(INDEX(ArchetypeDemand!$I$6:$AH$50,,MATCH(T$166,ArchetypeDemand!$I$4:$AH$4,0)),ArchetypeDemand!$F$6:$F$50,$F169)*'SHWLP-Att'!$R$14</f>
        <v>11.318418978363054</v>
      </c>
      <c r="U169" s="1136">
        <f>SUMIFS(INDEX(ArchetypeDemand!$I$6:$AH$50,,MATCH(U$166,ArchetypeDemand!$I$4:$AH$4,0)),ArchetypeDemand!$F$6:$F$50,$F169)*'SHWLP-Att'!$R$14</f>
        <v>1.7396041912648617</v>
      </c>
      <c r="V169" s="1136">
        <f>SUMIFS(INDEX(ArchetypeDemand!$I$6:$AH$50,,MATCH(V$166,ArchetypeDemand!$I$4:$AH$4,0)),ArchetypeDemand!$F$6:$F$50,$F169)*'SHWLP-Att'!$R$14</f>
        <v>3.9169881655581458</v>
      </c>
      <c r="W169" s="1136">
        <f>SUMIFS(INDEX(ArchetypeDemand!$I$6:$AH$50,,MATCH(W$166,ArchetypeDemand!$I$4:$AH$4,0)),ArchetypeDemand!$F$6:$F$50,$F169)*'SHWLP-Att'!$R$14</f>
        <v>2.4799076624300582</v>
      </c>
      <c r="X169" s="1136">
        <f>SUMIFS(INDEX(ArchetypeDemand!$I$6:$AH$50,,MATCH(X$166,ArchetypeDemand!$I$4:$AH$4,0)),ArchetypeDemand!$F$6:$F$50,$F169)*'SHWLP-Att'!$R$14</f>
        <v>2.572972957330768</v>
      </c>
      <c r="Y169" s="1136">
        <f>SUMIFS(INDEX(ArchetypeDemand!$I$6:$AH$50,,MATCH(Y$166,ArchetypeDemand!$I$4:$AH$4,0)),ArchetypeDemand!$F$6:$F$50,$F169)*'SHWLP-Att'!$R$14</f>
        <v>3.6062672455973712</v>
      </c>
      <c r="Z169" s="1136">
        <f>SUMIFS(INDEX(ArchetypeDemand!$I$6:$AH$50,,MATCH(Z$166,ArchetypeDemand!$I$4:$AH$4,0)),ArchetypeDemand!$F$6:$F$50,$F169)*'SHWLP-Att'!$R$14</f>
        <v>0.38237664103882724</v>
      </c>
      <c r="AA169" s="1136">
        <f>SUMIFS(INDEX(ArchetypeDemand!$I$6:$AH$50,,MATCH(AA$166,ArchetypeDemand!$I$4:$AH$4,0)),ArchetypeDemand!$F$6:$F$50,$F169)*'SHWLP-Att'!$R$14</f>
        <v>1.5680535924939638</v>
      </c>
      <c r="AB169" s="1136">
        <f>SUMIFS(INDEX(ArchetypeDemand!$I$6:$AH$50,,MATCH(AB$166,ArchetypeDemand!$I$4:$AH$4,0)),ArchetypeDemand!$F$6:$F$50,$F169)*'SHWLP-Att'!$R$14</f>
        <v>0.82725683589060062</v>
      </c>
      <c r="AC169" s="1136">
        <f>SUMIFS(INDEX(ArchetypeDemand!$I$6:$AH$50,,MATCH(AC$166,ArchetypeDemand!$I$4:$AH$4,0)),ArchetypeDemand!$F$6:$F$50,$F169)*'SHWLP-Att'!$R$14</f>
        <v>1.043434643077731</v>
      </c>
      <c r="AD169" s="1136">
        <f>SUMIFS(INDEX(ArchetypeDemand!$I$6:$AH$50,,MATCH(AD$166,ArchetypeDemand!$I$4:$AH$4,0)),ArchetypeDemand!$F$6:$F$50,$F169)*'SHWLP-Att'!$R$14</f>
        <v>1.1319392168754263</v>
      </c>
      <c r="AE169" s="1136">
        <f>SUMIFS(INDEX(ArchetypeDemand!$I$6:$AH$50,,MATCH(AE$166,ArchetypeDemand!$I$4:$AH$4,0)),ArchetypeDemand!$F$6:$F$50,$F169)*'SHWLP-Att'!$R$14</f>
        <v>2.308509541411353</v>
      </c>
      <c r="AF169" s="1136">
        <f>SUMIFS(INDEX(ArchetypeDemand!$I$6:$AH$50,,MATCH(AF$166,ArchetypeDemand!$I$4:$AH$4,0)),ArchetypeDemand!$F$6:$F$50,$F169)*'SHWLP-Att'!$R$14</f>
        <v>0.75376630232878172</v>
      </c>
      <c r="AO169" s="1129"/>
      <c r="AP169" s="1129"/>
      <c r="AQ169" s="1129"/>
      <c r="AR169" s="1129"/>
      <c r="AS169" s="1129"/>
      <c r="AT169" s="1129"/>
      <c r="AU169" s="1129"/>
      <c r="AW169" s="1129"/>
      <c r="AX169" s="1129"/>
      <c r="AY169" s="1129"/>
      <c r="AZ169" s="1129"/>
      <c r="BA169" s="1129"/>
      <c r="BB169" s="1129"/>
      <c r="BC169" s="1129"/>
      <c r="BD169" s="1129"/>
      <c r="BE169" s="1129"/>
      <c r="BF169" s="1129"/>
      <c r="BG169" s="1129"/>
      <c r="BH169" s="1129"/>
      <c r="BJ169" s="1129"/>
      <c r="BK169" s="1129"/>
      <c r="BL169" s="1129"/>
      <c r="BM169" s="1129"/>
      <c r="BN169" s="1129"/>
    </row>
    <row r="170" spans="3:66">
      <c r="C170" s="1134" t="s">
        <v>1102</v>
      </c>
      <c r="D170" s="1134" t="s">
        <v>1094</v>
      </c>
      <c r="E170" s="1134" t="s">
        <v>834</v>
      </c>
      <c r="F170" s="1134" t="s">
        <v>1098</v>
      </c>
      <c r="G170" s="1134">
        <f>SUMIFS(INDEX(ArchetypeDemand!$I$6:$AH$50,,MATCH($G$166,ArchetypeDemand!$I$4:$AH$4,0)),ArchetypeDemand!$F$6:$F$50,$F170)*'SHWLP-Att'!$R$14</f>
        <v>0.62473383068605248</v>
      </c>
      <c r="H170" s="1134">
        <f>SUMIFS(INDEX(ArchetypeDemand!$I$6:$AH$50,,MATCH(H$166,ArchetypeDemand!$I$4:$AH$4,0)),ArchetypeDemand!$F$6:$F$50,$F170)*'SHWLP-Att'!$R$14</f>
        <v>21.848703829255605</v>
      </c>
      <c r="I170" s="1134">
        <f>SUMIFS(INDEX(ArchetypeDemand!$I$6:$AH$50,,MATCH(I$166,ArchetypeDemand!$I$4:$AH$4,0)),ArchetypeDemand!$F$6:$F$50,$F170)*'SHWLP-Att'!$R$14</f>
        <v>2.4049993472896505</v>
      </c>
      <c r="J170" s="1134">
        <f>SUMIFS(INDEX(ArchetypeDemand!$I$6:$AH$50,,MATCH(J$166,ArchetypeDemand!$I$4:$AH$4,0)),ArchetypeDemand!$F$6:$F$50,$F170)*'SHWLP-Att'!$R$14</f>
        <v>0.88726342094585697</v>
      </c>
      <c r="K170" s="1134">
        <f>SUMIFS(INDEX(ArchetypeDemand!$I$6:$AH$50,,MATCH(K$166,ArchetypeDemand!$I$4:$AH$4,0)),ArchetypeDemand!$F$6:$F$50,$F170)*'SHWLP-Att'!$R$14</f>
        <v>0.56145933392095282</v>
      </c>
      <c r="L170" s="1134">
        <f>SUMIFS(INDEX(ArchetypeDemand!$I$6:$AH$50,,MATCH(L$166,ArchetypeDemand!$I$4:$AH$4,0)),ArchetypeDemand!$F$6:$F$50,$F170)*'SHWLP-Att'!$R$14</f>
        <v>0.35855822722601571</v>
      </c>
      <c r="M170" s="1134">
        <f>SUMIFS(INDEX(ArchetypeDemand!$I$6:$AH$50,,MATCH(M$166,ArchetypeDemand!$I$4:$AH$4,0)),ArchetypeDemand!$F$6:$F$50,$F170)*'SHWLP-Att'!$R$14</f>
        <v>1.282135370355258</v>
      </c>
      <c r="N170" s="1134">
        <f>SUMIFS(INDEX(ArchetypeDemand!$I$6:$AH$50,,MATCH(N$166,ArchetypeDemand!$I$4:$AH$4,0)),ArchetypeDemand!$F$6:$F$50,$F170)*'SHWLP-Att'!$R$14</f>
        <v>1.0113880066164258</v>
      </c>
      <c r="O170" s="1134">
        <f>SUMIFS(INDEX(ArchetypeDemand!$I$6:$AH$50,,MATCH(O$166,ArchetypeDemand!$I$4:$AH$4,0)),ArchetypeDemand!$F$6:$F$50,$F170)*'SHWLP-Att'!$R$14</f>
        <v>0.52251185087078944</v>
      </c>
      <c r="P170" s="1134">
        <f>SUMIFS(INDEX(ArchetypeDemand!$I$6:$AH$50,,MATCH(P$166,ArchetypeDemand!$I$4:$AH$4,0)),ArchetypeDemand!$F$6:$F$50,$F170)*'SHWLP-Att'!$R$14</f>
        <v>0.85232359972993144</v>
      </c>
      <c r="Q170" s="1134">
        <f>SUMIFS(INDEX(ArchetypeDemand!$I$6:$AH$50,,MATCH(Q$166,ArchetypeDemand!$I$4:$AH$4,0)),ArchetypeDemand!$F$6:$F$50,$F170)*'SHWLP-Att'!$R$14</f>
        <v>1.5110194563225194</v>
      </c>
      <c r="R170" s="1134">
        <f>SUMIFS(INDEX(ArchetypeDemand!$I$6:$AH$50,,MATCH(R$166,ArchetypeDemand!$I$4:$AH$4,0)),ArchetypeDemand!$F$6:$F$50,$F170)*'SHWLP-Att'!$R$14</f>
        <v>1.4487982599219322</v>
      </c>
      <c r="S170" s="1134">
        <f>SUMIFS(INDEX(ArchetypeDemand!$I$6:$AH$50,,MATCH(S$166,ArchetypeDemand!$I$4:$AH$4,0)),ArchetypeDemand!$F$6:$F$50,$F170)*'SHWLP-Att'!$R$14</f>
        <v>1.3328473653749322</v>
      </c>
      <c r="T170" s="1134">
        <f>SUMIFS(INDEX(ArchetypeDemand!$I$6:$AH$50,,MATCH(T$166,ArchetypeDemand!$I$4:$AH$4,0)),ArchetypeDemand!$F$6:$F$50,$F170)*'SHWLP-Att'!$R$14</f>
        <v>5.1652662444512867</v>
      </c>
      <c r="U170" s="1134">
        <f>SUMIFS(INDEX(ArchetypeDemand!$I$6:$AH$50,,MATCH(U$166,ArchetypeDemand!$I$4:$AH$4,0)),ArchetypeDemand!$F$6:$F$50,$F170)*'SHWLP-Att'!$R$14</f>
        <v>1.2041657980993714</v>
      </c>
      <c r="V170" s="1134">
        <f>SUMIFS(INDEX(ArchetypeDemand!$I$6:$AH$50,,MATCH(V$166,ArchetypeDemand!$I$4:$AH$4,0)),ArchetypeDemand!$F$6:$F$50,$F170)*'SHWLP-Att'!$R$14</f>
        <v>2.4273113739044629</v>
      </c>
      <c r="W170" s="1134">
        <f>SUMIFS(INDEX(ArchetypeDemand!$I$6:$AH$50,,MATCH(W$166,ArchetypeDemand!$I$4:$AH$4,0)),ArchetypeDemand!$F$6:$F$50,$F170)*'SHWLP-Att'!$R$14</f>
        <v>1.6340594424003971</v>
      </c>
      <c r="X170" s="1134">
        <f>SUMIFS(INDEX(ArchetypeDemand!$I$6:$AH$50,,MATCH(X$166,ArchetypeDemand!$I$4:$AH$4,0)),ArchetypeDemand!$F$6:$F$50,$F170)*'SHWLP-Att'!$R$14</f>
        <v>1.6671084819271007</v>
      </c>
      <c r="Y170" s="1134">
        <f>SUMIFS(INDEX(ArchetypeDemand!$I$6:$AH$50,,MATCH(Y$166,ArchetypeDemand!$I$4:$AH$4,0)),ArchetypeDemand!$F$6:$F$50,$F170)*'SHWLP-Att'!$R$14</f>
        <v>2.0168645892207957</v>
      </c>
      <c r="Z170" s="1134">
        <f>SUMIFS(INDEX(ArchetypeDemand!$I$6:$AH$50,,MATCH(Z$166,ArchetypeDemand!$I$4:$AH$4,0)),ArchetypeDemand!$F$6:$F$50,$F170)*'SHWLP-Att'!$R$14</f>
        <v>0.14060836646984454</v>
      </c>
      <c r="AA170" s="1134">
        <f>SUMIFS(INDEX(ArchetypeDemand!$I$6:$AH$50,,MATCH(AA$166,ArchetypeDemand!$I$4:$AH$4,0)),ArchetypeDemand!$F$6:$F$50,$F170)*'SHWLP-Att'!$R$14</f>
        <v>0.9440471768416594</v>
      </c>
      <c r="AB170" s="1134">
        <f>SUMIFS(INDEX(ArchetypeDemand!$I$6:$AH$50,,MATCH(AB$166,ArchetypeDemand!$I$4:$AH$4,0)),ArchetypeDemand!$F$6:$F$50,$F170)*'SHWLP-Att'!$R$14</f>
        <v>0.27921097311700999</v>
      </c>
      <c r="AC170" s="1134">
        <f>SUMIFS(INDEX(ArchetypeDemand!$I$6:$AH$50,,MATCH(AC$166,ArchetypeDemand!$I$4:$AH$4,0)),ArchetypeDemand!$F$6:$F$50,$F170)*'SHWLP-Att'!$R$14</f>
        <v>0.63407681374771041</v>
      </c>
      <c r="AD170" s="1134">
        <f>SUMIFS(INDEX(ArchetypeDemand!$I$6:$AH$50,,MATCH(AD$166,ArchetypeDemand!$I$4:$AH$4,0)),ArchetypeDemand!$F$6:$F$50,$F170)*'SHWLP-Att'!$R$14</f>
        <v>0.38801368963177368</v>
      </c>
      <c r="AE170" s="1134">
        <f>SUMIFS(INDEX(ArchetypeDemand!$I$6:$AH$50,,MATCH(AE$166,ArchetypeDemand!$I$4:$AH$4,0)),ArchetypeDemand!$F$6:$F$50,$F170)*'SHWLP-Att'!$R$14</f>
        <v>1.0511873746218579</v>
      </c>
      <c r="AF170" s="1134">
        <f>SUMIFS(INDEX(ArchetypeDemand!$I$6:$AH$50,,MATCH(AF$166,ArchetypeDemand!$I$4:$AH$4,0)),ArchetypeDemand!$F$6:$F$50,$F170)*'SHWLP-Att'!$R$14</f>
        <v>0.50558156727013182</v>
      </c>
      <c r="AO170" s="1129"/>
      <c r="AP170" s="1129"/>
      <c r="AQ170" s="1129"/>
      <c r="AR170" s="1129"/>
      <c r="AS170" s="1129"/>
      <c r="AT170" s="1129"/>
      <c r="AU170" s="1129"/>
      <c r="AW170" s="1129"/>
      <c r="AX170" s="1129"/>
      <c r="AY170" s="1129"/>
      <c r="AZ170" s="1129"/>
      <c r="BA170" s="1129"/>
      <c r="BB170" s="1129"/>
      <c r="BC170" s="1129"/>
      <c r="BD170" s="1129"/>
      <c r="BE170" s="1129"/>
      <c r="BF170" s="1129"/>
      <c r="BG170" s="1129"/>
      <c r="BH170" s="1129"/>
      <c r="BJ170" s="1129"/>
      <c r="BK170" s="1129"/>
      <c r="BL170" s="1129"/>
      <c r="BM170" s="1129"/>
      <c r="BN170" s="1129"/>
    </row>
    <row r="171" spans="3:66">
      <c r="C171" s="1136" t="s">
        <v>1102</v>
      </c>
      <c r="D171" s="1136" t="s">
        <v>1094</v>
      </c>
      <c r="E171" s="1136" t="s">
        <v>834</v>
      </c>
      <c r="F171" s="1136" t="s">
        <v>1099</v>
      </c>
      <c r="G171" s="1136">
        <f>SUMIFS(INDEX(ArchetypeDemand!$I$6:$AH$50,,MATCH($G$166,ArchetypeDemand!$I$4:$AH$4,0)),ArchetypeDemand!$F$6:$F$50,$F171)*'SHWLP-Att'!$R$14</f>
        <v>0.22151227237621809</v>
      </c>
      <c r="H171" s="1136">
        <f>SUMIFS(INDEX(ArchetypeDemand!$I$6:$AH$50,,MATCH($H$166,ArchetypeDemand!$I$4:$AH$4,0)),ArchetypeDemand!$F$6:$F$50,$F171)*'SHWLP-Att'!$R$14</f>
        <v>11.350750049372699</v>
      </c>
      <c r="I171" s="1136">
        <f>SUMIFS(INDEX(ArchetypeDemand!$I$6:$AH$50,,MATCH(I$166,ArchetypeDemand!$I$4:$AH$4,0)),ArchetypeDemand!$F$6:$F$50,$F171)*'SHWLP-Att'!$R$14</f>
        <v>0.75002255993326217</v>
      </c>
      <c r="J171" s="1136">
        <f>SUMIFS(INDEX(ArchetypeDemand!$I$6:$AH$50,,MATCH(J$166,ArchetypeDemand!$I$4:$AH$4,0)),ArchetypeDemand!$F$6:$F$50,$F171)*'SHWLP-Att'!$R$14</f>
        <v>0.41448376628942457</v>
      </c>
      <c r="K171" s="1136">
        <f>SUMIFS(INDEX(ArchetypeDemand!$I$6:$AH$50,,MATCH(K$166,ArchetypeDemand!$I$4:$AH$4,0)),ArchetypeDemand!$F$6:$F$50,$F171)*'SHWLP-Att'!$R$14</f>
        <v>0.44026562860468221</v>
      </c>
      <c r="L171" s="1136">
        <f>SUMIFS(INDEX(ArchetypeDemand!$I$6:$AH$50,,MATCH(L$166,ArchetypeDemand!$I$4:$AH$4,0)),ArchetypeDemand!$F$6:$F$50,$F171)*'SHWLP-Att'!$R$14</f>
        <v>0.14720282282787886</v>
      </c>
      <c r="M171" s="1136">
        <f>SUMIFS(INDEX(ArchetypeDemand!$I$6:$AH$50,,MATCH(M$166,ArchetypeDemand!$I$4:$AH$4,0)),ArchetypeDemand!$F$6:$F$50,$F171)*'SHWLP-Att'!$R$14</f>
        <v>0.51547769152971912</v>
      </c>
      <c r="N171" s="1136">
        <f>SUMIFS(INDEX(ArchetypeDemand!$I$6:$AH$50,,MATCH(N$166,ArchetypeDemand!$I$4:$AH$4,0)),ArchetypeDemand!$F$6:$F$50,$F171)*'SHWLP-Att'!$R$14</f>
        <v>0.35417171922873003</v>
      </c>
      <c r="O171" s="1136">
        <f>SUMIFS(INDEX(ArchetypeDemand!$I$6:$AH$50,,MATCH(O$166,ArchetypeDemand!$I$4:$AH$4,0)),ArchetypeDemand!$F$6:$F$50,$F171)*'SHWLP-Att'!$R$14</f>
        <v>0.6160199369810716</v>
      </c>
      <c r="P171" s="1136">
        <f>SUMIFS(INDEX(ArchetypeDemand!$I$6:$AH$50,,MATCH(P$166,ArchetypeDemand!$I$4:$AH$4,0)),ArchetypeDemand!$F$6:$F$50,$F171)*'SHWLP-Att'!$R$14</f>
        <v>0.42069484946963009</v>
      </c>
      <c r="Q171" s="1136">
        <f>SUMIFS(INDEX(ArchetypeDemand!$I$6:$AH$50,,MATCH(Q$166,ArchetypeDemand!$I$4:$AH$4,0)),ArchetypeDemand!$F$6:$F$50,$F171)*'SHWLP-Att'!$R$14</f>
        <v>0.66103985453106606</v>
      </c>
      <c r="R171" s="1136">
        <f>SUMIFS(INDEX(ArchetypeDemand!$I$6:$AH$50,,MATCH(R$166,ArchetypeDemand!$I$4:$AH$4,0)),ArchetypeDemand!$F$6:$F$50,$F171)*'SHWLP-Att'!$R$14</f>
        <v>0.77896828969740461</v>
      </c>
      <c r="S171" s="1136">
        <f>SUMIFS(INDEX(ArchetypeDemand!$I$6:$AH$50,,MATCH(S$166,ArchetypeDemand!$I$4:$AH$4,0)),ArchetypeDemand!$F$6:$F$50,$F171)*'SHWLP-Att'!$R$14</f>
        <v>0.57387162122225921</v>
      </c>
      <c r="T171" s="1136">
        <f>SUMIFS(INDEX(ArchetypeDemand!$I$6:$AH$50,,MATCH(T$166,ArchetypeDemand!$I$4:$AH$4,0)),ArchetypeDemand!$F$6:$F$50,$F171)*'SHWLP-Att'!$R$14</f>
        <v>2.5529037938570101</v>
      </c>
      <c r="U171" s="1136">
        <f>SUMIFS(INDEX(ArchetypeDemand!$I$6:$AH$50,,MATCH(U$166,ArchetypeDemand!$I$4:$AH$4,0)),ArchetypeDemand!$F$6:$F$50,$F171)*'SHWLP-Att'!$R$14</f>
        <v>0.61440756794607809</v>
      </c>
      <c r="V171" s="1136">
        <f>SUMIFS(INDEX(ArchetypeDemand!$I$6:$AH$50,,MATCH(V$166,ArchetypeDemand!$I$4:$AH$4,0)),ArchetypeDemand!$F$6:$F$50,$F171)*'SHWLP-Att'!$R$14</f>
        <v>1.0183972248396085</v>
      </c>
      <c r="W171" s="1136">
        <f>SUMIFS(INDEX(ArchetypeDemand!$I$6:$AH$50,,MATCH(W$166,ArchetypeDemand!$I$4:$AH$4,0)),ArchetypeDemand!$F$6:$F$50,$F171)*'SHWLP-Att'!$R$14</f>
        <v>0.91966402404898595</v>
      </c>
      <c r="X171" s="1136">
        <f>SUMIFS(INDEX(ArchetypeDemand!$I$6:$AH$50,,MATCH(X$166,ArchetypeDemand!$I$4:$AH$4,0)),ArchetypeDemand!$F$6:$F$50,$F171)*'SHWLP-Att'!$R$14</f>
        <v>0.62721844378827041</v>
      </c>
      <c r="Y171" s="1136">
        <f>SUMIFS(INDEX(ArchetypeDemand!$I$6:$AH$50,,MATCH(Y$166,ArchetypeDemand!$I$4:$AH$4,0)),ArchetypeDemand!$F$6:$F$50,$F171)*'SHWLP-Att'!$R$14</f>
        <v>0.85350686480608373</v>
      </c>
      <c r="Z171" s="1136">
        <f>SUMIFS(INDEX(ArchetypeDemand!$I$6:$AH$50,,MATCH(Z$166,ArchetypeDemand!$I$4:$AH$4,0)),ArchetypeDemand!$F$6:$F$50,$F171)*'SHWLP-Att'!$R$14</f>
        <v>8.8270807839402388E-2</v>
      </c>
      <c r="AA171" s="1136">
        <f>SUMIFS(INDEX(ArchetypeDemand!$I$6:$AH$50,,MATCH(AA$166,ArchetypeDemand!$I$4:$AH$4,0)),ArchetypeDemand!$F$6:$F$50,$F171)*'SHWLP-Att'!$R$14</f>
        <v>0.36193346356726158</v>
      </c>
      <c r="AB171" s="1136">
        <f>SUMIFS(INDEX(ArchetypeDemand!$I$6:$AH$50,,MATCH(AB$166,ArchetypeDemand!$I$4:$AH$4,0)),ArchetypeDemand!$F$6:$F$50,$F171)*'SHWLP-Att'!$R$14</f>
        <v>0.19525902511899007</v>
      </c>
      <c r="AC171" s="1136">
        <f>SUMIFS(INDEX(ArchetypeDemand!$I$6:$AH$50,,MATCH(AC$166,ArchetypeDemand!$I$4:$AH$4,0)),ArchetypeDemand!$F$6:$F$50,$F171)*'SHWLP-Att'!$R$14</f>
        <v>0.34270770970313053</v>
      </c>
      <c r="AD171" s="1136">
        <f>SUMIFS(INDEX(ArchetypeDemand!$I$6:$AH$50,,MATCH(AD$166,ArchetypeDemand!$I$4:$AH$4,0)),ArchetypeDemand!$F$6:$F$50,$F171)*'SHWLP-Att'!$R$14</f>
        <v>0.20517270638802426</v>
      </c>
      <c r="AE171" s="1136">
        <f>SUMIFS(INDEX(ArchetypeDemand!$I$6:$AH$50,,MATCH(AE$166,ArchetypeDemand!$I$4:$AH$4,0)),ArchetypeDemand!$F$6:$F$50,$F171)*'SHWLP-Att'!$R$14</f>
        <v>0.46880655403173771</v>
      </c>
      <c r="AF171" s="1136">
        <f>SUMIFS(INDEX(ArchetypeDemand!$I$6:$AH$50,,MATCH(AF$166,ArchetypeDemand!$I$4:$AH$4,0)),ArchetypeDemand!$F$6:$F$50,$F171)*'SHWLP-Att'!$R$14</f>
        <v>0.19887292088760808</v>
      </c>
    </row>
    <row r="172" spans="3:66">
      <c r="C172" s="1134" t="s">
        <v>1102</v>
      </c>
      <c r="D172" s="1134" t="s">
        <v>1094</v>
      </c>
      <c r="E172" s="1134" t="s">
        <v>834</v>
      </c>
      <c r="F172" s="1134" t="s">
        <v>1100</v>
      </c>
      <c r="G172" s="1134">
        <f>SUMIFS(INDEX(ArchetypeDemand!$I$6:$AH$50,,MATCH($G$166,ArchetypeDemand!$I$4:$AH$4,0)),ArchetypeDemand!$F$6:$F$50,$F172)*'SHWLP-Att'!$R$14</f>
        <v>0.11162141850207864</v>
      </c>
      <c r="H172" s="1134">
        <f>SUMIFS(INDEX(ArchetypeDemand!$I$6:$AH$50,,MATCH($H$166,ArchetypeDemand!$I$4:$AH$4,0)),ArchetypeDemand!$F$6:$F$50,$F172)*'SHWLP-Att'!$R$14</f>
        <v>5.2543663087449195</v>
      </c>
      <c r="I172" s="1134">
        <f>SUMIFS(INDEX(ArchetypeDemand!$I$6:$AH$50,,MATCH(I$166,ArchetypeDemand!$I$4:$AH$4,0)),ArchetypeDemand!$F$6:$F$50,$F172)*'SHWLP-Att'!$R$14</f>
        <v>0.26497147372824736</v>
      </c>
      <c r="J172" s="1134">
        <f>SUMIFS(INDEX(ArchetypeDemand!$I$6:$AH$50,,MATCH(J$166,ArchetypeDemand!$I$4:$AH$4,0)),ArchetypeDemand!$F$6:$F$50,$F172)*'SHWLP-Att'!$R$14</f>
        <v>0.18887867830910487</v>
      </c>
      <c r="K172" s="1134">
        <f>SUMIFS(INDEX(ArchetypeDemand!$I$6:$AH$50,,MATCH(K$166,ArchetypeDemand!$I$4:$AH$4,0)),ArchetypeDemand!$F$6:$F$50,$F172)*'SHWLP-Att'!$R$14</f>
        <v>0.19841447330539883</v>
      </c>
      <c r="L172" s="1134">
        <f>SUMIFS(INDEX(ArchetypeDemand!$I$6:$AH$50,,MATCH(L$166,ArchetypeDemand!$I$4:$AH$4,0)),ArchetypeDemand!$F$6:$F$50,$F172)*'SHWLP-Att'!$R$14</f>
        <v>6.9622956742915673E-2</v>
      </c>
      <c r="M172" s="1134">
        <f>SUMIFS(INDEX(ArchetypeDemand!$I$6:$AH$50,,MATCH(M$166,ArchetypeDemand!$I$4:$AH$4,0)),ArchetypeDemand!$F$6:$F$50,$F172)*'SHWLP-Att'!$R$14</f>
        <v>0.23223217394081597</v>
      </c>
      <c r="N172" s="1134">
        <f>SUMIFS(INDEX(ArchetypeDemand!$I$6:$AH$50,,MATCH(N$166,ArchetypeDemand!$I$4:$AH$4,0)),ArchetypeDemand!$F$6:$F$50,$F172)*'SHWLP-Att'!$R$14</f>
        <v>0.17383231363719823</v>
      </c>
      <c r="O172" s="1134">
        <f>SUMIFS(INDEX(ArchetypeDemand!$I$6:$AH$50,,MATCH(O$166,ArchetypeDemand!$I$4:$AH$4,0)),ArchetypeDemand!$F$6:$F$50,$F172)*'SHWLP-Att'!$R$14</f>
        <v>0.29752572853271625</v>
      </c>
      <c r="P172" s="1134">
        <f>SUMIFS(INDEX(ArchetypeDemand!$I$6:$AH$50,,MATCH(P$166,ArchetypeDemand!$I$4:$AH$4,0)),ArchetypeDemand!$F$6:$F$50,$F172)*'SHWLP-Att'!$R$14</f>
        <v>0.19004160898071165</v>
      </c>
      <c r="Q172" s="1134">
        <f>SUMIFS(INDEX(ArchetypeDemand!$I$6:$AH$50,,MATCH(Q$166,ArchetypeDemand!$I$4:$AH$4,0)),ArchetypeDemand!$F$6:$F$50,$F172)*'SHWLP-Att'!$R$14</f>
        <v>0.26970027247459027</v>
      </c>
      <c r="R172" s="1134">
        <f>SUMIFS(INDEX(ArchetypeDemand!$I$6:$AH$50,,MATCH(R$166,ArchetypeDemand!$I$4:$AH$4,0)),ArchetypeDemand!$F$6:$F$50,$F172)*'SHWLP-Att'!$R$14</f>
        <v>0.31344939147186396</v>
      </c>
      <c r="S172" s="1134">
        <f>SUMIFS(INDEX(ArchetypeDemand!$I$6:$AH$50,,MATCH(S$166,ArchetypeDemand!$I$4:$AH$4,0)),ArchetypeDemand!$F$6:$F$50,$F172)*'SHWLP-Att'!$R$14</f>
        <v>0.21391980433646768</v>
      </c>
      <c r="T172" s="1134">
        <f>SUMIFS(INDEX(ArchetypeDemand!$I$6:$AH$50,,MATCH(T$166,ArchetypeDemand!$I$4:$AH$4,0)),ArchetypeDemand!$F$6:$F$50,$F172)*'SHWLP-Att'!$R$14</f>
        <v>1.1242595553716448</v>
      </c>
      <c r="U172" s="1134">
        <f>SUMIFS(INDEX(ArchetypeDemand!$I$6:$AH$50,,MATCH(U$166,ArchetypeDemand!$I$4:$AH$4,0)),ArchetypeDemand!$F$6:$F$50,$F172)*'SHWLP-Att'!$R$14</f>
        <v>0.23553811668660943</v>
      </c>
      <c r="V172" s="1134">
        <f>SUMIFS(INDEX(ArchetypeDemand!$I$6:$AH$50,,MATCH(V$166,ArchetypeDemand!$I$4:$AH$4,0)),ArchetypeDemand!$F$6:$F$50,$F172)*'SHWLP-Att'!$R$14</f>
        <v>0.42006423248945163</v>
      </c>
      <c r="W172" s="1134">
        <f>SUMIFS(INDEX(ArchetypeDemand!$I$6:$AH$50,,MATCH(W$166,ArchetypeDemand!$I$4:$AH$4,0)),ArchetypeDemand!$F$6:$F$50,$F172)*'SHWLP-Att'!$R$14</f>
        <v>0.44390599951347426</v>
      </c>
      <c r="X172" s="1134">
        <f>SUMIFS(INDEX(ArchetypeDemand!$I$6:$AH$50,,MATCH(X$166,ArchetypeDemand!$I$4:$AH$4,0)),ArchetypeDemand!$F$6:$F$50,$F172)*'SHWLP-Att'!$R$14</f>
        <v>0.27705679569363634</v>
      </c>
      <c r="Y172" s="1134">
        <f>SUMIFS(INDEX(ArchetypeDemand!$I$6:$AH$50,,MATCH(Y$166,ArchetypeDemand!$I$4:$AH$4,0)),ArchetypeDemand!$F$6:$F$50,$F172)*'SHWLP-Att'!$R$14</f>
        <v>0.38589657362842861</v>
      </c>
      <c r="Z172" s="1134">
        <f>SUMIFS(INDEX(ArchetypeDemand!$I$6:$AH$50,,MATCH(Z$166,ArchetypeDemand!$I$4:$AH$4,0)),ArchetypeDemand!$F$6:$F$50,$F172)*'SHWLP-Att'!$R$14</f>
        <v>6.5617237685927449E-2</v>
      </c>
      <c r="AA172" s="1134">
        <f>SUMIFS(INDEX(ArchetypeDemand!$I$6:$AH$50,,MATCH(AA$166,ArchetypeDemand!$I$4:$AH$4,0)),ArchetypeDemand!$F$6:$F$50,$F172)*'SHWLP-Att'!$R$14</f>
        <v>0.19143990737810745</v>
      </c>
      <c r="AB172" s="1134">
        <f>SUMIFS(INDEX(ArchetypeDemand!$I$6:$AH$50,,MATCH(AB$166,ArchetypeDemand!$I$4:$AH$4,0)),ArchetypeDemand!$F$6:$F$50,$F172)*'SHWLP-Att'!$R$14</f>
        <v>0.10328919444700201</v>
      </c>
      <c r="AC172" s="1134">
        <f>SUMIFS(INDEX(ArchetypeDemand!$I$6:$AH$50,,MATCH(AC$166,ArchetypeDemand!$I$4:$AH$4,0)),ArchetypeDemand!$F$6:$F$50,$F172)*'SHWLP-Att'!$R$14</f>
        <v>0.14320768946858803</v>
      </c>
      <c r="AD172" s="1134">
        <f>SUMIFS(INDEX(ArchetypeDemand!$I$6:$AH$50,,MATCH(AD$166,ArchetypeDemand!$I$4:$AH$4,0)),ArchetypeDemand!$F$6:$F$50,$F172)*'SHWLP-Att'!$R$14</f>
        <v>9.2118357970133319E-2</v>
      </c>
      <c r="AE172" s="1134">
        <f>SUMIFS(INDEX(ArchetypeDemand!$I$6:$AH$50,,MATCH(AE$166,ArchetypeDemand!$I$4:$AH$4,0)),ArchetypeDemand!$F$6:$F$50,$F172)*'SHWLP-Att'!$R$14</f>
        <v>0.21163839098764681</v>
      </c>
      <c r="AF172" s="1134">
        <f>SUMIFS(INDEX(ArchetypeDemand!$I$6:$AH$50,,MATCH(AF$166,ArchetypeDemand!$I$4:$AH$4,0)),ArchetypeDemand!$F$6:$F$50,$F172)*'SHWLP-Att'!$R$14</f>
        <v>8.8327755053624321E-2</v>
      </c>
    </row>
    <row r="173" spans="3:66" ht="13.5" thickBot="1">
      <c r="C173" s="1138" t="s">
        <v>1102</v>
      </c>
      <c r="D173" s="1138" t="s">
        <v>1094</v>
      </c>
      <c r="E173" s="1138" t="s">
        <v>834</v>
      </c>
      <c r="F173" s="1138" t="s">
        <v>1101</v>
      </c>
      <c r="G173" s="1138">
        <f>SUMIFS(INDEX(ArchetypeDemand!$I$6:$AH$50,,MATCH($G$166,ArchetypeDemand!$I$4:$AH$4,0)),ArchetypeDemand!$F$6:$F$50,$F173)*'SHWLP-Att'!$R$14</f>
        <v>0.10469915999032182</v>
      </c>
      <c r="H173" s="1138">
        <f>SUMIFS(INDEX(ArchetypeDemand!$I$6:$AH$50,,MATCH($H$166,ArchetypeDemand!$I$4:$AH$4,0)),ArchetypeDemand!$F$6:$F$50,$F173)*'SHWLP-Att'!$R$14</f>
        <v>4.4567323258317897</v>
      </c>
      <c r="I173" s="1138">
        <f>SUMIFS(INDEX(ArchetypeDemand!$I$6:$AH$50,,MATCH(I$166,ArchetypeDemand!$I$4:$AH$4,0)),ArchetypeDemand!$F$6:$F$50,$F173)*'SHWLP-Att'!$R$14</f>
        <v>0.28577501918625026</v>
      </c>
      <c r="J173" s="1138">
        <f>SUMIFS(INDEX(ArchetypeDemand!$I$6:$AH$50,,MATCH(J$166,ArchetypeDemand!$I$4:$AH$4,0)),ArchetypeDemand!$F$6:$F$50,$F173)*'SHWLP-Att'!$R$14</f>
        <v>0.19937193821516624</v>
      </c>
      <c r="K173" s="1138">
        <f>SUMIFS(INDEX(ArchetypeDemand!$I$6:$AH$50,,MATCH(K$166,ArchetypeDemand!$I$4:$AH$4,0)),ArchetypeDemand!$F$6:$F$50,$F173)*'SHWLP-Att'!$R$14</f>
        <v>0.22147345263548573</v>
      </c>
      <c r="L173" s="1138">
        <f>SUMIFS(INDEX(ArchetypeDemand!$I$6:$AH$50,,MATCH(L$166,ArchetypeDemand!$I$4:$AH$4,0)),ArchetypeDemand!$F$6:$F$50,$F173)*'SHWLP-Att'!$R$14</f>
        <v>6.3655274736380052E-2</v>
      </c>
      <c r="M173" s="1138">
        <f>SUMIFS(INDEX(ArchetypeDemand!$I$6:$AH$50,,MATCH(M$166,ArchetypeDemand!$I$4:$AH$4,0)),ArchetypeDemand!$F$6:$F$50,$F173)*'SHWLP-Att'!$R$14</f>
        <v>0.34154648175814567</v>
      </c>
      <c r="N173" s="1138">
        <f>SUMIFS(INDEX(ArchetypeDemand!$I$6:$AH$50,,MATCH(N$166,ArchetypeDemand!$I$4:$AH$4,0)),ArchetypeDemand!$F$6:$F$50,$F173)*'SHWLP-Att'!$R$14</f>
        <v>0.16407167570569775</v>
      </c>
      <c r="O173" s="1138">
        <f>SUMIFS(INDEX(ArchetypeDemand!$I$6:$AH$50,,MATCH(O$166,ArchetypeDemand!$I$4:$AH$4,0)),ArchetypeDemand!$F$6:$F$50,$F173)*'SHWLP-Att'!$R$14</f>
        <v>0.28732484641159456</v>
      </c>
      <c r="P173" s="1138">
        <f>SUMIFS(INDEX(ArchetypeDemand!$I$6:$AH$50,,MATCH(P$166,ArchetypeDemand!$I$4:$AH$4,0)),ArchetypeDemand!$F$6:$F$50,$F173)*'SHWLP-Att'!$R$14</f>
        <v>0.26605825257299631</v>
      </c>
      <c r="Q173" s="1138">
        <f>SUMIFS(INDEX(ArchetypeDemand!$I$6:$AH$50,,MATCH(Q$166,ArchetypeDemand!$I$4:$AH$4,0)),ArchetypeDemand!$F$6:$F$50,$F173)*'SHWLP-Att'!$R$14</f>
        <v>0.32005097029332152</v>
      </c>
      <c r="R173" s="1138">
        <f>SUMIFS(INDEX(ArchetypeDemand!$I$6:$AH$50,,MATCH(R$166,ArchetypeDemand!$I$4:$AH$4,0)),ArchetypeDemand!$F$6:$F$50,$F173)*'SHWLP-Att'!$R$14</f>
        <v>0.34293225502614821</v>
      </c>
      <c r="S173" s="1138">
        <f>SUMIFS(INDEX(ArchetypeDemand!$I$6:$AH$50,,MATCH(S$166,ArchetypeDemand!$I$4:$AH$4,0)),ArchetypeDemand!$F$6:$F$50,$F173)*'SHWLP-Att'!$R$14</f>
        <v>0.21050099467812231</v>
      </c>
      <c r="T173" s="1138">
        <f>SUMIFS(INDEX(ArchetypeDemand!$I$6:$AH$50,,MATCH(T$166,ArchetypeDemand!$I$4:$AH$4,0)),ArchetypeDemand!$F$6:$F$50,$F173)*'SHWLP-Att'!$R$14</f>
        <v>1.3457294144113767</v>
      </c>
      <c r="U173" s="1138">
        <f>SUMIFS(INDEX(ArchetypeDemand!$I$6:$AH$50,,MATCH(U$166,ArchetypeDemand!$I$4:$AH$4,0)),ArchetypeDemand!$F$6:$F$50,$F173)*'SHWLP-Att'!$R$14</f>
        <v>0.26383920822647333</v>
      </c>
      <c r="V173" s="1138">
        <f>SUMIFS(INDEX(ArchetypeDemand!$I$6:$AH$50,,MATCH(V$166,ArchetypeDemand!$I$4:$AH$4,0)),ArchetypeDemand!$F$6:$F$50,$F173)*'SHWLP-Att'!$R$14</f>
        <v>0.44862663047818335</v>
      </c>
      <c r="W173" s="1138">
        <f>SUMIFS(INDEX(ArchetypeDemand!$I$6:$AH$50,,MATCH(W$166,ArchetypeDemand!$I$4:$AH$4,0)),ArchetypeDemand!$F$6:$F$50,$F173)*'SHWLP-Att'!$R$14</f>
        <v>0.55260735474741152</v>
      </c>
      <c r="X173" s="1138">
        <f>SUMIFS(INDEX(ArchetypeDemand!$I$6:$AH$50,,MATCH(X$166,ArchetypeDemand!$I$4:$AH$4,0)),ArchetypeDemand!$F$6:$F$50,$F173)*'SHWLP-Att'!$R$14</f>
        <v>0.3136092218941352</v>
      </c>
      <c r="Y173" s="1138">
        <f>SUMIFS(INDEX(ArchetypeDemand!$I$6:$AH$50,,MATCH(Y$166,ArchetypeDemand!$I$4:$AH$4,0)),ArchetypeDemand!$F$6:$F$50,$F173)*'SHWLP-Att'!$R$14</f>
        <v>0.37219889843231546</v>
      </c>
      <c r="Z173" s="1138">
        <f>SUMIFS(INDEX(ArchetypeDemand!$I$6:$AH$50,,MATCH(Z$166,ArchetypeDemand!$I$4:$AH$4,0)),ArchetypeDemand!$F$6:$F$50,$F173)*'SHWLP-Att'!$R$14</f>
        <v>6.2102028524181327E-2</v>
      </c>
      <c r="AA173" s="1138">
        <f>SUMIFS(INDEX(ArchetypeDemand!$I$6:$AH$50,,MATCH(AA$166,ArchetypeDemand!$I$4:$AH$4,0)),ArchetypeDemand!$F$6:$F$50,$F173)*'SHWLP-Att'!$R$14</f>
        <v>0.27230256545639192</v>
      </c>
      <c r="AB173" s="1138">
        <f>SUMIFS(INDEX(ArchetypeDemand!$I$6:$AH$50,,MATCH(AB$166,ArchetypeDemand!$I$4:$AH$4,0)),ArchetypeDemand!$F$6:$F$50,$F173)*'SHWLP-Att'!$R$14</f>
        <v>9.9987713345956283E-2</v>
      </c>
      <c r="AC173" s="1138">
        <f>SUMIFS(INDEX(ArchetypeDemand!$I$6:$AH$50,,MATCH(AC$166,ArchetypeDemand!$I$4:$AH$4,0)),ArchetypeDemand!$F$6:$F$50,$F173)*'SHWLP-Att'!$R$14</f>
        <v>0.17383071740526723</v>
      </c>
      <c r="AD173" s="1138">
        <f>SUMIFS(INDEX(ArchetypeDemand!$I$6:$AH$50,,MATCH(AD$166,ArchetypeDemand!$I$4:$AH$4,0)),ArchetypeDemand!$F$6:$F$50,$F173)*'SHWLP-Att'!$R$14</f>
        <v>0.12515069845437307</v>
      </c>
      <c r="AE173" s="1138">
        <f>SUMIFS(INDEX(ArchetypeDemand!$I$6:$AH$50,,MATCH(AE$166,ArchetypeDemand!$I$4:$AH$4,0)),ArchetypeDemand!$F$6:$F$50,$F173)*'SHWLP-Att'!$R$14</f>
        <v>0.26717470635319951</v>
      </c>
      <c r="AF173" s="1138">
        <f>SUMIFS(INDEX(ArchetypeDemand!$I$6:$AH$50,,MATCH(AF$166,ArchetypeDemand!$I$4:$AH$4,0)),ArchetypeDemand!$F$6:$F$50,$F173)*'SHWLP-Att'!$R$14</f>
        <v>9.428852379957442E-2</v>
      </c>
    </row>
    <row r="174" spans="3:66" ht="13.5" thickBot="1">
      <c r="C174" s="1141" t="s">
        <v>1104</v>
      </c>
      <c r="D174" s="1141" t="s">
        <v>1094</v>
      </c>
      <c r="E174" s="1141" t="s">
        <v>834</v>
      </c>
      <c r="F174" s="1141" t="s">
        <v>930</v>
      </c>
      <c r="G174" s="1141">
        <f>SUM(ArchetypeDemand!I6:I46)*'SHWLP-Att'!$R$40</f>
        <v>2.6888265220283416</v>
      </c>
      <c r="H174" s="1141">
        <f>SUM(ArchetypeDemand!J6:J46)*'SHWLP-Att'!$R$40</f>
        <v>89.377341612113028</v>
      </c>
      <c r="I174" s="1141">
        <f>SUM(ArchetypeDemand!K6:K46)*'SHWLP-Att'!$R$40</f>
        <v>11.373954121209376</v>
      </c>
      <c r="J174" s="1141">
        <f>SUM(ArchetypeDemand!L6:L46)*'SHWLP-Att'!$R$40</f>
        <v>3.7298049123416446</v>
      </c>
      <c r="K174" s="1141">
        <f>SUM(ArchetypeDemand!M6:M46)*'SHWLP-Att'!$R$40</f>
        <v>3.4322606922635992</v>
      </c>
      <c r="L174" s="1141">
        <f>SUM(ArchetypeDemand!N6:N46)*'SHWLP-Att'!$R$40</f>
        <v>1.4152592410945761</v>
      </c>
      <c r="M174" s="1141">
        <f>SUM(ArchetypeDemand!O6:O46)*'SHWLP-Att'!$R$40</f>
        <v>7.2427284315285769</v>
      </c>
      <c r="N174" s="1141">
        <f>SUM(ArchetypeDemand!P6:P46)*'SHWLP-Att'!$R$40</f>
        <v>8.0817660876924986</v>
      </c>
      <c r="O174" s="1141">
        <f>SUM(ArchetypeDemand!Q6:Q46)*'SHWLP-Att'!$R$40</f>
        <v>3.0531730150813723</v>
      </c>
      <c r="P174" s="1141">
        <f>SUM(ArchetypeDemand!R6:R46)*'SHWLP-Att'!$R$40</f>
        <v>3.6569755520408469</v>
      </c>
      <c r="Q174" s="1141">
        <f>SUM(ArchetypeDemand!S6:S46)*'SHWLP-Att'!$R$40</f>
        <v>5.4822442653396912</v>
      </c>
      <c r="R174" s="1141">
        <f>SUM(ArchetypeDemand!T6:T46)*'SHWLP-Att'!$R$40</f>
        <v>6.9081071912255387</v>
      </c>
      <c r="S174" s="1141">
        <f>SUM(ArchetypeDemand!U6:U46)*'SHWLP-Att'!$R$40</f>
        <v>4.5082260239079694</v>
      </c>
      <c r="T174" s="1141">
        <f>SUM(ArchetypeDemand!V6:V46)*'SHWLP-Att'!$R$40</f>
        <v>27.267914047457232</v>
      </c>
      <c r="U174" s="1141">
        <f>SUM(ArchetypeDemand!W6:W46)*'SHWLP-Att'!$R$40</f>
        <v>4.6775074186812429</v>
      </c>
      <c r="V174" s="1141">
        <f>SUM(ArchetypeDemand!X6:X46)*'SHWLP-Att'!$R$40</f>
        <v>9.4511938812581509</v>
      </c>
      <c r="W174" s="1141">
        <f>SUM(ArchetypeDemand!Y6:Y46)*'SHWLP-Att'!$R$40</f>
        <v>6.5463793657760041</v>
      </c>
      <c r="X174" s="1141">
        <f>SUM(ArchetypeDemand!Z6:Z46)*'SHWLP-Att'!$R$40</f>
        <v>6.4912138604240521</v>
      </c>
      <c r="Y174" s="1141">
        <f>SUM(ArchetypeDemand!AA6:AA46)*'SHWLP-Att'!$R$40</f>
        <v>8.2267100547388825</v>
      </c>
      <c r="Z174" s="1141">
        <f>SUM(ArchetypeDemand!AB6:AB46)*'SHWLP-Att'!$R$40</f>
        <v>0.81635930795287803</v>
      </c>
      <c r="AA174" s="1141">
        <f>SUM(ArchetypeDemand!AC6:AC46)*'SHWLP-Att'!$R$40</f>
        <v>3.7331622849639201</v>
      </c>
      <c r="AB174" s="1141">
        <f>SUM(ArchetypeDemand!AD6:AD46)*'SHWLP-Att'!$R$40</f>
        <v>1.6019271085223483</v>
      </c>
      <c r="AC174" s="1141">
        <f>SUM(ArchetypeDemand!AE6:AE46)*'SHWLP-Att'!$R$40</f>
        <v>2.6507171062490991</v>
      </c>
      <c r="AD174" s="1141">
        <f>SUM(ArchetypeDemand!AF6:AF46)*'SHWLP-Att'!$R$40</f>
        <v>2.2980605426407679</v>
      </c>
      <c r="AE174" s="1141">
        <f>SUM(ArchetypeDemand!AG6:AG46)*'SHWLP-Att'!$R$40</f>
        <v>4.7356181501268555</v>
      </c>
      <c r="AF174" s="1141">
        <f>SUM(ArchetypeDemand!AH6:AH46)*'SHWLP-Att'!$R$40</f>
        <v>1.9737104713039604</v>
      </c>
    </row>
    <row r="175" spans="3:66" ht="15">
      <c r="C175" s="1137" t="s">
        <v>1105</v>
      </c>
      <c r="D175" s="1137"/>
      <c r="E175" s="1137"/>
      <c r="F175" s="1137"/>
      <c r="G175" s="1137"/>
      <c r="H175" s="1137"/>
      <c r="I175" s="1137"/>
      <c r="J175" s="1137"/>
      <c r="K175" s="1137"/>
      <c r="L175" s="1137"/>
      <c r="M175" s="1137"/>
      <c r="N175" s="1137"/>
      <c r="O175" s="1137"/>
      <c r="P175" s="1137"/>
      <c r="Q175" s="1137"/>
      <c r="R175" s="1137"/>
      <c r="S175" s="1137"/>
      <c r="T175" s="1137"/>
      <c r="U175" s="1137"/>
      <c r="V175" s="1137"/>
      <c r="W175" s="1137"/>
      <c r="X175" s="1137"/>
      <c r="Y175" s="1137"/>
      <c r="Z175" s="1137"/>
      <c r="AA175" s="1137"/>
      <c r="AB175" s="1137"/>
      <c r="AC175" s="1137"/>
      <c r="AD175" s="1137"/>
      <c r="AE175" s="1137"/>
      <c r="AF175" s="1137"/>
    </row>
    <row r="176" spans="3:66">
      <c r="C176" s="1145" t="s">
        <v>1117</v>
      </c>
      <c r="D176" s="1134" t="s">
        <v>1094</v>
      </c>
      <c r="E176" s="1134" t="s">
        <v>833</v>
      </c>
      <c r="F176" s="1134" t="s">
        <v>1096</v>
      </c>
      <c r="G176" s="1134">
        <f>SUMIFS(INDEX(ArchetypeDemand!$I$6:$AH$50,,MATCH($G$166,ArchetypeDemand!$I$4:$AH$4,0)),ArchetypeDemand!$F$6:$F$50,$F176)*'SHWLP-Att'!$R$16</f>
        <v>0.81278066443864616</v>
      </c>
      <c r="H176" s="1134">
        <f>SUMIFS(INDEX(ArchetypeDemand!$I$6:$AH$50,,MATCH(H$166,ArchetypeDemand!$I$4:$AH$4,0)),ArchetypeDemand!$F$6:$F$50,$F176)*'SHWLP-Att'!$R$16</f>
        <v>30.948951060772327</v>
      </c>
      <c r="I176" s="1134">
        <f>SUMIFS(INDEX(ArchetypeDemand!$I$6:$AH$50,,MATCH(I$166,ArchetypeDemand!$I$4:$AH$4,0)),ArchetypeDemand!$F$6:$F$50,$F176)*'SHWLP-Att'!$R$16</f>
        <v>6.2407254047170966</v>
      </c>
      <c r="J176" s="1134">
        <f>SUMIFS(INDEX(ArchetypeDemand!$I$6:$AH$50,,MATCH(J$166,ArchetypeDemand!$I$4:$AH$4,0)),ArchetypeDemand!$F$6:$F$50,$F176)*'SHWLP-Att'!$R$16</f>
        <v>0.96942282624178466</v>
      </c>
      <c r="K176" s="1134">
        <f>SUMIFS(INDEX(ArchetypeDemand!$I$6:$AH$50,,MATCH(K$166,ArchetypeDemand!$I$4:$AH$4,0)),ArchetypeDemand!$F$6:$F$50,$F176)*'SHWLP-Att'!$R$16</f>
        <v>0.92809329155661635</v>
      </c>
      <c r="L176" s="1134">
        <f>SUMIFS(INDEX(ArchetypeDemand!$I$6:$AH$50,,MATCH(L$166,ArchetypeDemand!$I$4:$AH$4,0)),ArchetypeDemand!$F$6:$F$50,$F176)*'SHWLP-Att'!$R$16</f>
        <v>0.36719882931207548</v>
      </c>
      <c r="M176" s="1134">
        <f>SUMIFS(INDEX(ArchetypeDemand!$I$6:$AH$50,,MATCH(M$166,ArchetypeDemand!$I$4:$AH$4,0)),ArchetypeDemand!$F$6:$F$50,$F176)*'SHWLP-Att'!$R$16</f>
        <v>3.0369467531644432</v>
      </c>
      <c r="N176" s="1134">
        <f>SUMIFS(INDEX(ArchetypeDemand!$I$6:$AH$50,,MATCH(N$166,ArchetypeDemand!$I$4:$AH$4,0)),ArchetypeDemand!$F$6:$F$50,$F176)*'SHWLP-Att'!$R$16</f>
        <v>5.4981373326498169</v>
      </c>
      <c r="O176" s="1134">
        <f>SUMIFS(INDEX(ArchetypeDemand!$I$6:$AH$50,,MATCH(O$166,ArchetypeDemand!$I$4:$AH$4,0)),ArchetypeDemand!$F$6:$F$50,$F176)*'SHWLP-Att'!$R$16</f>
        <v>0.42835782518583232</v>
      </c>
      <c r="P176" s="1134">
        <f>SUMIFS(INDEX(ArchetypeDemand!$I$6:$AH$50,,MATCH(P$166,ArchetypeDemand!$I$4:$AH$4,0)),ArchetypeDemand!$F$6:$F$50,$F176)*'SHWLP-Att'!$R$16</f>
        <v>0.76067713717528862</v>
      </c>
      <c r="Q176" s="1134">
        <f>SUMIFS(INDEX(ArchetypeDemand!$I$6:$AH$50,,MATCH(Q$166,ArchetypeDemand!$I$4:$AH$4,0)),ArchetypeDemand!$F$6:$F$50,$F176)*'SHWLP-Att'!$R$16</f>
        <v>1.1911190895970605</v>
      </c>
      <c r="R176" s="1134">
        <f>SUMIFS(INDEX(ArchetypeDemand!$I$6:$AH$50,,MATCH(R$166,ArchetypeDemand!$I$4:$AH$4,0)),ArchetypeDemand!$F$6:$F$50,$F176)*'SHWLP-Att'!$R$16</f>
        <v>3.0444722308988541</v>
      </c>
      <c r="S176" s="1134">
        <f>SUMIFS(INDEX(ArchetypeDemand!$I$6:$AH$50,,MATCH(S$166,ArchetypeDemand!$I$4:$AH$4,0)),ArchetypeDemand!$F$6:$F$50,$F176)*'SHWLP-Att'!$R$16</f>
        <v>0.88026642749039719</v>
      </c>
      <c r="T176" s="1134">
        <f>SUMIFS(INDEX(ArchetypeDemand!$I$6:$AH$50,,MATCH(T$166,ArchetypeDemand!$I$4:$AH$4,0)),ArchetypeDemand!$F$6:$F$50,$F176)*'SHWLP-Att'!$R$16</f>
        <v>10.678219389108623</v>
      </c>
      <c r="U176" s="1134">
        <f>SUMIFS(INDEX(ArchetypeDemand!$I$6:$AH$50,,MATCH(U$166,ArchetypeDemand!$I$4:$AH$4,0)),ArchetypeDemand!$F$6:$F$50,$F176)*'SHWLP-Att'!$R$16</f>
        <v>1.1639659799536166</v>
      </c>
      <c r="V176" s="1134">
        <f>SUMIFS(INDEX(ArchetypeDemand!$I$6:$AH$50,,MATCH(V$166,ArchetypeDemand!$I$4:$AH$4,0)),ArchetypeDemand!$F$6:$F$50,$F176)*'SHWLP-Att'!$R$16</f>
        <v>2.2923184795736247</v>
      </c>
      <c r="W176" s="1134">
        <f>SUMIFS(INDEX(ArchetypeDemand!$I$6:$AH$50,,MATCH(W$166,ArchetypeDemand!$I$4:$AH$4,0)),ArchetypeDemand!$F$6:$F$50,$F176)*'SHWLP-Att'!$R$16</f>
        <v>0.99194042559994255</v>
      </c>
      <c r="X176" s="1134">
        <f>SUMIFS(INDEX(ArchetypeDemand!$I$6:$AH$50,,MATCH(X$166,ArchetypeDemand!$I$4:$AH$4,0)),ArchetypeDemand!$F$6:$F$50,$F176)*'SHWLP-Att'!$R$16</f>
        <v>1.9287598245293873</v>
      </c>
      <c r="Y176" s="1134">
        <f>SUMIFS(INDEX(ArchetypeDemand!$I$6:$AH$50,,MATCH(Y$166,ArchetypeDemand!$I$4:$AH$4,0)),ArchetypeDemand!$F$6:$F$50,$F176)*'SHWLP-Att'!$R$16</f>
        <v>1.868799558718887</v>
      </c>
      <c r="Z176" s="1134">
        <f>SUMIFS(INDEX(ArchetypeDemand!$I$6:$AH$50,,MATCH(Z$166,ArchetypeDemand!$I$4:$AH$4,0)),ArchetypeDemand!$F$6:$F$50,$F176)*'SHWLP-Att'!$R$16</f>
        <v>0.1472805130976354</v>
      </c>
      <c r="AA176" s="1134">
        <f>SUMIFS(INDEX(ArchetypeDemand!$I$6:$AH$50,,MATCH(AA$166,ArchetypeDemand!$I$4:$AH$4,0)),ArchetypeDemand!$F$6:$F$50,$F176)*'SHWLP-Att'!$R$16</f>
        <v>0.74876224001450353</v>
      </c>
      <c r="AB176" s="1134">
        <f>SUMIFS(INDEX(ArchetypeDemand!$I$6:$AH$50,,MATCH(AB$166,ArchetypeDemand!$I$4:$AH$4,0)),ArchetypeDemand!$F$6:$F$50,$F176)*'SHWLP-Att'!$R$16</f>
        <v>0.18943012339213794</v>
      </c>
      <c r="AC176" s="1134">
        <f>SUMIFS(INDEX(ArchetypeDemand!$I$6:$AH$50,,MATCH(AC$166,ArchetypeDemand!$I$4:$AH$4,0)),ArchetypeDemand!$F$6:$F$50,$F176)*'SHWLP-Att'!$R$16</f>
        <v>0.59096926647102255</v>
      </c>
      <c r="AD176" s="1134">
        <f>SUMIFS(INDEX(ArchetypeDemand!$I$6:$AH$50,,MATCH(AD$166,ArchetypeDemand!$I$4:$AH$4,0)),ArchetypeDemand!$F$6:$F$50,$F176)*'SHWLP-Att'!$R$16</f>
        <v>0.66446509596977921</v>
      </c>
      <c r="AE176" s="1134">
        <f>SUMIFS(INDEX(ArchetypeDemand!$I$6:$AH$50,,MATCH(AE$166,ArchetypeDemand!$I$4:$AH$4,0)),ArchetypeDemand!$F$6:$F$50,$F176)*'SHWLP-Att'!$R$16</f>
        <v>0.81702003862641548</v>
      </c>
      <c r="AF176" s="1134">
        <f>SUMIFS(INDEX(ArchetypeDemand!$I$6:$AH$50,,MATCH(AF$166,ArchetypeDemand!$I$4:$AH$4,0)),ArchetypeDemand!$F$6:$F$50,$F176)*'SHWLP-Att'!$R$16</f>
        <v>0.62036713119443754</v>
      </c>
    </row>
    <row r="177" spans="3:32">
      <c r="C177" s="1136" t="s">
        <v>1117</v>
      </c>
      <c r="D177" s="1136" t="s">
        <v>1094</v>
      </c>
      <c r="E177" s="1136" t="s">
        <v>833</v>
      </c>
      <c r="F177" s="1136" t="s">
        <v>1097</v>
      </c>
      <c r="G177" s="1136">
        <f>SUMIFS(INDEX(ArchetypeDemand!$I$6:$AH$50,,MATCH($G$166,ArchetypeDemand!$I$4:$AH$4,0)),ArchetypeDemand!$F$6:$F$50,$F177)*'SHWLP-Att'!$R$16</f>
        <v>2.1584875716960115</v>
      </c>
      <c r="H177" s="1136">
        <f>SUMIFS(INDEX(ArchetypeDemand!$I$6:$AH$50,,MATCH(H$166,ArchetypeDemand!$I$4:$AH$4,0)),ArchetypeDemand!$F$6:$F$50,$F177)*'SHWLP-Att'!$R$16</f>
        <v>54.055958644597872</v>
      </c>
      <c r="I177" s="1136">
        <f>SUMIFS(INDEX(ArchetypeDemand!$I$6:$AH$50,,MATCH(I$166,ArchetypeDemand!$I$4:$AH$4,0)),ArchetypeDemand!$F$6:$F$50,$F177)*'SHWLP-Att'!$R$16</f>
        <v>7.7583106116926137</v>
      </c>
      <c r="J177" s="1136">
        <f>SUMIFS(INDEX(ArchetypeDemand!$I$6:$AH$50,,MATCH(J$166,ArchetypeDemand!$I$4:$AH$4,0)),ArchetypeDemand!$F$6:$F$50,$F177)*'SHWLP-Att'!$R$16</f>
        <v>2.7604786269846833</v>
      </c>
      <c r="K177" s="1136">
        <f>SUMIFS(INDEX(ArchetypeDemand!$I$6:$AH$50,,MATCH(K$166,ArchetypeDemand!$I$4:$AH$4,0)),ArchetypeDemand!$F$6:$F$50,$F177)*'SHWLP-Att'!$R$16</f>
        <v>2.7463973292016757</v>
      </c>
      <c r="L177" s="1136">
        <f>SUMIFS(INDEX(ArchetypeDemand!$I$6:$AH$50,,MATCH(L$166,ArchetypeDemand!$I$4:$AH$4,0)),ArchetypeDemand!$F$6:$F$50,$F177)*'SHWLP-Att'!$R$16</f>
        <v>1.0521279909554482</v>
      </c>
      <c r="M177" s="1136">
        <f>SUMIFS(INDEX(ArchetypeDemand!$I$6:$AH$50,,MATCH(M$166,ArchetypeDemand!$I$4:$AH$4,0)),ArchetypeDemand!$F$6:$F$50,$F177)*'SHWLP-Att'!$R$16</f>
        <v>5.8563107784076003</v>
      </c>
      <c r="N177" s="1136">
        <f>SUMIFS(INDEX(ArchetypeDemand!$I$6:$AH$50,,MATCH(N$166,ArchetypeDemand!$I$4:$AH$4,0)),ArchetypeDemand!$F$6:$F$50,$F177)*'SHWLP-Att'!$R$16</f>
        <v>6.1342797678540553</v>
      </c>
      <c r="O177" s="1136">
        <f>SUMIFS(INDEX(ArchetypeDemand!$I$6:$AH$50,,MATCH(O$166,ArchetypeDemand!$I$4:$AH$4,0)),ArchetypeDemand!$F$6:$F$50,$F177)*'SHWLP-Att'!$R$16</f>
        <v>2.0085621623255734</v>
      </c>
      <c r="P177" s="1136">
        <f>SUMIFS(INDEX(ArchetypeDemand!$I$6:$AH$50,,MATCH(P$166,ArchetypeDemand!$I$4:$AH$4,0)),ArchetypeDemand!$F$6:$F$50,$F177)*'SHWLP-Att'!$R$16</f>
        <v>2.7656469936166808</v>
      </c>
      <c r="Q177" s="1136">
        <f>SUMIFS(INDEX(ArchetypeDemand!$I$6:$AH$50,,MATCH(Q$166,ArchetypeDemand!$I$4:$AH$4,0)),ArchetypeDemand!$F$6:$F$50,$F177)*'SHWLP-Att'!$R$16</f>
        <v>3.7876956260335524</v>
      </c>
      <c r="R177" s="1136">
        <f>SUMIFS(INDEX(ArchetypeDemand!$I$6:$AH$50,,MATCH(R$166,ArchetypeDemand!$I$4:$AH$4,0)),ArchetypeDemand!$F$6:$F$50,$F177)*'SHWLP-Att'!$R$16</f>
        <v>4.3097107032940611</v>
      </c>
      <c r="S177" s="1136">
        <f>SUMIFS(INDEX(ArchetypeDemand!$I$6:$AH$50,,MATCH(S$166,ArchetypeDemand!$I$4:$AH$4,0)),ArchetypeDemand!$F$6:$F$50,$F177)*'SHWLP-Att'!$R$16</f>
        <v>3.1051739888985828</v>
      </c>
      <c r="T177" s="1136">
        <f>SUMIFS(INDEX(ArchetypeDemand!$I$6:$AH$50,,MATCH(T$166,ArchetypeDemand!$I$4:$AH$4,0)),ArchetypeDemand!$F$6:$F$50,$F177)*'SHWLP-Att'!$R$16</f>
        <v>20.519135426607747</v>
      </c>
      <c r="U177" s="1136">
        <f>SUMIFS(INDEX(ArchetypeDemand!$I$6:$AH$50,,MATCH(U$166,ArchetypeDemand!$I$4:$AH$4,0)),ArchetypeDemand!$F$6:$F$50,$F177)*'SHWLP-Att'!$R$16</f>
        <v>3.1537243900844367</v>
      </c>
      <c r="V177" s="1136">
        <f>SUMIFS(INDEX(ArchetypeDemand!$I$6:$AH$50,,MATCH(V$166,ArchetypeDemand!$I$4:$AH$4,0)),ArchetypeDemand!$F$6:$F$50,$F177)*'SHWLP-Att'!$R$16</f>
        <v>7.1010987300570445</v>
      </c>
      <c r="W177" s="1136">
        <f>SUMIFS(INDEX(ArchetypeDemand!$I$6:$AH$50,,MATCH(W$166,ArchetypeDemand!$I$4:$AH$4,0)),ArchetypeDemand!$F$6:$F$50,$F177)*'SHWLP-Att'!$R$16</f>
        <v>4.4958188301882442</v>
      </c>
      <c r="X177" s="1136">
        <f>SUMIFS(INDEX(ArchetypeDemand!$I$6:$AH$50,,MATCH(X$166,ArchetypeDemand!$I$4:$AH$4,0)),ArchetypeDemand!$F$6:$F$50,$F177)*'SHWLP-Att'!$R$16</f>
        <v>4.6645366867400639</v>
      </c>
      <c r="Y177" s="1136">
        <f>SUMIFS(INDEX(ArchetypeDemand!$I$6:$AH$50,,MATCH(Y$166,ArchetypeDemand!$I$4:$AH$4,0)),ArchetypeDemand!$F$6:$F$50,$F177)*'SHWLP-Att'!$R$16</f>
        <v>6.5377934973435812</v>
      </c>
      <c r="Z177" s="1136">
        <f>SUMIFS(INDEX(ArchetypeDemand!$I$6:$AH$50,,MATCH(Z$166,ArchetypeDemand!$I$4:$AH$4,0)),ArchetypeDemand!$F$6:$F$50,$F177)*'SHWLP-Att'!$R$16</f>
        <v>0.6932097227047358</v>
      </c>
      <c r="AA177" s="1136">
        <f>SUMIFS(INDEX(ArchetypeDemand!$I$6:$AH$50,,MATCH(AA$166,ArchetypeDemand!$I$4:$AH$4,0)),ArchetypeDemand!$F$6:$F$50,$F177)*'SHWLP-Att'!$R$16</f>
        <v>2.8427207087907091</v>
      </c>
      <c r="AB177" s="1136">
        <f>SUMIFS(INDEX(ArchetypeDemand!$I$6:$AH$50,,MATCH(AB$166,ArchetypeDemand!$I$4:$AH$4,0)),ArchetypeDemand!$F$6:$F$50,$F177)*'SHWLP-Att'!$R$16</f>
        <v>1.4997319926639818</v>
      </c>
      <c r="AC177" s="1136">
        <f>SUMIFS(INDEX(ArchetypeDemand!$I$6:$AH$50,,MATCH(AC$166,ArchetypeDemand!$I$4:$AH$4,0)),ArchetypeDemand!$F$6:$F$50,$F177)*'SHWLP-Att'!$R$16</f>
        <v>1.8916402362428353</v>
      </c>
      <c r="AD177" s="1136">
        <f>SUMIFS(INDEX(ArchetypeDemand!$I$6:$AH$50,,MATCH(AD$166,ArchetypeDemand!$I$4:$AH$4,0)),ArchetypeDemand!$F$6:$F$50,$F177)*'SHWLP-Att'!$R$16</f>
        <v>2.0520899721203243</v>
      </c>
      <c r="AE177" s="1136">
        <f>SUMIFS(INDEX(ArchetypeDemand!$I$6:$AH$50,,MATCH(AE$166,ArchetypeDemand!$I$4:$AH$4,0)),ArchetypeDemand!$F$6:$F$50,$F177)*'SHWLP-Att'!$R$16</f>
        <v>4.1850915754566334</v>
      </c>
      <c r="AF177" s="1136">
        <f>SUMIFS(INDEX(ArchetypeDemand!$I$6:$AH$50,,MATCH(AF$166,ArchetypeDemand!$I$4:$AH$4,0)),ArchetypeDemand!$F$6:$F$50,$F177)*'SHWLP-Att'!$R$16</f>
        <v>1.3665011753907097</v>
      </c>
    </row>
    <row r="178" spans="3:32">
      <c r="C178" s="1134" t="s">
        <v>1117</v>
      </c>
      <c r="D178" s="1134" t="s">
        <v>1094</v>
      </c>
      <c r="E178" s="1134" t="s">
        <v>833</v>
      </c>
      <c r="F178" s="1134" t="s">
        <v>1098</v>
      </c>
      <c r="G178" s="1134">
        <f>SUMIFS(INDEX(ArchetypeDemand!$I$6:$AH$50,,MATCH($G$166,ArchetypeDemand!$I$4:$AH$4,0)),ArchetypeDemand!$F$6:$F$50,$F178)*'SHWLP-Att'!$R$16</f>
        <v>1.1325785078230524</v>
      </c>
      <c r="H178" s="1134">
        <f>SUMIFS(INDEX(ArchetypeDemand!$I$6:$AH$50,,MATCH(H$166,ArchetypeDemand!$I$4:$AH$4,0)),ArchetypeDemand!$F$6:$F$50,$F178)*'SHWLP-Att'!$R$16</f>
        <v>39.609464327603249</v>
      </c>
      <c r="I178" s="1134">
        <f>SUMIFS(INDEX(ArchetypeDemand!$I$6:$AH$50,,MATCH(I$166,ArchetypeDemand!$I$4:$AH$4,0)),ArchetypeDemand!$F$6:$F$50,$F178)*'SHWLP-Att'!$R$16</f>
        <v>4.3600177199904895</v>
      </c>
      <c r="J178" s="1134">
        <f>SUMIFS(INDEX(ArchetypeDemand!$I$6:$AH$50,,MATCH(J$166,ArchetypeDemand!$I$4:$AH$4,0)),ArchetypeDemand!$F$6:$F$50,$F178)*'SHWLP-Att'!$R$16</f>
        <v>1.6085177910684103</v>
      </c>
      <c r="K178" s="1134">
        <f>SUMIFS(INDEX(ArchetypeDemand!$I$6:$AH$50,,MATCH(K$166,ArchetypeDemand!$I$4:$AH$4,0)),ArchetypeDemand!$F$6:$F$50,$F178)*'SHWLP-Att'!$R$16</f>
        <v>1.0178683198846563</v>
      </c>
      <c r="L178" s="1134">
        <f>SUMIFS(INDEX(ArchetypeDemand!$I$6:$AH$50,,MATCH(L$166,ArchetypeDemand!$I$4:$AH$4,0)),ArchetypeDemand!$F$6:$F$50,$F178)*'SHWLP-Att'!$R$16</f>
        <v>0.65002937573168651</v>
      </c>
      <c r="M178" s="1134">
        <f>SUMIFS(INDEX(ArchetypeDemand!$I$6:$AH$50,,MATCH(M$166,ArchetypeDemand!$I$4:$AH$4,0)),ArchetypeDemand!$F$6:$F$50,$F178)*'SHWLP-Att'!$R$16</f>
        <v>2.3243802292401354</v>
      </c>
      <c r="N178" s="1134">
        <f>SUMIFS(INDEX(ArchetypeDemand!$I$6:$AH$50,,MATCH(N$166,ArchetypeDemand!$I$4:$AH$4,0)),ArchetypeDemand!$F$6:$F$50,$F178)*'SHWLP-Att'!$R$16</f>
        <v>1.8335429635783551</v>
      </c>
      <c r="O178" s="1134">
        <f>SUMIFS(INDEX(ArchetypeDemand!$I$6:$AH$50,,MATCH(O$166,ArchetypeDemand!$I$4:$AH$4,0)),ArchetypeDemand!$F$6:$F$50,$F178)*'SHWLP-Att'!$R$16</f>
        <v>0.94726051849830106</v>
      </c>
      <c r="P178" s="1134">
        <f>SUMIFS(INDEX(ArchetypeDemand!$I$6:$AH$50,,MATCH(P$166,ArchetypeDemand!$I$4:$AH$4,0)),ArchetypeDemand!$F$6:$F$50,$F178)*'SHWLP-Att'!$R$16</f>
        <v>1.5451754704950535</v>
      </c>
      <c r="Q178" s="1134">
        <f>SUMIFS(INDEX(ArchetypeDemand!$I$6:$AH$50,,MATCH(Q$166,ArchetypeDemand!$I$4:$AH$4,0)),ArchetypeDemand!$F$6:$F$50,$F178)*'SHWLP-Att'!$R$16</f>
        <v>2.7393236560505119</v>
      </c>
      <c r="R178" s="1134">
        <f>SUMIFS(INDEX(ArchetypeDemand!$I$6:$AH$50,,MATCH(R$166,ArchetypeDemand!$I$4:$AH$4,0)),ArchetypeDemand!$F$6:$F$50,$F178)*'SHWLP-Att'!$R$16</f>
        <v>2.6265229938917893</v>
      </c>
      <c r="S178" s="1134">
        <f>SUMIFS(INDEX(ArchetypeDemand!$I$6:$AH$50,,MATCH(S$166,ArchetypeDemand!$I$4:$AH$4,0)),ArchetypeDemand!$F$6:$F$50,$F178)*'SHWLP-Att'!$R$16</f>
        <v>2.4163158869986403</v>
      </c>
      <c r="T178" s="1134">
        <f>SUMIFS(INDEX(ArchetypeDemand!$I$6:$AH$50,,MATCH(T$166,ArchetypeDemand!$I$4:$AH$4,0)),ArchetypeDemand!$F$6:$F$50,$F178)*'SHWLP-Att'!$R$16</f>
        <v>9.3640991543953298</v>
      </c>
      <c r="U178" s="1134">
        <f>SUMIFS(INDEX(ArchetypeDemand!$I$6:$AH$50,,MATCH(U$166,ArchetypeDemand!$I$4:$AH$4,0)),ArchetypeDemand!$F$6:$F$50,$F178)*'SHWLP-Att'!$R$16</f>
        <v>2.1830293731416277</v>
      </c>
      <c r="V178" s="1134">
        <f>SUMIFS(INDEX(ArchetypeDemand!$I$6:$AH$50,,MATCH(V$166,ArchetypeDemand!$I$4:$AH$4,0)),ArchetypeDemand!$F$6:$F$50,$F178)*'SHWLP-Att'!$R$16</f>
        <v>4.400467141117824</v>
      </c>
      <c r="W178" s="1134">
        <f>SUMIFS(INDEX(ArchetypeDemand!$I$6:$AH$50,,MATCH(W$166,ArchetypeDemand!$I$4:$AH$4,0)),ArchetypeDemand!$F$6:$F$50,$F178)*'SHWLP-Att'!$R$16</f>
        <v>2.9623825604828555</v>
      </c>
      <c r="X178" s="1134">
        <f>SUMIFS(INDEX(ArchetypeDemand!$I$6:$AH$50,,MATCH(X$166,ArchetypeDemand!$I$4:$AH$4,0)),ArchetypeDemand!$F$6:$F$50,$F178)*'SHWLP-Att'!$R$16</f>
        <v>3.0222970873318884</v>
      </c>
      <c r="Y178" s="1134">
        <f>SUMIFS(INDEX(ArchetypeDemand!$I$6:$AH$50,,MATCH(Y$166,ArchetypeDemand!$I$4:$AH$4,0)),ArchetypeDemand!$F$6:$F$50,$F178)*'SHWLP-Att'!$R$16</f>
        <v>3.6563691203218194</v>
      </c>
      <c r="Z178" s="1134">
        <f>SUMIFS(INDEX(ArchetypeDemand!$I$6:$AH$50,,MATCH(Z$166,ArchetypeDemand!$I$4:$AH$4,0)),ArchetypeDemand!$F$6:$F$50,$F178)*'SHWLP-Att'!$R$16</f>
        <v>0.25490858036129205</v>
      </c>
      <c r="AA178" s="1134">
        <f>SUMIFS(INDEX(ArchetypeDemand!$I$6:$AH$50,,MATCH(AA$166,ArchetypeDemand!$I$4:$AH$4,0)),ArchetypeDemand!$F$6:$F$50,$F178)*'SHWLP-Att'!$R$16</f>
        <v>1.7114609299895602</v>
      </c>
      <c r="AB178" s="1134">
        <f>SUMIFS(INDEX(ArchetypeDemand!$I$6:$AH$50,,MATCH(AB$166,ArchetypeDemand!$I$4:$AH$4,0)),ArchetypeDemand!$F$6:$F$50,$F178)*'SHWLP-Att'!$R$16</f>
        <v>0.50618092340768361</v>
      </c>
      <c r="AC178" s="1134">
        <f>SUMIFS(INDEX(ArchetypeDemand!$I$6:$AH$50,,MATCH(AC$166,ArchetypeDemand!$I$4:$AH$4,0)),ArchetypeDemand!$F$6:$F$50,$F178)*'SHWLP-Att'!$R$16</f>
        <v>1.1495163800733326</v>
      </c>
      <c r="AD178" s="1134">
        <f>SUMIFS(INDEX(ArchetypeDemand!$I$6:$AH$50,,MATCH(AD$166,ArchetypeDemand!$I$4:$AH$4,0)),ArchetypeDemand!$F$6:$F$50,$F178)*'SHWLP-Att'!$R$16</f>
        <v>0.70342911498082616</v>
      </c>
      <c r="AE178" s="1134">
        <f>SUMIFS(INDEX(ArchetypeDemand!$I$6:$AH$50,,MATCH(AE$166,ArchetypeDemand!$I$4:$AH$4,0)),ArchetypeDemand!$F$6:$F$50,$F178)*'SHWLP-Att'!$R$16</f>
        <v>1.9056951452176822</v>
      </c>
      <c r="AF178" s="1134">
        <f>SUMIFS(INDEX(ArchetypeDemand!$I$6:$AH$50,,MATCH(AF$166,ArchetypeDemand!$I$4:$AH$4,0)),ArchetypeDemand!$F$6:$F$50,$F178)*'SHWLP-Att'!$R$16</f>
        <v>0.91656764675739189</v>
      </c>
    </row>
    <row r="179" spans="3:32">
      <c r="C179" s="1136" t="s">
        <v>1117</v>
      </c>
      <c r="D179" s="1136" t="s">
        <v>1094</v>
      </c>
      <c r="E179" s="1136" t="s">
        <v>833</v>
      </c>
      <c r="F179" s="1136" t="s">
        <v>1099</v>
      </c>
      <c r="G179" s="1136">
        <f>SUMIFS(INDEX(ArchetypeDemand!$I$6:$AH$50,,MATCH($G$166,ArchetypeDemand!$I$4:$AH$4,0)),ArchetypeDemand!$F$6:$F$50,$F179)*'SHWLP-Att'!$R$16</f>
        <v>0.40157908310623469</v>
      </c>
      <c r="H179" s="1136">
        <f>SUMIFS(INDEX(ArchetypeDemand!$I$6:$AH$50,,MATCH($H$166,ArchetypeDemand!$I$4:$AH$4,0)),ArchetypeDemand!$F$6:$F$50,$F179)*'SHWLP-Att'!$R$16</f>
        <v>20.577748350002999</v>
      </c>
      <c r="I179" s="1136">
        <f>SUMIFS(INDEX(ArchetypeDemand!$I$6:$AH$50,,MATCH(I$166,ArchetypeDemand!$I$4:$AH$4,0)),ArchetypeDemand!$F$6:$F$50,$F179)*'SHWLP-Att'!$R$16</f>
        <v>1.3597141535139927</v>
      </c>
      <c r="J179" s="1136">
        <f>SUMIFS(INDEX(ArchetypeDemand!$I$6:$AH$50,,MATCH(J$166,ArchetypeDemand!$I$4:$AH$4,0)),ArchetypeDemand!$F$6:$F$50,$F179)*'SHWLP-Att'!$R$16</f>
        <v>0.75141665535455948</v>
      </c>
      <c r="K179" s="1136">
        <f>SUMIFS(INDEX(ArchetypeDemand!$I$6:$AH$50,,MATCH(K$166,ArchetypeDemand!$I$4:$AH$4,0)),ArchetypeDemand!$F$6:$F$50,$F179)*'SHWLP-Att'!$R$16</f>
        <v>0.79815653354852234</v>
      </c>
      <c r="L179" s="1136">
        <f>SUMIFS(INDEX(ArchetypeDemand!$I$6:$AH$50,,MATCH(L$166,ArchetypeDemand!$I$4:$AH$4,0)),ArchetypeDemand!$F$6:$F$50,$F179)*'SHWLP-Att'!$R$16</f>
        <v>0.26686365494671177</v>
      </c>
      <c r="M179" s="1136">
        <f>SUMIFS(INDEX(ArchetypeDemand!$I$6:$AH$50,,MATCH(M$166,ArchetypeDemand!$I$4:$AH$4,0)),ArchetypeDemand!$F$6:$F$50,$F179)*'SHWLP-Att'!$R$16</f>
        <v>0.93450830739817492</v>
      </c>
      <c r="N179" s="1136">
        <f>SUMIFS(INDEX(ArchetypeDemand!$I$6:$AH$50,,MATCH(N$166,ArchetypeDemand!$I$4:$AH$4,0)),ArchetypeDemand!$F$6:$F$50,$F179)*'SHWLP-Att'!$R$16</f>
        <v>0.64207708559131738</v>
      </c>
      <c r="O179" s="1136">
        <f>SUMIFS(INDEX(ArchetypeDemand!$I$6:$AH$50,,MATCH(O$166,ArchetypeDemand!$I$4:$AH$4,0)),ArchetypeDemand!$F$6:$F$50,$F179)*'SHWLP-Att'!$R$16</f>
        <v>1.1167811102035283</v>
      </c>
      <c r="P179" s="1136">
        <f>SUMIFS(INDEX(ArchetypeDemand!$I$6:$AH$50,,MATCH(P$166,ArchetypeDemand!$I$4:$AH$4,0)),ArchetypeDemand!$F$6:$F$50,$F179)*'SHWLP-Att'!$R$16</f>
        <v>0.76267671359804712</v>
      </c>
      <c r="Q179" s="1136">
        <f>SUMIFS(INDEX(ArchetypeDemand!$I$6:$AH$50,,MATCH(Q$166,ArchetypeDemand!$I$4:$AH$4,0)),ArchetypeDemand!$F$6:$F$50,$F179)*'SHWLP-Att'!$R$16</f>
        <v>1.1983976139633716</v>
      </c>
      <c r="R179" s="1136">
        <f>SUMIFS(INDEX(ArchetypeDemand!$I$6:$AH$50,,MATCH(R$166,ArchetypeDemand!$I$4:$AH$4,0)),ArchetypeDemand!$F$6:$F$50,$F179)*'SHWLP-Att'!$R$16</f>
        <v>1.4121897996433541</v>
      </c>
      <c r="S179" s="1136">
        <f>SUMIFS(INDEX(ArchetypeDemand!$I$6:$AH$50,,MATCH(S$166,ArchetypeDemand!$I$4:$AH$4,0)),ArchetypeDemand!$F$6:$F$50,$F179)*'SHWLP-Att'!$R$16</f>
        <v>1.0403705266483703</v>
      </c>
      <c r="T179" s="1136">
        <f>SUMIFS(INDEX(ArchetypeDemand!$I$6:$AH$50,,MATCH(T$166,ArchetypeDemand!$I$4:$AH$4,0)),ArchetypeDemand!$F$6:$F$50,$F179)*'SHWLP-Att'!$R$16</f>
        <v>4.6281533469817466</v>
      </c>
      <c r="U179" s="1136">
        <f>SUMIFS(INDEX(ArchetypeDemand!$I$6:$AH$50,,MATCH(U$166,ArchetypeDemand!$I$4:$AH$4,0)),ArchetypeDemand!$F$6:$F$50,$F179)*'SHWLP-Att'!$R$16</f>
        <v>1.1138580501321576</v>
      </c>
      <c r="V179" s="1136">
        <f>SUMIFS(INDEX(ArchetypeDemand!$I$6:$AH$50,,MATCH(V$166,ArchetypeDemand!$I$4:$AH$4,0)),ArchetypeDemand!$F$6:$F$50,$F179)*'SHWLP-Att'!$R$16</f>
        <v>1.8462499589839032</v>
      </c>
      <c r="W179" s="1136">
        <f>SUMIFS(INDEX(ArchetypeDemand!$I$6:$AH$50,,MATCH(W$166,ArchetypeDemand!$I$4:$AH$4,0)),ArchetypeDemand!$F$6:$F$50,$F179)*'SHWLP-Att'!$R$16</f>
        <v>1.6672567690341318</v>
      </c>
      <c r="X179" s="1136">
        <f>SUMIFS(INDEX(ArchetypeDemand!$I$6:$AH$50,,MATCH(X$166,ArchetypeDemand!$I$4:$AH$4,0)),ArchetypeDemand!$F$6:$F$50,$F179)*'SHWLP-Att'!$R$16</f>
        <v>1.1370828571340819</v>
      </c>
      <c r="Y179" s="1136">
        <f>SUMIFS(INDEX(ArchetypeDemand!$I$6:$AH$50,,MATCH(Y$166,ArchetypeDemand!$I$4:$AH$4,0)),ArchetypeDemand!$F$6:$F$50,$F179)*'SHWLP-Att'!$R$16</f>
        <v>1.5473206089980158</v>
      </c>
      <c r="Z179" s="1136">
        <f>SUMIFS(INDEX(ArchetypeDemand!$I$6:$AH$50,,MATCH(Z$166,ArchetypeDemand!$I$4:$AH$4,0)),ArchetypeDemand!$F$6:$F$50,$F179)*'SHWLP-Att'!$R$16</f>
        <v>0.16002594211569998</v>
      </c>
      <c r="AA179" s="1136">
        <f>SUMIFS(INDEX(ArchetypeDemand!$I$6:$AH$50,,MATCH(AA$166,ArchetypeDemand!$I$4:$AH$4,0)),ArchetypeDemand!$F$6:$F$50,$F179)*'SHWLP-Att'!$R$16</f>
        <v>0.6561483338401668</v>
      </c>
      <c r="AB179" s="1136">
        <f>SUMIFS(INDEX(ArchetypeDemand!$I$6:$AH$50,,MATCH(AB$166,ArchetypeDemand!$I$4:$AH$4,0)),ArchetypeDemand!$F$6:$F$50,$F179)*'SHWLP-Att'!$R$16</f>
        <v>0.35398463224794091</v>
      </c>
      <c r="AC179" s="1136">
        <f>SUMIFS(INDEX(ArchetypeDemand!$I$6:$AH$50,,MATCH(AC$166,ArchetypeDemand!$I$4:$AH$4,0)),ArchetypeDemand!$F$6:$F$50,$F179)*'SHWLP-Att'!$R$16</f>
        <v>0.62129400940043067</v>
      </c>
      <c r="AD179" s="1136">
        <f>SUMIFS(INDEX(ArchetypeDemand!$I$6:$AH$50,,MATCH(AD$166,ArchetypeDemand!$I$4:$AH$4,0)),ArchetypeDemand!$F$6:$F$50,$F179)*'SHWLP-Att'!$R$16</f>
        <v>0.37195712195029301</v>
      </c>
      <c r="AE179" s="1136">
        <f>SUMIFS(INDEX(ArchetypeDemand!$I$6:$AH$50,,MATCH(AE$166,ArchetypeDemand!$I$4:$AH$4,0)),ArchetypeDemand!$F$6:$F$50,$F179)*'SHWLP-Att'!$R$16</f>
        <v>0.84989831083720535</v>
      </c>
      <c r="AF179" s="1136">
        <f>SUMIFS(INDEX(ArchetypeDemand!$I$6:$AH$50,,MATCH(AF$166,ArchetypeDemand!$I$4:$AH$4,0)),ArchetypeDemand!$F$6:$F$50,$F179)*'SHWLP-Att'!$R$16</f>
        <v>0.36053625547691615</v>
      </c>
    </row>
    <row r="180" spans="3:32">
      <c r="C180" s="1134" t="s">
        <v>1117</v>
      </c>
      <c r="D180" s="1134" t="s">
        <v>1094</v>
      </c>
      <c r="E180" s="1134" t="s">
        <v>833</v>
      </c>
      <c r="F180" s="1134" t="s">
        <v>1100</v>
      </c>
      <c r="G180" s="1134">
        <f>SUMIFS(INDEX(ArchetypeDemand!$I$6:$AH$50,,MATCH($G$166,ArchetypeDemand!$I$4:$AH$4,0)),ArchetypeDemand!$F$6:$F$50,$F180)*'SHWLP-Att'!$R$16</f>
        <v>0.20235820984650107</v>
      </c>
      <c r="H180" s="1134">
        <f>SUMIFS(INDEX(ArchetypeDemand!$I$6:$AH$50,,MATCH($H$166,ArchetypeDemand!$I$4:$AH$4,0)),ArchetypeDemand!$F$6:$F$50,$F180)*'SHWLP-Att'!$R$16</f>
        <v>9.5256284536071298</v>
      </c>
      <c r="I180" s="1134">
        <f>SUMIFS(INDEX(ArchetypeDemand!$I$6:$AH$50,,MATCH(I$166,ArchetypeDemand!$I$4:$AH$4,0)),ArchetypeDemand!$F$6:$F$50,$F180)*'SHWLP-Att'!$R$16</f>
        <v>0.48036616810275368</v>
      </c>
      <c r="J180" s="1134">
        <f>SUMIFS(INDEX(ArchetypeDemand!$I$6:$AH$50,,MATCH(J$166,ArchetypeDemand!$I$4:$AH$4,0)),ArchetypeDemand!$F$6:$F$50,$F180)*'SHWLP-Att'!$R$16</f>
        <v>0.34241771636410312</v>
      </c>
      <c r="K180" s="1134">
        <f>SUMIFS(INDEX(ArchetypeDemand!$I$6:$AH$50,,MATCH(K$166,ArchetypeDemand!$I$4:$AH$4,0)),ArchetypeDemand!$F$6:$F$50,$F180)*'SHWLP-Att'!$R$16</f>
        <v>0.35970513692198941</v>
      </c>
      <c r="L180" s="1134">
        <f>SUMIFS(INDEX(ArchetypeDemand!$I$6:$AH$50,,MATCH(L$166,ArchetypeDemand!$I$4:$AH$4,0)),ArchetypeDemand!$F$6:$F$50,$F180)*'SHWLP-Att'!$R$16</f>
        <v>0.12621929625857989</v>
      </c>
      <c r="M180" s="1134">
        <f>SUMIFS(INDEX(ArchetypeDemand!$I$6:$AH$50,,MATCH(M$166,ArchetypeDemand!$I$4:$AH$4,0)),ArchetypeDemand!$F$6:$F$50,$F180)*'SHWLP-Att'!$R$16</f>
        <v>0.42101316770624658</v>
      </c>
      <c r="N180" s="1134">
        <f>SUMIFS(INDEX(ArchetypeDemand!$I$6:$AH$50,,MATCH(N$166,ArchetypeDemand!$I$4:$AH$4,0)),ArchetypeDemand!$F$6:$F$50,$F180)*'SHWLP-Att'!$R$16</f>
        <v>0.31514019686502981</v>
      </c>
      <c r="O180" s="1134">
        <f>SUMIFS(INDEX(ArchetypeDemand!$I$6:$AH$50,,MATCH(O$166,ArchetypeDemand!$I$4:$AH$4,0)),ArchetypeDemand!$F$6:$F$50,$F180)*'SHWLP-Att'!$R$16</f>
        <v>0.53938370088026899</v>
      </c>
      <c r="P180" s="1134">
        <f>SUMIFS(INDEX(ArchetypeDemand!$I$6:$AH$50,,MATCH(P$166,ArchetypeDemand!$I$4:$AH$4,0)),ArchetypeDemand!$F$6:$F$50,$F180)*'SHWLP-Att'!$R$16</f>
        <v>0.34452599067238515</v>
      </c>
      <c r="Q180" s="1134">
        <f>SUMIFS(INDEX(ArchetypeDemand!$I$6:$AH$50,,MATCH(Q$166,ArchetypeDemand!$I$4:$AH$4,0)),ArchetypeDemand!$F$6:$F$50,$F180)*'SHWLP-Att'!$R$16</f>
        <v>0.48893899634553845</v>
      </c>
      <c r="R180" s="1134">
        <f>SUMIFS(INDEX(ArchetypeDemand!$I$6:$AH$50,,MATCH(R$166,ArchetypeDemand!$I$4:$AH$4,0)),ArchetypeDemand!$F$6:$F$50,$F180)*'SHWLP-Att'!$R$16</f>
        <v>0.56825167236644925</v>
      </c>
      <c r="S180" s="1134">
        <f>SUMIFS(INDEX(ArchetypeDemand!$I$6:$AH$50,,MATCH(S$166,ArchetypeDemand!$I$4:$AH$4,0)),ArchetypeDemand!$F$6:$F$50,$F180)*'SHWLP-Att'!$R$16</f>
        <v>0.3878147154655201</v>
      </c>
      <c r="T180" s="1134">
        <f>SUMIFS(INDEX(ArchetypeDemand!$I$6:$AH$50,,MATCH(T$166,ArchetypeDemand!$I$4:$AH$4,0)),ArchetypeDemand!$F$6:$F$50,$F180)*'SHWLP-Att'!$R$16</f>
        <v>2.0381675316515766</v>
      </c>
      <c r="U180" s="1134">
        <f>SUMIFS(INDEX(ArchetypeDemand!$I$6:$AH$50,,MATCH(U$166,ArchetypeDemand!$I$4:$AH$4,0)),ArchetypeDemand!$F$6:$F$50,$F180)*'SHWLP-Att'!$R$16</f>
        <v>0.42700650361678544</v>
      </c>
      <c r="V180" s="1134">
        <f>SUMIFS(INDEX(ArchetypeDemand!$I$6:$AH$50,,MATCH(V$166,ArchetypeDemand!$I$4:$AH$4,0)),ArchetypeDemand!$F$6:$F$50,$F180)*'SHWLP-Att'!$R$16</f>
        <v>0.76153346954219991</v>
      </c>
      <c r="W180" s="1134">
        <f>SUMIFS(INDEX(ArchetypeDemand!$I$6:$AH$50,,MATCH(W$166,ArchetypeDemand!$I$4:$AH$4,0)),ArchetypeDemand!$F$6:$F$50,$F180)*'SHWLP-Att'!$R$16</f>
        <v>0.80475615349750829</v>
      </c>
      <c r="X180" s="1134">
        <f>SUMIFS(INDEX(ArchetypeDemand!$I$6:$AH$50,,MATCH(X$166,ArchetypeDemand!$I$4:$AH$4,0)),ArchetypeDemand!$F$6:$F$50,$F180)*'SHWLP-Att'!$R$16</f>
        <v>0.50227562016986893</v>
      </c>
      <c r="Y180" s="1134">
        <f>SUMIFS(INDEX(ArchetypeDemand!$I$6:$AH$50,,MATCH(Y$166,ArchetypeDemand!$I$4:$AH$4,0)),ArchetypeDemand!$F$6:$F$50,$F180)*'SHWLP-Att'!$R$16</f>
        <v>0.69959100030513499</v>
      </c>
      <c r="Z180" s="1134">
        <f>SUMIFS(INDEX(ArchetypeDemand!$I$6:$AH$50,,MATCH(Z$166,ArchetypeDemand!$I$4:$AH$4,0)),ArchetypeDemand!$F$6:$F$50,$F180)*'SHWLP-Att'!$R$16</f>
        <v>0.11895733750193629</v>
      </c>
      <c r="AA180" s="1134">
        <f>SUMIFS(INDEX(ArchetypeDemand!$I$6:$AH$50,,MATCH(AA$166,ArchetypeDemand!$I$4:$AH$4,0)),ArchetypeDemand!$F$6:$F$50,$F180)*'SHWLP-Att'!$R$16</f>
        <v>0.34706096258302233</v>
      </c>
      <c r="AB180" s="1134">
        <f>SUMIFS(INDEX(ArchetypeDemand!$I$6:$AH$50,,MATCH(AB$166,ArchetypeDemand!$I$4:$AH$4,0)),ArchetypeDemand!$F$6:$F$50,$F180)*'SHWLP-Att'!$R$16</f>
        <v>0.1872527402470992</v>
      </c>
      <c r="AC180" s="1134">
        <f>SUMIFS(INDEX(ArchetypeDemand!$I$6:$AH$50,,MATCH(AC$166,ArchetypeDemand!$I$4:$AH$4,0)),ArchetypeDemand!$F$6:$F$50,$F180)*'SHWLP-Att'!$R$16</f>
        <v>0.25962088697678964</v>
      </c>
      <c r="AD180" s="1134">
        <f>SUMIFS(INDEX(ArchetypeDemand!$I$6:$AH$50,,MATCH(AD$166,ArchetypeDemand!$I$4:$AH$4,0)),ArchetypeDemand!$F$6:$F$50,$F180)*'SHWLP-Att'!$R$16</f>
        <v>0.16700115679400909</v>
      </c>
      <c r="AE180" s="1134">
        <f>SUMIFS(INDEX(ArchetypeDemand!$I$6:$AH$50,,MATCH(AE$166,ArchetypeDemand!$I$4:$AH$4,0)),ArchetypeDemand!$F$6:$F$50,$F180)*'SHWLP-Att'!$R$16</f>
        <v>0.3836787465145548</v>
      </c>
      <c r="AF180" s="1134">
        <f>SUMIFS(INDEX(ArchetypeDemand!$I$6:$AH$50,,MATCH(AF$166,ArchetypeDemand!$I$4:$AH$4,0)),ArchetypeDemand!$F$6:$F$50,$F180)*'SHWLP-Att'!$R$16</f>
        <v>0.16012918158784017</v>
      </c>
    </row>
    <row r="181" spans="3:32" ht="13.5" thickBot="1">
      <c r="C181" s="1138" t="s">
        <v>1117</v>
      </c>
      <c r="D181" s="1138" t="s">
        <v>1094</v>
      </c>
      <c r="E181" s="1138" t="s">
        <v>833</v>
      </c>
      <c r="F181" s="1138" t="s">
        <v>1101</v>
      </c>
      <c r="G181" s="1138">
        <f>SUMIFS(INDEX(ArchetypeDemand!$I$6:$AH$50,,MATCH($G$166,ArchetypeDemand!$I$4:$AH$4,0)),ArchetypeDemand!$F$6:$F$50,$F181)*'SHWLP-Att'!$R$16</f>
        <v>0.18980886349943124</v>
      </c>
      <c r="H181" s="1138">
        <f>SUMIFS(INDEX(ArchetypeDemand!$I$6:$AH$50,,MATCH($H$166,ArchetypeDemand!$I$4:$AH$4,0)),ArchetypeDemand!$F$6:$F$50,$F181)*'SHWLP-Att'!$R$16</f>
        <v>8.0795996621702084</v>
      </c>
      <c r="I181" s="1138">
        <f>SUMIFS(INDEX(ArchetypeDemand!$I$6:$AH$50,,MATCH(I$166,ArchetypeDemand!$I$4:$AH$4,0)),ArchetypeDemand!$F$6:$F$50,$F181)*'SHWLP-Att'!$R$16</f>
        <v>0.51808086725131697</v>
      </c>
      <c r="J181" s="1138">
        <f>SUMIFS(INDEX(ArchetypeDemand!$I$6:$AH$50,,MATCH(J$166,ArchetypeDemand!$I$4:$AH$4,0)),ArchetypeDemand!$F$6:$F$50,$F181)*'SHWLP-Att'!$R$16</f>
        <v>0.36144092282877549</v>
      </c>
      <c r="K181" s="1138">
        <f>SUMIFS(INDEX(ArchetypeDemand!$I$6:$AH$50,,MATCH(K$166,ArchetypeDemand!$I$4:$AH$4,0)),ArchetypeDemand!$F$6:$F$50,$F181)*'SHWLP-Att'!$R$16</f>
        <v>0.40150870688859897</v>
      </c>
      <c r="L181" s="1138">
        <f>SUMIFS(INDEX(ArchetypeDemand!$I$6:$AH$50,,MATCH(L$166,ArchetypeDemand!$I$4:$AH$4,0)),ArchetypeDemand!$F$6:$F$50,$F181)*'SHWLP-Att'!$R$16</f>
        <v>0.11540049943641591</v>
      </c>
      <c r="M181" s="1138">
        <f>SUMIFS(INDEX(ArchetypeDemand!$I$6:$AH$50,,MATCH(M$166,ArchetypeDemand!$I$4:$AH$4,0)),ArchetypeDemand!$F$6:$F$50,$F181)*'SHWLP-Att'!$R$16</f>
        <v>0.619188821961279</v>
      </c>
      <c r="N181" s="1138">
        <f>SUMIFS(INDEX(ArchetypeDemand!$I$6:$AH$50,,MATCH(N$166,ArchetypeDemand!$I$4:$AH$4,0)),ArchetypeDemand!$F$6:$F$50,$F181)*'SHWLP-Att'!$R$16</f>
        <v>0.29744515907314306</v>
      </c>
      <c r="O181" s="1138">
        <f>SUMIFS(INDEX(ArchetypeDemand!$I$6:$AH$50,,MATCH(O$166,ArchetypeDemand!$I$4:$AH$4,0)),ArchetypeDemand!$F$6:$F$50,$F181)*'SHWLP-Att'!$R$16</f>
        <v>0.52089054542151692</v>
      </c>
      <c r="P181" s="1138">
        <f>SUMIFS(INDEX(ArchetypeDemand!$I$6:$AH$50,,MATCH(P$166,ArchetypeDemand!$I$4:$AH$4,0)),ArchetypeDemand!$F$6:$F$50,$F181)*'SHWLP-Att'!$R$16</f>
        <v>0.48233638694133923</v>
      </c>
      <c r="Q181" s="1138">
        <f>SUMIFS(INDEX(ArchetypeDemand!$I$6:$AH$50,,MATCH(Q$166,ArchetypeDemand!$I$4:$AH$4,0)),ArchetypeDemand!$F$6:$F$50,$F181)*'SHWLP-Att'!$R$16</f>
        <v>0.58021965924923424</v>
      </c>
      <c r="R181" s="1138">
        <f>SUMIFS(INDEX(ArchetypeDemand!$I$6:$AH$50,,MATCH(R$166,ArchetypeDemand!$I$4:$AH$4,0)),ArchetypeDemand!$F$6:$F$50,$F181)*'SHWLP-Att'!$R$16</f>
        <v>0.62170108709398664</v>
      </c>
      <c r="S181" s="1138">
        <f>SUMIFS(INDEX(ArchetypeDemand!$I$6:$AH$50,,MATCH(S$166,ArchetypeDemand!$I$4:$AH$4,0)),ArchetypeDemand!$F$6:$F$50,$F181)*'SHWLP-Att'!$R$16</f>
        <v>0.38161676339187028</v>
      </c>
      <c r="T181" s="1138">
        <f>SUMIFS(INDEX(ArchetypeDemand!$I$6:$AH$50,,MATCH(T$166,ArchetypeDemand!$I$4:$AH$4,0)),ArchetypeDemand!$F$6:$F$50,$F181)*'SHWLP-Att'!$R$16</f>
        <v>2.4396697237187963</v>
      </c>
      <c r="U181" s="1138">
        <f>SUMIFS(INDEX(ArchetypeDemand!$I$6:$AH$50,,MATCH(U$166,ArchetypeDemand!$I$4:$AH$4,0)),ArchetypeDemand!$F$6:$F$50,$F181)*'SHWLP-Att'!$R$16</f>
        <v>0.47831348660949996</v>
      </c>
      <c r="V181" s="1138">
        <f>SUMIFS(INDEX(ArchetypeDemand!$I$6:$AH$50,,MATCH(V$166,ArchetypeDemand!$I$4:$AH$4,0)),ArchetypeDemand!$F$6:$F$50,$F181)*'SHWLP-Att'!$R$16</f>
        <v>0.81331417438797671</v>
      </c>
      <c r="W181" s="1138">
        <f>SUMIFS(INDEX(ArchetypeDemand!$I$6:$AH$50,,MATCH(W$166,ArchetypeDemand!$I$4:$AH$4,0)),ArchetypeDemand!$F$6:$F$50,$F181)*'SHWLP-Att'!$R$16</f>
        <v>1.0018205874405199</v>
      </c>
      <c r="X181" s="1138">
        <f>SUMIFS(INDEX(ArchetypeDemand!$I$6:$AH$50,,MATCH(X$166,ArchetypeDemand!$I$4:$AH$4,0)),ArchetypeDemand!$F$6:$F$50,$F181)*'SHWLP-Att'!$R$16</f>
        <v>0.56854142856704093</v>
      </c>
      <c r="Y181" s="1138">
        <f>SUMIFS(INDEX(ArchetypeDemand!$I$6:$AH$50,,MATCH(Y$166,ArchetypeDemand!$I$4:$AH$4,0)),ArchetypeDemand!$F$6:$F$50,$F181)*'SHWLP-Att'!$R$16</f>
        <v>0.67475851681817189</v>
      </c>
      <c r="Z181" s="1138">
        <f>SUMIFS(INDEX(ArchetypeDemand!$I$6:$AH$50,,MATCH(Z$166,ArchetypeDemand!$I$4:$AH$4,0)),ArchetypeDemand!$F$6:$F$50,$F181)*'SHWLP-Att'!$R$16</f>
        <v>0.11258462299290398</v>
      </c>
      <c r="AA181" s="1138">
        <f>SUMIFS(INDEX(ArchetypeDemand!$I$6:$AH$50,,MATCH(AA$166,ArchetypeDemand!$I$4:$AH$4,0)),ArchetypeDemand!$F$6:$F$50,$F181)*'SHWLP-Att'!$R$16</f>
        <v>0.49365668723641076</v>
      </c>
      <c r="AB181" s="1138">
        <f>SUMIFS(INDEX(ArchetypeDemand!$I$6:$AH$50,,MATCH(AB$166,ArchetypeDemand!$I$4:$AH$4,0)),ArchetypeDemand!$F$6:$F$50,$F181)*'SHWLP-Att'!$R$16</f>
        <v>0.18126749284194077</v>
      </c>
      <c r="AC181" s="1138">
        <f>SUMIFS(INDEX(ArchetypeDemand!$I$6:$AH$50,,MATCH(AC$166,ArchetypeDemand!$I$4:$AH$4,0)),ArchetypeDemand!$F$6:$F$50,$F181)*'SHWLP-Att'!$R$16</f>
        <v>0.31513730305987675</v>
      </c>
      <c r="AD181" s="1138">
        <f>SUMIFS(INDEX(ArchetypeDemand!$I$6:$AH$50,,MATCH(AD$166,ArchetypeDemand!$I$4:$AH$4,0)),ArchetypeDemand!$F$6:$F$50,$F181)*'SHWLP-Att'!$R$16</f>
        <v>0.22688540998782045</v>
      </c>
      <c r="AE181" s="1138">
        <f>SUMIFS(INDEX(ArchetypeDemand!$I$6:$AH$50,,MATCH(AE$166,ArchetypeDemand!$I$4:$AH$4,0)),ArchetypeDemand!$F$6:$F$50,$F181)*'SHWLP-Att'!$R$16</f>
        <v>0.48436040340135289</v>
      </c>
      <c r="AF181" s="1138">
        <f>SUMIFS(INDEX(ArchetypeDemand!$I$6:$AH$50,,MATCH(AF$166,ArchetypeDemand!$I$4:$AH$4,0)),ArchetypeDemand!$F$6:$F$50,$F181)*'SHWLP-Att'!$R$16</f>
        <v>0.17093544537597663</v>
      </c>
    </row>
    <row r="182" spans="3:32" ht="13.5" thickBot="1">
      <c r="C182" s="1141" t="s">
        <v>1118</v>
      </c>
      <c r="D182" s="1141" t="s">
        <v>1094</v>
      </c>
      <c r="E182" s="1141" t="s">
        <v>833</v>
      </c>
      <c r="F182" s="1141" t="s">
        <v>930</v>
      </c>
      <c r="G182" s="1129">
        <f>SUM(ArchetypeDemand!I6:I46)*'SHWLP-Att'!$R$42</f>
        <v>4.8965247981716953</v>
      </c>
      <c r="H182" s="1129">
        <f>SUM(ArchetypeDemand!J6:J46)*'SHWLP-Att'!$R$42</f>
        <v>162.76184648321521</v>
      </c>
      <c r="I182" s="1129">
        <f>SUM(ArchetypeDemand!K6:K46)*'SHWLP-Att'!$R$42</f>
        <v>20.71269676622962</v>
      </c>
      <c r="J182" s="1129">
        <f>SUM(ArchetypeDemand!L6:L46)*'SHWLP-Att'!$R$42</f>
        <v>6.7922129211394946</v>
      </c>
      <c r="K182" s="1129">
        <f>SUM(ArchetypeDemand!M6:M46)*'SHWLP-Att'!$R$42</f>
        <v>6.2503658959674304</v>
      </c>
      <c r="L182" s="1129">
        <f>SUM(ArchetypeDemand!N6:N46)*'SHWLP-Att'!$R$42</f>
        <v>2.5772774528546556</v>
      </c>
      <c r="M182" s="1129">
        <f>SUM(ArchetypeDemand!O6:O46)*'SHWLP-Att'!$R$42</f>
        <v>13.189470975855338</v>
      </c>
      <c r="N182" s="1129">
        <f>SUM(ArchetypeDemand!P6:P46)*'SHWLP-Att'!$R$42</f>
        <v>14.717412126520317</v>
      </c>
      <c r="O182" s="1129">
        <f>SUM(ArchetypeDemand!Q6:Q46)*'SHWLP-Att'!$R$42</f>
        <v>5.5600230282528447</v>
      </c>
      <c r="P182" s="1129">
        <f>SUM(ArchetypeDemand!R6:R46)*'SHWLP-Att'!$R$42</f>
        <v>6.6595860053357843</v>
      </c>
      <c r="Q182" s="1129">
        <f>SUM(ArchetypeDemand!S6:S46)*'SHWLP-Att'!$R$42</f>
        <v>9.9835168892265997</v>
      </c>
      <c r="R182" s="1129">
        <f>SUM(ArchetypeDemand!T6:T46)*'SHWLP-Att'!$R$42</f>
        <v>12.580104329210247</v>
      </c>
      <c r="S182" s="1129">
        <f>SUM(ArchetypeDemand!U6:U46)*'SHWLP-Att'!$R$42</f>
        <v>8.2097674732753472</v>
      </c>
      <c r="T182" s="1129">
        <f>SUM(ArchetypeDemand!V6:V46)*'SHWLP-Att'!$R$42</f>
        <v>49.656612739399826</v>
      </c>
      <c r="U182" s="1129">
        <f>SUM(ArchetypeDemand!W6:W46)*'SHWLP-Att'!$R$42</f>
        <v>8.5180397030327146</v>
      </c>
      <c r="V182" s="1129">
        <f>SUM(ArchetypeDemand!X6:X46)*'SHWLP-Att'!$R$42</f>
        <v>17.211227586746237</v>
      </c>
      <c r="W182" s="1129">
        <f>SUM(ArchetypeDemand!Y6:Y46)*'SHWLP-Att'!$R$42</f>
        <v>11.921374860056455</v>
      </c>
      <c r="X182" s="1129">
        <f>SUM(ArchetypeDemand!Z6:Z46)*'SHWLP-Att'!$R$42</f>
        <v>11.820914952083017</v>
      </c>
      <c r="Y182" s="1129">
        <f>SUM(ArchetypeDemand!AA6:AA46)*'SHWLP-Att'!$R$42</f>
        <v>14.981364346261371</v>
      </c>
      <c r="Z182" s="1129">
        <f>SUM(ArchetypeDemand!AB6:AB46)*'SHWLP-Att'!$R$42</f>
        <v>1.4866424303915793</v>
      </c>
      <c r="AA182" s="1129">
        <f>SUM(ArchetypeDemand!AC6:AC46)*'SHWLP-Att'!$R$42</f>
        <v>6.7983269110778544</v>
      </c>
      <c r="AB182" s="1129">
        <f>SUM(ArchetypeDemand!AD6:AD46)*'SHWLP-Att'!$R$42</f>
        <v>2.9172115595713692</v>
      </c>
      <c r="AC182" s="1129">
        <f>SUM(ArchetypeDemand!AE6:AE46)*'SHWLP-Att'!$R$42</f>
        <v>4.82712511846825</v>
      </c>
      <c r="AD182" s="1129">
        <f>SUM(ArchetypeDemand!AF6:AF46)*'SHWLP-Att'!$R$42</f>
        <v>4.1849149963947783</v>
      </c>
      <c r="AE182" s="1129">
        <f>SUM(ArchetypeDemand!AG6:AG46)*'SHWLP-Att'!$R$42</f>
        <v>8.6238630557972851</v>
      </c>
      <c r="AF182" s="1129">
        <f>SUM(ArchetypeDemand!AH6:AH46)*'SHWLP-Att'!$R$42</f>
        <v>3.594252804327672</v>
      </c>
    </row>
    <row r="183" spans="3:32" ht="15">
      <c r="C183" s="1137" t="s">
        <v>1119</v>
      </c>
      <c r="D183" s="1137"/>
      <c r="E183" s="1137"/>
      <c r="F183" s="1137"/>
      <c r="G183" s="1137"/>
      <c r="H183" s="1137"/>
      <c r="I183" s="1137"/>
      <c r="J183" s="1137"/>
      <c r="K183" s="1137"/>
      <c r="L183" s="1137"/>
      <c r="M183" s="1137"/>
      <c r="N183" s="1137"/>
      <c r="O183" s="1137"/>
      <c r="P183" s="1137"/>
      <c r="Q183" s="1137"/>
      <c r="R183" s="1137"/>
      <c r="S183" s="1137"/>
      <c r="T183" s="1137"/>
      <c r="U183" s="1137"/>
      <c r="V183" s="1137"/>
      <c r="W183" s="1137"/>
      <c r="X183" s="1137"/>
      <c r="Y183" s="1137"/>
      <c r="Z183" s="1137"/>
      <c r="AA183" s="1137"/>
      <c r="AB183" s="1137"/>
      <c r="AC183" s="1137"/>
      <c r="AD183" s="1137"/>
      <c r="AE183" s="1137"/>
      <c r="AF183" s="1137"/>
    </row>
    <row r="184" spans="3:32">
      <c r="C184" s="1145" t="s">
        <v>1120</v>
      </c>
      <c r="D184" s="1134" t="s">
        <v>1094</v>
      </c>
      <c r="E184" s="1134" t="s">
        <v>831</v>
      </c>
      <c r="F184" s="1134" t="s">
        <v>1096</v>
      </c>
      <c r="G184" s="1134">
        <f>SUMIFS(INDEX(ArchetypeDemand!$I$6:$AH$50,,MATCH($G$166,ArchetypeDemand!$I$4:$AH$4,0)),ArchetypeDemand!$F$6:$F$50,$F184)*'SHWLP-Att'!$R$7</f>
        <v>2.4790145657224229E-2</v>
      </c>
      <c r="H184" s="1134">
        <f>SUMIFS(INDEX(ArchetypeDemand!$I$6:$AH$50,,MATCH(H$166,ArchetypeDemand!$I$4:$AH$4,0)),ArchetypeDemand!$F$6:$F$50,$F184)*'SHWLP-Att'!$R$7</f>
        <v>0.94395577835841304</v>
      </c>
      <c r="I184" s="1134">
        <f>SUMIFS(INDEX(ArchetypeDemand!$I$6:$AH$50,,MATCH(I$166,ArchetypeDemand!$I$4:$AH$4,0)),ArchetypeDemand!$F$6:$F$50,$F184)*'SHWLP-Att'!$R$7</f>
        <v>0.19034470006311874</v>
      </c>
      <c r="J184" s="1134">
        <f>SUMIFS(INDEX(ArchetypeDemand!$I$6:$AH$50,,MATCH(J$166,ArchetypeDemand!$I$4:$AH$4,0)),ArchetypeDemand!$F$6:$F$50,$F184)*'SHWLP-Att'!$R$7</f>
        <v>2.9567796230204141E-2</v>
      </c>
      <c r="K184" s="1134">
        <f>SUMIFS(INDEX(ArchetypeDemand!$I$6:$AH$50,,MATCH(K$166,ArchetypeDemand!$I$4:$AH$4,0)),ArchetypeDemand!$F$6:$F$50,$F184)*'SHWLP-Att'!$R$7</f>
        <v>2.8307228367780584E-2</v>
      </c>
      <c r="L184" s="1134">
        <f>SUMIFS(INDEX(ArchetypeDemand!$I$6:$AH$50,,MATCH(L$166,ArchetypeDemand!$I$4:$AH$4,0)),ArchetypeDemand!$F$6:$F$50,$F184)*'SHWLP-Att'!$R$7</f>
        <v>1.1199715817668439E-2</v>
      </c>
      <c r="M184" s="1134">
        <f>SUMIFS(INDEX(ArchetypeDemand!$I$6:$AH$50,,MATCH(M$166,ArchetypeDemand!$I$4:$AH$4,0)),ArchetypeDemand!$F$6:$F$50,$F184)*'SHWLP-Att'!$R$7</f>
        <v>9.2628129159762804E-2</v>
      </c>
      <c r="N184" s="1134">
        <f>SUMIFS(INDEX(ArchetypeDemand!$I$6:$AH$50,,MATCH(N$166,ArchetypeDemand!$I$4:$AH$4,0)),ArchetypeDemand!$F$6:$F$50,$F184)*'SHWLP-Att'!$R$7</f>
        <v>0.16769545743801345</v>
      </c>
      <c r="O184" s="1134">
        <f>SUMIFS(INDEX(ArchetypeDemand!$I$6:$AH$50,,MATCH(O$166,ArchetypeDemand!$I$4:$AH$4,0)),ArchetypeDemand!$F$6:$F$50,$F184)*'SHWLP-Att'!$R$7</f>
        <v>1.3065090428919979E-2</v>
      </c>
      <c r="P184" s="1134">
        <f>SUMIFS(INDEX(ArchetypeDemand!$I$6:$AH$50,,MATCH(P$166,ArchetypeDemand!$I$4:$AH$4,0)),ArchetypeDemand!$F$6:$F$50,$F184)*'SHWLP-Att'!$R$7</f>
        <v>2.3200966575305643E-2</v>
      </c>
      <c r="Q184" s="1134">
        <f>SUMIFS(INDEX(ArchetypeDemand!$I$6:$AH$50,,MATCH(Q$166,ArchetypeDemand!$I$4:$AH$4,0)),ArchetypeDemand!$F$6:$F$50,$F184)*'SHWLP-Att'!$R$7</f>
        <v>3.6329623744931504E-2</v>
      </c>
      <c r="R184" s="1134">
        <f>SUMIFS(INDEX(ArchetypeDemand!$I$6:$AH$50,,MATCH(R$166,ArchetypeDemand!$I$4:$AH$4,0)),ArchetypeDemand!$F$6:$F$50,$F184)*'SHWLP-Att'!$R$7</f>
        <v>9.2857659336031323E-2</v>
      </c>
      <c r="S184" s="1134">
        <f>SUMIFS(INDEX(ArchetypeDemand!$I$6:$AH$50,,MATCH(S$166,ArchetypeDemand!$I$4:$AH$4,0)),ArchetypeDemand!$F$6:$F$50,$F184)*'SHWLP-Att'!$R$7</f>
        <v>2.6848489278128756E-2</v>
      </c>
      <c r="T184" s="1134">
        <f>SUMIFS(INDEX(ArchetypeDemand!$I$6:$AH$50,,MATCH(T$166,ArchetypeDemand!$I$4:$AH$4,0)),ArchetypeDemand!$F$6:$F$50,$F184)*'SHWLP-Att'!$R$7</f>
        <v>0.32569009770751139</v>
      </c>
      <c r="U184" s="1134">
        <f>SUMIFS(INDEX(ArchetypeDemand!$I$6:$AH$50,,MATCH(U$166,ArchetypeDemand!$I$4:$AH$4,0)),ArchetypeDemand!$F$6:$F$50,$F184)*'SHWLP-Att'!$R$7</f>
        <v>3.5501442696145788E-2</v>
      </c>
      <c r="V184" s="1134">
        <f>SUMIFS(INDEX(ArchetypeDemand!$I$6:$AH$50,,MATCH(V$166,ArchetypeDemand!$I$4:$AH$4,0)),ArchetypeDemand!$F$6:$F$50,$F184)*'SHWLP-Att'!$R$7</f>
        <v>6.9916659546305687E-2</v>
      </c>
      <c r="W184" s="1134">
        <f>SUMIFS(INDEX(ArchetypeDemand!$I$6:$AH$50,,MATCH(W$166,ArchetypeDemand!$I$4:$AH$4,0)),ArchetypeDemand!$F$6:$F$50,$F184)*'SHWLP-Att'!$R$7</f>
        <v>3.0254592302457271E-2</v>
      </c>
      <c r="X184" s="1134">
        <f>SUMIFS(INDEX(ArchetypeDemand!$I$6:$AH$50,,MATCH(X$166,ArchetypeDemand!$I$4:$AH$4,0)),ArchetypeDemand!$F$6:$F$50,$F184)*'SHWLP-Att'!$R$7</f>
        <v>5.8827970545914827E-2</v>
      </c>
      <c r="Y184" s="1134">
        <f>SUMIFS(INDEX(ArchetypeDemand!$I$6:$AH$50,,MATCH(Y$166,ArchetypeDemand!$I$4:$AH$4,0)),ArchetypeDemand!$F$6:$F$50,$F184)*'SHWLP-Att'!$R$7</f>
        <v>5.699915769624548E-2</v>
      </c>
      <c r="Z184" s="1134">
        <f>SUMIFS(INDEX(ArchetypeDemand!$I$6:$AH$50,,MATCH(Z$166,ArchetypeDemand!$I$4:$AH$4,0)),ArchetypeDemand!$F$6:$F$50,$F184)*'SHWLP-Att'!$R$7</f>
        <v>4.4921164244018635E-3</v>
      </c>
      <c r="AA184" s="1134">
        <f>SUMIFS(INDEX(ArchetypeDemand!$I$6:$AH$50,,MATCH(AA$166,ArchetypeDemand!$I$4:$AH$4,0)),ArchetypeDemand!$F$6:$F$50,$F184)*'SHWLP-Att'!$R$7</f>
        <v>2.2837557295250107E-2</v>
      </c>
      <c r="AB184" s="1134">
        <f>SUMIFS(INDEX(ArchetypeDemand!$I$6:$AH$50,,MATCH(AB$166,ArchetypeDemand!$I$4:$AH$4,0)),ArchetypeDemand!$F$6:$F$50,$F184)*'SHWLP-Att'!$R$7</f>
        <v>5.7776969313122024E-3</v>
      </c>
      <c r="AC184" s="1134">
        <f>SUMIFS(INDEX(ArchetypeDemand!$I$6:$AH$50,,MATCH(AC$166,ArchetypeDemand!$I$4:$AH$4,0)),ArchetypeDemand!$F$6:$F$50,$F184)*'SHWLP-Att'!$R$7</f>
        <v>1.8024806489310256E-2</v>
      </c>
      <c r="AD184" s="1134">
        <f>SUMIFS(INDEX(ArchetypeDemand!$I$6:$AH$50,,MATCH(AD$166,ArchetypeDemand!$I$4:$AH$4,0)),ArchetypeDemand!$F$6:$F$50,$F184)*'SHWLP-Att'!$R$7</f>
        <v>2.0266459616886872E-2</v>
      </c>
      <c r="AE184" s="1134">
        <f>SUMIFS(INDEX(ArchetypeDemand!$I$6:$AH$50,,MATCH(AE$166,ArchetypeDemand!$I$4:$AH$4,0)),ArchetypeDemand!$F$6:$F$50,$F184)*'SHWLP-Att'!$R$7</f>
        <v>2.491944831931802E-2</v>
      </c>
      <c r="AF184" s="1134">
        <f>SUMIFS(INDEX(ArchetypeDemand!$I$6:$AH$50,,MATCH(AF$166,ArchetypeDemand!$I$4:$AH$4,0)),ArchetypeDemand!$F$6:$F$50,$F184)*'SHWLP-Att'!$R$7</f>
        <v>1.892145349432749E-2</v>
      </c>
    </row>
    <row r="185" spans="3:32">
      <c r="C185" s="1136" t="s">
        <v>1120</v>
      </c>
      <c r="D185" s="1136" t="s">
        <v>1094</v>
      </c>
      <c r="E185" s="1136" t="s">
        <v>831</v>
      </c>
      <c r="F185" s="1136" t="s">
        <v>1097</v>
      </c>
      <c r="G185" s="1136">
        <f>SUMIFS(INDEX(ArchetypeDemand!$I$6:$AH$50,,MATCH($G$166,ArchetypeDemand!$I$4:$AH$4,0)),ArchetypeDemand!$F$6:$F$50,$F185)*'SHWLP-Att'!$R$7</f>
        <v>6.5834761631059405E-2</v>
      </c>
      <c r="H185" s="1136">
        <f>SUMIFS(INDEX(ArchetypeDemand!$I$6:$AH$50,,MATCH(H$166,ArchetypeDemand!$I$4:$AH$4,0)),ArchetypeDemand!$F$6:$F$50,$F185)*'SHWLP-Att'!$R$7</f>
        <v>1.6487290447121929</v>
      </c>
      <c r="I185" s="1136">
        <f>SUMIFS(INDEX(ArchetypeDemand!$I$6:$AH$50,,MATCH(I$166,ArchetypeDemand!$I$4:$AH$4,0)),ArchetypeDemand!$F$6:$F$50,$F185)*'SHWLP-Att'!$R$7</f>
        <v>0.23663167510349475</v>
      </c>
      <c r="J185" s="1136">
        <f>SUMIFS(INDEX(ArchetypeDemand!$I$6:$AH$50,,MATCH(J$166,ArchetypeDemand!$I$4:$AH$4,0)),ArchetypeDemand!$F$6:$F$50,$F185)*'SHWLP-Att'!$R$7</f>
        <v>8.41957372274207E-2</v>
      </c>
      <c r="K185" s="1136">
        <f>SUMIFS(INDEX(ArchetypeDemand!$I$6:$AH$50,,MATCH(K$166,ArchetypeDemand!$I$4:$AH$4,0)),ArchetypeDemand!$F$6:$F$50,$F185)*'SHWLP-Att'!$R$7</f>
        <v>8.3766251834427735E-2</v>
      </c>
      <c r="L185" s="1136">
        <f>SUMIFS(INDEX(ArchetypeDemand!$I$6:$AH$50,,MATCH(L$166,ArchetypeDemand!$I$4:$AH$4,0)),ArchetypeDemand!$F$6:$F$50,$F185)*'SHWLP-Att'!$R$7</f>
        <v>3.2090337882043851E-2</v>
      </c>
      <c r="M185" s="1136">
        <f>SUMIFS(INDEX(ArchetypeDemand!$I$6:$AH$50,,MATCH(M$166,ArchetypeDemand!$I$4:$AH$4,0)),ArchetypeDemand!$F$6:$F$50,$F185)*'SHWLP-Att'!$R$7</f>
        <v>0.17861989533297473</v>
      </c>
      <c r="N185" s="1136">
        <f>SUMIFS(INDEX(ArchetypeDemand!$I$6:$AH$50,,MATCH(N$166,ArchetypeDemand!$I$4:$AH$4,0)),ArchetypeDemand!$F$6:$F$50,$F185)*'SHWLP-Att'!$R$7</f>
        <v>0.18709806421427838</v>
      </c>
      <c r="O185" s="1136">
        <f>SUMIFS(INDEX(ArchetypeDemand!$I$6:$AH$50,,MATCH(O$166,ArchetypeDemand!$I$4:$AH$4,0)),ArchetypeDemand!$F$6:$F$50,$F185)*'SHWLP-Att'!$R$7</f>
        <v>6.1261974778927426E-2</v>
      </c>
      <c r="P185" s="1136">
        <f>SUMIFS(INDEX(ArchetypeDemand!$I$6:$AH$50,,MATCH(P$166,ArchetypeDemand!$I$4:$AH$4,0)),ArchetypeDemand!$F$6:$F$50,$F185)*'SHWLP-Att'!$R$7</f>
        <v>8.4353374542409779E-2</v>
      </c>
      <c r="Q185" s="1136">
        <f>SUMIFS(INDEX(ArchetypeDemand!$I$6:$AH$50,,MATCH(Q$166,ArchetypeDemand!$I$4:$AH$4,0)),ArchetypeDemand!$F$6:$F$50,$F185)*'SHWLP-Att'!$R$7</f>
        <v>0.11552627957685731</v>
      </c>
      <c r="R185" s="1136">
        <f>SUMIFS(INDEX(ArchetypeDemand!$I$6:$AH$50,,MATCH(R$166,ArchetypeDemand!$I$4:$AH$4,0)),ArchetypeDemand!$F$6:$F$50,$F185)*'SHWLP-Att'!$R$7</f>
        <v>0.1314479548414785</v>
      </c>
      <c r="S185" s="1136">
        <f>SUMIFS(INDEX(ArchetypeDemand!$I$6:$AH$50,,MATCH(S$166,ArchetypeDemand!$I$4:$AH$4,0)),ArchetypeDemand!$F$6:$F$50,$F185)*'SHWLP-Att'!$R$7</f>
        <v>9.4709088003446976E-2</v>
      </c>
      <c r="T185" s="1136">
        <f>SUMIFS(INDEX(ArchetypeDemand!$I$6:$AH$50,,MATCH(T$166,ArchetypeDemand!$I$4:$AH$4,0)),ArchetypeDemand!$F$6:$F$50,$F185)*'SHWLP-Att'!$R$7</f>
        <v>0.62584209767986387</v>
      </c>
      <c r="U185" s="1136">
        <f>SUMIFS(INDEX(ArchetypeDemand!$I$6:$AH$50,,MATCH(U$166,ArchetypeDemand!$I$4:$AH$4,0)),ArchetypeDemand!$F$6:$F$50,$F185)*'SHWLP-Att'!$R$7</f>
        <v>9.6189895273813386E-2</v>
      </c>
      <c r="V185" s="1136">
        <f>SUMIFS(INDEX(ArchetypeDemand!$I$6:$AH$50,,MATCH(V$166,ArchetypeDemand!$I$4:$AH$4,0)),ArchetypeDemand!$F$6:$F$50,$F185)*'SHWLP-Att'!$R$7</f>
        <v>0.21658644151682147</v>
      </c>
      <c r="W185" s="1136">
        <f>SUMIFS(INDEX(ArchetypeDemand!$I$6:$AH$50,,MATCH(W$166,ArchetypeDemand!$I$4:$AH$4,0)),ArchetypeDemand!$F$6:$F$50,$F185)*'SHWLP-Att'!$R$7</f>
        <v>0.13712432950878981</v>
      </c>
      <c r="X185" s="1136">
        <f>SUMIFS(INDEX(ArchetypeDemand!$I$6:$AH$50,,MATCH(X$166,ArchetypeDemand!$I$4:$AH$4,0)),ArchetypeDemand!$F$6:$F$50,$F185)*'SHWLP-Att'!$R$7</f>
        <v>0.14227029375460878</v>
      </c>
      <c r="Y185" s="1136">
        <f>SUMIFS(INDEX(ArchetypeDemand!$I$6:$AH$50,,MATCH(Y$166,ArchetypeDemand!$I$4:$AH$4,0)),ArchetypeDemand!$F$6:$F$50,$F185)*'SHWLP-Att'!$R$7</f>
        <v>0.19940539947260899</v>
      </c>
      <c r="Z185" s="1136">
        <f>SUMIFS(INDEX(ArchetypeDemand!$I$6:$AH$50,,MATCH(Z$166,ArchetypeDemand!$I$4:$AH$4,0)),ArchetypeDemand!$F$6:$F$50,$F185)*'SHWLP-Att'!$R$7</f>
        <v>2.1143182593699159E-2</v>
      </c>
      <c r="AA185" s="1136">
        <f>SUMIFS(INDEX(ArchetypeDemand!$I$6:$AH$50,,MATCH(AA$166,ArchetypeDemand!$I$4:$AH$4,0)),ArchetypeDemand!$F$6:$F$50,$F185)*'SHWLP-Att'!$R$7</f>
        <v>8.6704154659487498E-2</v>
      </c>
      <c r="AB185" s="1136">
        <f>SUMIFS(INDEX(ArchetypeDemand!$I$6:$AH$50,,MATCH(AB$166,ArchetypeDemand!$I$4:$AH$4,0)),ArchetypeDemand!$F$6:$F$50,$F185)*'SHWLP-Att'!$R$7</f>
        <v>4.5742444636791335E-2</v>
      </c>
      <c r="AC185" s="1136">
        <f>SUMIFS(INDEX(ArchetypeDemand!$I$6:$AH$50,,MATCH(AC$166,ArchetypeDemand!$I$4:$AH$4,0)),ArchetypeDemand!$F$6:$F$50,$F185)*'SHWLP-Att'!$R$7</f>
        <v>5.7695807785872591E-2</v>
      </c>
      <c r="AD185" s="1136">
        <f>SUMIFS(INDEX(ArchetypeDemand!$I$6:$AH$50,,MATCH(AD$166,ArchetypeDemand!$I$4:$AH$4,0)),ArchetypeDemand!$F$6:$F$50,$F185)*'SHWLP-Att'!$R$7</f>
        <v>6.2589590939305814E-2</v>
      </c>
      <c r="AE185" s="1136">
        <f>SUMIFS(INDEX(ArchetypeDemand!$I$6:$AH$50,,MATCH(AE$166,ArchetypeDemand!$I$4:$AH$4,0)),ArchetypeDemand!$F$6:$F$50,$F185)*'SHWLP-Att'!$R$7</f>
        <v>0.12764702001867517</v>
      </c>
      <c r="AF185" s="1136">
        <f>SUMIFS(INDEX(ArchetypeDemand!$I$6:$AH$50,,MATCH(AF$166,ArchetypeDemand!$I$4:$AH$4,0)),ArchetypeDemand!$F$6:$F$50,$F185)*'SHWLP-Att'!$R$7</f>
        <v>4.1678849732603308E-2</v>
      </c>
    </row>
    <row r="186" spans="3:32">
      <c r="C186" s="1134" t="s">
        <v>1120</v>
      </c>
      <c r="D186" s="1134" t="s">
        <v>1094</v>
      </c>
      <c r="E186" s="1134" t="s">
        <v>831</v>
      </c>
      <c r="F186" s="1134" t="s">
        <v>1098</v>
      </c>
      <c r="G186" s="1134">
        <f>SUMIFS(INDEX(ArchetypeDemand!$I$6:$AH$50,,MATCH($G$166,ArchetypeDemand!$I$4:$AH$4,0)),ArchetypeDemand!$F$6:$F$50,$F186)*'SHWLP-Att'!$R$7</f>
        <v>3.4544111844204133E-2</v>
      </c>
      <c r="H186" s="1134">
        <f>SUMIFS(INDEX(ArchetypeDemand!$I$6:$AH$50,,MATCH(H$166,ArchetypeDemand!$I$4:$AH$4,0)),ArchetypeDemand!$F$6:$F$50,$F186)*'SHWLP-Att'!$R$7</f>
        <v>1.2081050067352255</v>
      </c>
      <c r="I186" s="1134">
        <f>SUMIFS(INDEX(ArchetypeDemand!$I$6:$AH$50,,MATCH(I$166,ArchetypeDemand!$I$4:$AH$4,0)),ArchetypeDemand!$F$6:$F$50,$F186)*'SHWLP-Att'!$R$7</f>
        <v>0.13298233960978029</v>
      </c>
      <c r="J186" s="1134">
        <f>SUMIFS(INDEX(ArchetypeDemand!$I$6:$AH$50,,MATCH(J$166,ArchetypeDemand!$I$4:$AH$4,0)),ArchetypeDemand!$F$6:$F$50,$F186)*'SHWLP-Att'!$R$7</f>
        <v>4.9060456378305625E-2</v>
      </c>
      <c r="K186" s="1134">
        <f>SUMIFS(INDEX(ArchetypeDemand!$I$6:$AH$50,,MATCH(K$166,ArchetypeDemand!$I$4:$AH$4,0)),ArchetypeDemand!$F$6:$F$50,$F186)*'SHWLP-Att'!$R$7</f>
        <v>3.1045403777219767E-2</v>
      </c>
      <c r="L186" s="1134">
        <f>SUMIFS(INDEX(ArchetypeDemand!$I$6:$AH$50,,MATCH(L$166,ArchetypeDemand!$I$4:$AH$4,0)),ArchetypeDemand!$F$6:$F$50,$F186)*'SHWLP-Att'!$R$7</f>
        <v>1.982616419276231E-2</v>
      </c>
      <c r="M186" s="1134">
        <f>SUMIFS(INDEX(ArchetypeDemand!$I$6:$AH$50,,MATCH(M$166,ArchetypeDemand!$I$4:$AH$4,0)),ArchetypeDemand!$F$6:$F$50,$F186)*'SHWLP-Att'!$R$7</f>
        <v>7.0894556141332596E-2</v>
      </c>
      <c r="N186" s="1134">
        <f>SUMIFS(INDEX(ArchetypeDemand!$I$6:$AH$50,,MATCH(N$166,ArchetypeDemand!$I$4:$AH$4,0)),ArchetypeDemand!$F$6:$F$50,$F186)*'SHWLP-Att'!$R$7</f>
        <v>5.5923816995916184E-2</v>
      </c>
      <c r="O186" s="1134">
        <f>SUMIFS(INDEX(ArchetypeDemand!$I$6:$AH$50,,MATCH(O$166,ArchetypeDemand!$I$4:$AH$4,0)),ArchetypeDemand!$F$6:$F$50,$F186)*'SHWLP-Att'!$R$7</f>
        <v>2.8891836698808741E-2</v>
      </c>
      <c r="P186" s="1134">
        <f>SUMIFS(INDEX(ArchetypeDemand!$I$6:$AH$50,,MATCH(P$166,ArchetypeDemand!$I$4:$AH$4,0)),ArchetypeDemand!$F$6:$F$50,$F186)*'SHWLP-Att'!$R$7</f>
        <v>4.7128489462772982E-2</v>
      </c>
      <c r="Q186" s="1134">
        <f>SUMIFS(INDEX(ArchetypeDemand!$I$6:$AH$50,,MATCH(Q$166,ArchetypeDemand!$I$4:$AH$4,0)),ArchetypeDemand!$F$6:$F$50,$F186)*'SHWLP-Att'!$R$7</f>
        <v>8.3550501884384273E-2</v>
      </c>
      <c r="R186" s="1134">
        <f>SUMIFS(INDEX(ArchetypeDemand!$I$6:$AH$50,,MATCH(R$166,ArchetypeDemand!$I$4:$AH$4,0)),ArchetypeDemand!$F$6:$F$50,$F186)*'SHWLP-Att'!$R$7</f>
        <v>8.011003514164082E-2</v>
      </c>
      <c r="S186" s="1134">
        <f>SUMIFS(INDEX(ArchetypeDemand!$I$6:$AH$50,,MATCH(S$166,ArchetypeDemand!$I$4:$AH$4,0)),ArchetypeDemand!$F$6:$F$50,$F186)*'SHWLP-Att'!$R$7</f>
        <v>7.3698631639979126E-2</v>
      </c>
      <c r="T186" s="1134">
        <f>SUMIFS(INDEX(ArchetypeDemand!$I$6:$AH$50,,MATCH(T$166,ArchetypeDemand!$I$4:$AH$4,0)),ArchetypeDemand!$F$6:$F$50,$F186)*'SHWLP-Att'!$R$7</f>
        <v>0.28560888828042941</v>
      </c>
      <c r="U186" s="1134">
        <f>SUMIFS(INDEX(ArchetypeDemand!$I$6:$AH$50,,MATCH(U$166,ArchetypeDemand!$I$4:$AH$4,0)),ArchetypeDemand!$F$6:$F$50,$F186)*'SHWLP-Att'!$R$7</f>
        <v>6.6583296702261791E-2</v>
      </c>
      <c r="V186" s="1134">
        <f>SUMIFS(INDEX(ArchetypeDemand!$I$6:$AH$50,,MATCH(V$166,ArchetypeDemand!$I$4:$AH$4,0)),ArchetypeDemand!$F$6:$F$50,$F186)*'SHWLP-Att'!$R$7</f>
        <v>0.13421606364551333</v>
      </c>
      <c r="W186" s="1134">
        <f>SUMIFS(INDEX(ArchetypeDemand!$I$6:$AH$50,,MATCH(W$166,ArchetypeDemand!$I$4:$AH$4,0)),ArchetypeDemand!$F$6:$F$50,$F186)*'SHWLP-Att'!$R$7</f>
        <v>9.0353890514252522E-2</v>
      </c>
      <c r="X186" s="1134">
        <f>SUMIFS(INDEX(ArchetypeDemand!$I$6:$AH$50,,MATCH(X$166,ArchetypeDemand!$I$4:$AH$4,0)),ArchetypeDemand!$F$6:$F$50,$F186)*'SHWLP-Att'!$R$7</f>
        <v>9.2181308306723053E-2</v>
      </c>
      <c r="Y186" s="1134">
        <f>SUMIFS(INDEX(ArchetypeDemand!$I$6:$AH$50,,MATCH(Y$166,ArchetypeDemand!$I$4:$AH$4,0)),ArchetypeDemand!$F$6:$F$50,$F186)*'SHWLP-Att'!$R$7</f>
        <v>0.11152076696110548</v>
      </c>
      <c r="Z186" s="1134">
        <f>SUMIFS(INDEX(ArchetypeDemand!$I$6:$AH$50,,MATCH(Z$166,ArchetypeDemand!$I$4:$AH$4,0)),ArchetypeDemand!$F$6:$F$50,$F186)*'SHWLP-Att'!$R$7</f>
        <v>7.7748168883878411E-3</v>
      </c>
      <c r="AA186" s="1134">
        <f>SUMIFS(INDEX(ArchetypeDemand!$I$6:$AH$50,,MATCH(AA$166,ArchetypeDemand!$I$4:$AH$4,0)),ArchetypeDemand!$F$6:$F$50,$F186)*'SHWLP-Att'!$R$7</f>
        <v>5.220026459462155E-2</v>
      </c>
      <c r="AB186" s="1134">
        <f>SUMIFS(INDEX(ArchetypeDemand!$I$6:$AH$50,,MATCH(AB$166,ArchetypeDemand!$I$4:$AH$4,0)),ArchetypeDemand!$F$6:$F$50,$F186)*'SHWLP-Att'!$R$7</f>
        <v>1.5438727038187269E-2</v>
      </c>
      <c r="AC186" s="1134">
        <f>SUMIFS(INDEX(ArchetypeDemand!$I$6:$AH$50,,MATCH(AC$166,ArchetypeDemand!$I$4:$AH$4,0)),ArchetypeDemand!$F$6:$F$50,$F186)*'SHWLP-Att'!$R$7</f>
        <v>3.5060723937206988E-2</v>
      </c>
      <c r="AD186" s="1134">
        <f>SUMIFS(INDEX(ArchetypeDemand!$I$6:$AH$50,,MATCH(AD$166,ArchetypeDemand!$I$4:$AH$4,0)),ArchetypeDemand!$F$6:$F$50,$F186)*'SHWLP-Att'!$R$7</f>
        <v>2.1454878275125787E-2</v>
      </c>
      <c r="AE186" s="1134">
        <f>SUMIFS(INDEX(ArchetypeDemand!$I$6:$AH$50,,MATCH(AE$166,ArchetypeDemand!$I$4:$AH$4,0)),ArchetypeDemand!$F$6:$F$50,$F186)*'SHWLP-Att'!$R$7</f>
        <v>5.8124488309327371E-2</v>
      </c>
      <c r="AF186" s="1134">
        <f>SUMIFS(INDEX(ArchetypeDemand!$I$6:$AH$50,,MATCH(AF$166,ArchetypeDemand!$I$4:$AH$4,0)),ArchetypeDemand!$F$6:$F$50,$F186)*'SHWLP-Att'!$R$7</f>
        <v>2.7955691445376626E-2</v>
      </c>
    </row>
    <row r="187" spans="3:32">
      <c r="C187" s="1136" t="s">
        <v>1120</v>
      </c>
      <c r="D187" s="1136" t="s">
        <v>1094</v>
      </c>
      <c r="E187" s="1136" t="s">
        <v>831</v>
      </c>
      <c r="F187" s="1136" t="s">
        <v>1099</v>
      </c>
      <c r="G187" s="1136">
        <f>SUMIFS(INDEX(ArchetypeDemand!$I$6:$AH$50,,MATCH($G$166,ArchetypeDemand!$I$4:$AH$4,0)),ArchetypeDemand!$F$6:$F$50,$F187)*'SHWLP-Att'!$R$7</f>
        <v>1.2248327745313379E-2</v>
      </c>
      <c r="H187" s="1136">
        <f>SUMIFS(INDEX(ArchetypeDemand!$I$6:$AH$50,,MATCH($H$166,ArchetypeDemand!$I$4:$AH$4,0)),ArchetypeDemand!$F$6:$F$50,$F187)*'SHWLP-Att'!$R$7</f>
        <v>0.62762981602989076</v>
      </c>
      <c r="I187" s="1136">
        <f>SUMIFS(INDEX(ArchetypeDemand!$I$6:$AH$50,,MATCH(I$166,ArchetypeDemand!$I$4:$AH$4,0)),ArchetypeDemand!$F$6:$F$50,$F187)*'SHWLP-Att'!$R$7</f>
        <v>4.1471842764716368E-2</v>
      </c>
      <c r="J187" s="1136">
        <f>SUMIFS(INDEX(ArchetypeDemand!$I$6:$AH$50,,MATCH(J$166,ArchetypeDemand!$I$4:$AH$4,0)),ArchetypeDemand!$F$6:$F$50,$F187)*'SHWLP-Att'!$R$7</f>
        <v>2.2918518058459458E-2</v>
      </c>
      <c r="K187" s="1136">
        <f>SUMIFS(INDEX(ArchetypeDemand!$I$6:$AH$50,,MATCH(K$166,ArchetypeDemand!$I$4:$AH$4,0)),ArchetypeDemand!$F$6:$F$50,$F187)*'SHWLP-Att'!$R$7</f>
        <v>2.434410363046555E-2</v>
      </c>
      <c r="L187" s="1136">
        <f>SUMIFS(INDEX(ArchetypeDemand!$I$6:$AH$50,,MATCH(L$166,ArchetypeDemand!$I$4:$AH$4,0)),ArchetypeDemand!$F$6:$F$50,$F187)*'SHWLP-Att'!$R$7</f>
        <v>8.1394515964738467E-3</v>
      </c>
      <c r="M187" s="1136">
        <f>SUMIFS(INDEX(ArchetypeDemand!$I$6:$AH$50,,MATCH(M$166,ArchetypeDemand!$I$4:$AH$4,0)),ArchetypeDemand!$F$6:$F$50,$F187)*'SHWLP-Att'!$R$7</f>
        <v>2.8502888998087863E-2</v>
      </c>
      <c r="N187" s="1136">
        <f>SUMIFS(INDEX(ArchetypeDemand!$I$6:$AH$50,,MATCH(N$166,ArchetypeDemand!$I$4:$AH$4,0)),ArchetypeDemand!$F$6:$F$50,$F187)*'SHWLP-Att'!$R$7</f>
        <v>1.958361606198903E-2</v>
      </c>
      <c r="O187" s="1136">
        <f>SUMIFS(INDEX(ArchetypeDemand!$I$6:$AH$50,,MATCH(O$166,ArchetypeDemand!$I$4:$AH$4,0)),ArchetypeDemand!$F$6:$F$50,$F187)*'SHWLP-Att'!$R$7</f>
        <v>3.4062284698053252E-2</v>
      </c>
      <c r="P187" s="1136">
        <f>SUMIFS(INDEX(ArchetypeDemand!$I$6:$AH$50,,MATCH(P$166,ArchetypeDemand!$I$4:$AH$4,0)),ArchetypeDemand!$F$6:$F$50,$F187)*'SHWLP-Att'!$R$7</f>
        <v>2.3261954481319833E-2</v>
      </c>
      <c r="Q187" s="1136">
        <f>SUMIFS(INDEX(ArchetypeDemand!$I$6:$AH$50,,MATCH(Q$166,ArchetypeDemand!$I$4:$AH$4,0)),ArchetypeDemand!$F$6:$F$50,$F187)*'SHWLP-Att'!$R$7</f>
        <v>3.6551621741568313E-2</v>
      </c>
      <c r="R187" s="1136">
        <f>SUMIFS(INDEX(ArchetypeDemand!$I$6:$AH$50,,MATCH(R$166,ArchetypeDemand!$I$4:$AH$4,0)),ArchetypeDemand!$F$6:$F$50,$F187)*'SHWLP-Att'!$R$7</f>
        <v>4.3072371625601964E-2</v>
      </c>
      <c r="S187" s="1136">
        <f>SUMIFS(INDEX(ArchetypeDemand!$I$6:$AH$50,,MATCH(S$166,ArchetypeDemand!$I$4:$AH$4,0)),ArchetypeDemand!$F$6:$F$50,$F187)*'SHWLP-Att'!$R$7</f>
        <v>3.1731730368990643E-2</v>
      </c>
      <c r="T187" s="1136">
        <f>SUMIFS(INDEX(ArchetypeDemand!$I$6:$AH$50,,MATCH(T$166,ArchetypeDemand!$I$4:$AH$4,0)),ArchetypeDemand!$F$6:$F$50,$F187)*'SHWLP-Att'!$R$7</f>
        <v>0.14116058687848876</v>
      </c>
      <c r="U187" s="1136">
        <f>SUMIFS(INDEX(ArchetypeDemand!$I$6:$AH$50,,MATCH(U$166,ArchetypeDemand!$I$4:$AH$4,0)),ArchetypeDemand!$F$6:$F$50,$F187)*'SHWLP-Att'!$R$7</f>
        <v>3.3973130159683236E-2</v>
      </c>
      <c r="V187" s="1136">
        <f>SUMIFS(INDEX(ArchetypeDemand!$I$6:$AH$50,,MATCH(V$166,ArchetypeDemand!$I$4:$AH$4,0)),ArchetypeDemand!$F$6:$F$50,$F187)*'SHWLP-Att'!$R$7</f>
        <v>5.6311385599294286E-2</v>
      </c>
      <c r="W187" s="1136">
        <f>SUMIFS(INDEX(ArchetypeDemand!$I$6:$AH$50,,MATCH(W$166,ArchetypeDemand!$I$4:$AH$4,0)),ArchetypeDemand!$F$6:$F$50,$F187)*'SHWLP-Att'!$R$7</f>
        <v>5.0852019444747938E-2</v>
      </c>
      <c r="X187" s="1136">
        <f>SUMIFS(INDEX(ArchetypeDemand!$I$6:$AH$50,,MATCH(X$166,ArchetypeDemand!$I$4:$AH$4,0)),ArchetypeDemand!$F$6:$F$50,$F187)*'SHWLP-Att'!$R$7</f>
        <v>3.4681496356898663E-2</v>
      </c>
      <c r="Y187" s="1136">
        <f>SUMIFS(INDEX(ArchetypeDemand!$I$6:$AH$50,,MATCH(Y$166,ArchetypeDemand!$I$4:$AH$4,0)),ArchetypeDemand!$F$6:$F$50,$F187)*'SHWLP-Att'!$R$7</f>
        <v>4.7193917072299203E-2</v>
      </c>
      <c r="Z187" s="1136">
        <f>SUMIFS(INDEX(ArchetypeDemand!$I$6:$AH$50,,MATCH(Z$166,ArchetypeDemand!$I$4:$AH$4,0)),ArchetypeDemand!$F$6:$F$50,$F187)*'SHWLP-Att'!$R$7</f>
        <v>4.8808572688212558E-3</v>
      </c>
      <c r="AA187" s="1136">
        <f>SUMIFS(INDEX(ArchetypeDemand!$I$6:$AH$50,,MATCH(AA$166,ArchetypeDemand!$I$4:$AH$4,0)),ArchetypeDemand!$F$6:$F$50,$F187)*'SHWLP-Att'!$R$7</f>
        <v>2.0012794940043245E-2</v>
      </c>
      <c r="AB187" s="1136">
        <f>SUMIFS(INDEX(ArchetypeDemand!$I$6:$AH$50,,MATCH(AB$166,ArchetypeDemand!$I$4:$AH$4,0)),ArchetypeDemand!$F$6:$F$50,$F187)*'SHWLP-Att'!$R$7</f>
        <v>1.0796677354407988E-2</v>
      </c>
      <c r="AC187" s="1136">
        <f>SUMIFS(INDEX(ArchetypeDemand!$I$6:$AH$50,,MATCH(AC$166,ArchetypeDemand!$I$4:$AH$4,0)),ArchetypeDemand!$F$6:$F$50,$F187)*'SHWLP-Att'!$R$7</f>
        <v>1.8949723662084181E-2</v>
      </c>
      <c r="AD187" s="1136">
        <f>SUMIFS(INDEX(ArchetypeDemand!$I$6:$AH$50,,MATCH(AD$166,ArchetypeDemand!$I$4:$AH$4,0)),ArchetypeDemand!$F$6:$F$50,$F187)*'SHWLP-Att'!$R$7</f>
        <v>1.1344845706631263E-2</v>
      </c>
      <c r="AE187" s="1136">
        <f>SUMIFS(INDEX(ArchetypeDemand!$I$6:$AH$50,,MATCH(AE$166,ArchetypeDemand!$I$4:$AH$4,0)),ArchetypeDemand!$F$6:$F$50,$F187)*'SHWLP-Att'!$R$7</f>
        <v>2.5922249188881367E-2</v>
      </c>
      <c r="AF187" s="1136">
        <f>SUMIFS(INDEX(ArchetypeDemand!$I$6:$AH$50,,MATCH(AF$166,ArchetypeDemand!$I$4:$AH$4,0)),ArchetypeDemand!$F$6:$F$50,$F187)*'SHWLP-Att'!$R$7</f>
        <v>1.0996504566402165E-2</v>
      </c>
    </row>
    <row r="188" spans="3:32">
      <c r="C188" s="1134" t="s">
        <v>1120</v>
      </c>
      <c r="D188" s="1134" t="s">
        <v>1094</v>
      </c>
      <c r="E188" s="1134" t="s">
        <v>831</v>
      </c>
      <c r="F188" s="1134" t="s">
        <v>1100</v>
      </c>
      <c r="G188" s="1134">
        <f>SUMIFS(INDEX(ArchetypeDemand!$I$6:$AH$50,,MATCH($G$166,ArchetypeDemand!$I$4:$AH$4,0)),ArchetypeDemand!$F$6:$F$50,$F188)*'SHWLP-Att'!$R$7</f>
        <v>6.1720089029118188E-3</v>
      </c>
      <c r="H188" s="1134">
        <f>SUMIFS(INDEX(ArchetypeDemand!$I$6:$AH$50,,MATCH($H$166,ArchetypeDemand!$I$4:$AH$4,0)),ArchetypeDemand!$F$6:$F$50,$F188)*'SHWLP-Att'!$R$7</f>
        <v>0.29053559856103817</v>
      </c>
      <c r="I188" s="1134">
        <f>SUMIFS(INDEX(ArchetypeDemand!$I$6:$AH$50,,MATCH(I$166,ArchetypeDemand!$I$4:$AH$4,0)),ArchetypeDemand!$F$6:$F$50,$F188)*'SHWLP-Att'!$R$7</f>
        <v>1.4651366348994688E-2</v>
      </c>
      <c r="J188" s="1134">
        <f>SUMIFS(INDEX(ArchetypeDemand!$I$6:$AH$50,,MATCH(J$166,ArchetypeDemand!$I$4:$AH$4,0)),ArchetypeDemand!$F$6:$F$50,$F188)*'SHWLP-Att'!$R$7</f>
        <v>1.0443881646892918E-2</v>
      </c>
      <c r="K188" s="1134">
        <f>SUMIFS(INDEX(ArchetypeDemand!$I$6:$AH$50,,MATCH(K$166,ArchetypeDemand!$I$4:$AH$4,0)),ArchetypeDemand!$F$6:$F$50,$F188)*'SHWLP-Att'!$R$7</f>
        <v>1.0971155107517972E-2</v>
      </c>
      <c r="L188" s="1134">
        <f>SUMIFS(INDEX(ArchetypeDemand!$I$6:$AH$50,,MATCH(L$166,ArchetypeDemand!$I$4:$AH$4,0)),ArchetypeDemand!$F$6:$F$50,$F188)*'SHWLP-Att'!$R$7</f>
        <v>3.8497406199538464E-3</v>
      </c>
      <c r="M188" s="1134">
        <f>SUMIFS(INDEX(ArchetypeDemand!$I$6:$AH$50,,MATCH(M$166,ArchetypeDemand!$I$4:$AH$4,0)),ArchetypeDemand!$F$6:$F$50,$F188)*'SHWLP-Att'!$R$7</f>
        <v>1.2841075345038642E-2</v>
      </c>
      <c r="N188" s="1134">
        <f>SUMIFS(INDEX(ArchetypeDemand!$I$6:$AH$50,,MATCH(N$166,ArchetypeDemand!$I$4:$AH$4,0)),ArchetypeDemand!$F$6:$F$50,$F188)*'SHWLP-Att'!$R$7</f>
        <v>9.6119060461730948E-3</v>
      </c>
      <c r="O188" s="1134">
        <f>SUMIFS(INDEX(ArchetypeDemand!$I$6:$AH$50,,MATCH(O$166,ArchetypeDemand!$I$4:$AH$4,0)),ArchetypeDemand!$F$6:$F$50,$F188)*'SHWLP-Att'!$R$7</f>
        <v>1.6451425452141635E-2</v>
      </c>
      <c r="P188" s="1134">
        <f>SUMIFS(INDEX(ArchetypeDemand!$I$6:$AH$50,,MATCH(P$166,ArchetypeDemand!$I$4:$AH$4,0)),ArchetypeDemand!$F$6:$F$50,$F188)*'SHWLP-Att'!$R$7</f>
        <v>1.0508184883269479E-2</v>
      </c>
      <c r="Q188" s="1134">
        <f>SUMIFS(INDEX(ArchetypeDemand!$I$6:$AH$50,,MATCH(Q$166,ArchetypeDemand!$I$4:$AH$4,0)),ArchetypeDemand!$F$6:$F$50,$F188)*'SHWLP-Att'!$R$7</f>
        <v>1.4912841147955094E-2</v>
      </c>
      <c r="R188" s="1134">
        <f>SUMIFS(INDEX(ArchetypeDemand!$I$6:$AH$50,,MATCH(R$166,ArchetypeDemand!$I$4:$AH$4,0)),ArchetypeDemand!$F$6:$F$50,$F188)*'SHWLP-Att'!$R$7</f>
        <v>1.7331910494764135E-2</v>
      </c>
      <c r="S188" s="1134">
        <f>SUMIFS(INDEX(ArchetypeDemand!$I$6:$AH$50,,MATCH(S$166,ArchetypeDemand!$I$4:$AH$4,0)),ArchetypeDemand!$F$6:$F$50,$F188)*'SHWLP-Att'!$R$7</f>
        <v>1.1828508852440767E-2</v>
      </c>
      <c r="T188" s="1134">
        <f>SUMIFS(INDEX(ArchetypeDemand!$I$6:$AH$50,,MATCH(T$166,ArchetypeDemand!$I$4:$AH$4,0)),ArchetypeDemand!$F$6:$F$50,$F188)*'SHWLP-Att'!$R$7</f>
        <v>6.216495075994985E-2</v>
      </c>
      <c r="U188" s="1134">
        <f>SUMIFS(INDEX(ArchetypeDemand!$I$6:$AH$50,,MATCH(U$166,ArchetypeDemand!$I$4:$AH$4,0)),ArchetypeDemand!$F$6:$F$50,$F188)*'SHWLP-Att'!$R$7</f>
        <v>1.3023874563444688E-2</v>
      </c>
      <c r="V188" s="1134">
        <f>SUMIFS(INDEX(ArchetypeDemand!$I$6:$AH$50,,MATCH(V$166,ArchetypeDemand!$I$4:$AH$4,0)),ArchetypeDemand!$F$6:$F$50,$F188)*'SHWLP-Att'!$R$7</f>
        <v>2.3227085065859781E-2</v>
      </c>
      <c r="W188" s="1134">
        <f>SUMIFS(INDEX(ArchetypeDemand!$I$6:$AH$50,,MATCH(W$166,ArchetypeDemand!$I$4:$AH$4,0)),ArchetypeDemand!$F$6:$F$50,$F188)*'SHWLP-Att'!$R$7</f>
        <v>2.4545394762225777E-2</v>
      </c>
      <c r="X188" s="1134">
        <f>SUMIFS(INDEX(ArchetypeDemand!$I$6:$AH$50,,MATCH(X$166,ArchetypeDemand!$I$4:$AH$4,0)),ArchetypeDemand!$F$6:$F$50,$F188)*'SHWLP-Att'!$R$7</f>
        <v>1.5319613677920608E-2</v>
      </c>
      <c r="Y188" s="1134">
        <f>SUMIFS(INDEX(ArchetypeDemand!$I$6:$AH$50,,MATCH(Y$166,ArchetypeDemand!$I$4:$AH$4,0)),ArchetypeDemand!$F$6:$F$50,$F188)*'SHWLP-Att'!$R$7</f>
        <v>2.1337814193729081E-2</v>
      </c>
      <c r="Z188" s="1134">
        <f>SUMIFS(INDEX(ArchetypeDemand!$I$6:$AH$50,,MATCH(Z$166,ArchetypeDemand!$I$4:$AH$4,0)),ArchetypeDemand!$F$6:$F$50,$F188)*'SHWLP-Att'!$R$7</f>
        <v>3.6282478812476597E-3</v>
      </c>
      <c r="AA188" s="1134">
        <f>SUMIFS(INDEX(ArchetypeDemand!$I$6:$AH$50,,MATCH(AA$166,ArchetypeDemand!$I$4:$AH$4,0)),ArchetypeDemand!$F$6:$F$50,$F188)*'SHWLP-Att'!$R$7</f>
        <v>1.0585502572593535E-2</v>
      </c>
      <c r="AB188" s="1134">
        <f>SUMIFS(INDEX(ArchetypeDemand!$I$6:$AH$50,,MATCH(AB$166,ArchetypeDemand!$I$4:$AH$4,0)),ArchetypeDemand!$F$6:$F$50,$F188)*'SHWLP-Att'!$R$7</f>
        <v>5.7112858468969796E-3</v>
      </c>
      <c r="AC188" s="1134">
        <f>SUMIFS(INDEX(ArchetypeDemand!$I$6:$AH$50,,MATCH(AC$166,ArchetypeDemand!$I$4:$AH$4,0)),ArchetypeDemand!$F$6:$F$50,$F188)*'SHWLP-Att'!$R$7</f>
        <v>7.9185441846816931E-3</v>
      </c>
      <c r="AD188" s="1134">
        <f>SUMIFS(INDEX(ArchetypeDemand!$I$6:$AH$50,,MATCH(AD$166,ArchetypeDemand!$I$4:$AH$4,0)),ArchetypeDemand!$F$6:$F$50,$F188)*'SHWLP-Att'!$R$7</f>
        <v>5.0936041948140354E-3</v>
      </c>
      <c r="AE188" s="1134">
        <f>SUMIFS(INDEX(ArchetypeDemand!$I$6:$AH$50,,MATCH(AE$166,ArchetypeDemand!$I$4:$AH$4,0)),ArchetypeDemand!$F$6:$F$50,$F188)*'SHWLP-Att'!$R$7</f>
        <v>1.1702360092739401E-2</v>
      </c>
      <c r="AF188" s="1134">
        <f>SUMIFS(INDEX(ArchetypeDemand!$I$6:$AH$50,,MATCH(AF$166,ArchetypeDemand!$I$4:$AH$4,0)),ArchetypeDemand!$F$6:$F$50,$F188)*'SHWLP-Att'!$R$7</f>
        <v>4.8840061153230339E-3</v>
      </c>
    </row>
    <row r="189" spans="3:32" ht="13.5" thickBot="1">
      <c r="C189" s="1138" t="s">
        <v>1120</v>
      </c>
      <c r="D189" s="1138" t="s">
        <v>1094</v>
      </c>
      <c r="E189" s="1138" t="s">
        <v>831</v>
      </c>
      <c r="F189" s="1138" t="s">
        <v>1101</v>
      </c>
      <c r="G189" s="1138">
        <f>SUMIFS(INDEX(ArchetypeDemand!$I$6:$AH$50,,MATCH($G$166,ArchetypeDemand!$I$4:$AH$4,0)),ArchetypeDemand!$F$6:$F$50,$F189)*'SHWLP-Att'!$R$7</f>
        <v>5.7892486608707759E-3</v>
      </c>
      <c r="H189" s="1138">
        <f>SUMIFS(INDEX(ArchetypeDemand!$I$6:$AH$50,,MATCH($H$166,ArchetypeDemand!$I$4:$AH$4,0)),ArchetypeDemand!$F$6:$F$50,$F189)*'SHWLP-Att'!$R$7</f>
        <v>0.24643112372215967</v>
      </c>
      <c r="I189" s="1138">
        <f>SUMIFS(INDEX(ArchetypeDemand!$I$6:$AH$50,,MATCH(I$166,ArchetypeDemand!$I$4:$AH$4,0)),ArchetypeDemand!$F$6:$F$50,$F189)*'SHWLP-Att'!$R$7</f>
        <v>1.5801680235899229E-2</v>
      </c>
      <c r="J189" s="1138">
        <f>SUMIFS(INDEX(ArchetypeDemand!$I$6:$AH$50,,MATCH(J$166,ArchetypeDemand!$I$4:$AH$4,0)),ArchetypeDemand!$F$6:$F$50,$F189)*'SHWLP-Att'!$R$7</f>
        <v>1.1024097293942525E-2</v>
      </c>
      <c r="K189" s="1138">
        <f>SUMIFS(INDEX(ArchetypeDemand!$I$6:$AH$50,,MATCH(K$166,ArchetypeDemand!$I$4:$AH$4,0)),ArchetypeDemand!$F$6:$F$50,$F189)*'SHWLP-Att'!$R$7</f>
        <v>1.2246181241634924E-2</v>
      </c>
      <c r="L189" s="1138">
        <f>SUMIFS(INDEX(ArchetypeDemand!$I$6:$AH$50,,MATCH(L$166,ArchetypeDemand!$I$4:$AH$4,0)),ArchetypeDemand!$F$6:$F$50,$F189)*'SHWLP-Att'!$R$7</f>
        <v>3.5197628525292313E-3</v>
      </c>
      <c r="M189" s="1138">
        <f>SUMIFS(INDEX(ArchetypeDemand!$I$6:$AH$50,,MATCH(M$166,ArchetypeDemand!$I$4:$AH$4,0)),ArchetypeDemand!$F$6:$F$50,$F189)*'SHWLP-Att'!$R$7</f>
        <v>1.888551457648989E-2</v>
      </c>
      <c r="N189" s="1138">
        <f>SUMIFS(INDEX(ArchetypeDemand!$I$6:$AH$50,,MATCH(N$166,ArchetypeDemand!$I$4:$AH$4,0)),ArchetypeDemand!$F$6:$F$50,$F189)*'SHWLP-Att'!$R$7</f>
        <v>9.0722000917088288E-3</v>
      </c>
      <c r="O189" s="1138">
        <f>SUMIFS(INDEX(ArchetypeDemand!$I$6:$AH$50,,MATCH(O$166,ArchetypeDemand!$I$4:$AH$4,0)),ArchetypeDemand!$F$6:$F$50,$F189)*'SHWLP-Att'!$R$7</f>
        <v>1.5887376579496779E-2</v>
      </c>
      <c r="P189" s="1138">
        <f>SUMIFS(INDEX(ArchetypeDemand!$I$6:$AH$50,,MATCH(P$166,ArchetypeDemand!$I$4:$AH$4,0)),ArchetypeDemand!$F$6:$F$50,$F189)*'SHWLP-Att'!$R$7</f>
        <v>1.4711458836577271E-2</v>
      </c>
      <c r="Q189" s="1138">
        <f>SUMIFS(INDEX(ArchetypeDemand!$I$6:$AH$50,,MATCH(Q$166,ArchetypeDemand!$I$4:$AH$4,0)),ArchetypeDemand!$F$6:$F$50,$F189)*'SHWLP-Att'!$R$7</f>
        <v>1.7696939033248003E-2</v>
      </c>
      <c r="R189" s="1138">
        <f>SUMIFS(INDEX(ArchetypeDemand!$I$6:$AH$50,,MATCH(R$166,ArchetypeDemand!$I$4:$AH$4,0)),ArchetypeDemand!$F$6:$F$50,$F189)*'SHWLP-Att'!$R$7</f>
        <v>1.8962139699717197E-2</v>
      </c>
      <c r="S189" s="1138">
        <f>SUMIFS(INDEX(ArchetypeDemand!$I$6:$AH$50,,MATCH(S$166,ArchetypeDemand!$I$4:$AH$4,0)),ArchetypeDemand!$F$6:$F$50,$F189)*'SHWLP-Att'!$R$7</f>
        <v>1.1639468756625504E-2</v>
      </c>
      <c r="T189" s="1138">
        <f>SUMIFS(INDEX(ArchetypeDemand!$I$6:$AH$50,,MATCH(T$166,ArchetypeDemand!$I$4:$AH$4,0)),ArchetypeDemand!$F$6:$F$50,$F189)*'SHWLP-Att'!$R$7</f>
        <v>7.4410933296844381E-2</v>
      </c>
      <c r="U189" s="1138">
        <f>SUMIFS(INDEX(ArchetypeDemand!$I$6:$AH$50,,MATCH(U$166,ArchetypeDemand!$I$4:$AH$4,0)),ArchetypeDemand!$F$6:$F$50,$F189)*'SHWLP-Att'!$R$7</f>
        <v>1.4588758716416723E-2</v>
      </c>
      <c r="V189" s="1138">
        <f>SUMIFS(INDEX(ArchetypeDemand!$I$6:$AH$50,,MATCH(V$166,ArchetypeDemand!$I$4:$AH$4,0)),ArchetypeDemand!$F$6:$F$50,$F189)*'SHWLP-Att'!$R$7</f>
        <v>2.4806417930830316E-2</v>
      </c>
      <c r="W189" s="1138">
        <f>SUMIFS(INDEX(ArchetypeDemand!$I$6:$AH$50,,MATCH(W$166,ArchetypeDemand!$I$4:$AH$4,0)),ArchetypeDemand!$F$6:$F$50,$F189)*'SHWLP-Att'!$R$7</f>
        <v>3.0555941315618194E-2</v>
      </c>
      <c r="X189" s="1138">
        <f>SUMIFS(INDEX(ArchetypeDemand!$I$6:$AH$50,,MATCH(X$166,ArchetypeDemand!$I$4:$AH$4,0)),ArchetypeDemand!$F$6:$F$50,$F189)*'SHWLP-Att'!$R$7</f>
        <v>1.7340748178449331E-2</v>
      </c>
      <c r="Y189" s="1138">
        <f>SUMIFS(INDEX(ArchetypeDemand!$I$6:$AH$50,,MATCH(Y$166,ArchetypeDemand!$I$4:$AH$4,0)),ArchetypeDemand!$F$6:$F$50,$F189)*'SHWLP-Att'!$R$7</f>
        <v>2.0580413200316422E-2</v>
      </c>
      <c r="Z189" s="1138">
        <f>SUMIFS(INDEX(ArchetypeDemand!$I$6:$AH$50,,MATCH(Z$166,ArchetypeDemand!$I$4:$AH$4,0)),ArchetypeDemand!$F$6:$F$50,$F189)*'SHWLP-Att'!$R$7</f>
        <v>3.4338774590379631E-3</v>
      </c>
      <c r="AA189" s="1138">
        <f>SUMIFS(INDEX(ArchetypeDemand!$I$6:$AH$50,,MATCH(AA$166,ArchetypeDemand!$I$4:$AH$4,0)),ArchetypeDemand!$F$6:$F$50,$F189)*'SHWLP-Att'!$R$7</f>
        <v>1.5056732666869682E-2</v>
      </c>
      <c r="AB189" s="1138">
        <f>SUMIFS(INDEX(ArchetypeDemand!$I$6:$AH$50,,MATCH(AB$166,ArchetypeDemand!$I$4:$AH$4,0)),ArchetypeDemand!$F$6:$F$50,$F189)*'SHWLP-Att'!$R$7</f>
        <v>5.5287333312427382E-3</v>
      </c>
      <c r="AC189" s="1138">
        <f>SUMIFS(INDEX(ArchetypeDemand!$I$6:$AH$50,,MATCH(AC$166,ArchetypeDemand!$I$4:$AH$4,0)),ArchetypeDemand!$F$6:$F$50,$F189)*'SHWLP-Att'!$R$7</f>
        <v>9.6118177839218041E-3</v>
      </c>
      <c r="AD189" s="1138">
        <f>SUMIFS(INDEX(ArchetypeDemand!$I$6:$AH$50,,MATCH(AD$166,ArchetypeDemand!$I$4:$AH$4,0)),ArchetypeDemand!$F$6:$F$50,$F189)*'SHWLP-Att'!$R$7</f>
        <v>6.9200986283079581E-3</v>
      </c>
      <c r="AE189" s="1138">
        <f>SUMIFS(INDEX(ArchetypeDemand!$I$6:$AH$50,,MATCH(AE$166,ArchetypeDemand!$I$4:$AH$4,0)),ArchetypeDemand!$F$6:$F$50,$F189)*'SHWLP-Att'!$R$7</f>
        <v>1.4773192173812861E-2</v>
      </c>
      <c r="AF189" s="1138">
        <f>SUMIFS(INDEX(ArchetypeDemand!$I$6:$AH$50,,MATCH(AF$166,ArchetypeDemand!$I$4:$AH$4,0)),ArchetypeDemand!$F$6:$F$50,$F189)*'SHWLP-Att'!$R$7</f>
        <v>5.2136016200380851E-3</v>
      </c>
    </row>
    <row r="190" spans="3:32" ht="13.5" thickBot="1">
      <c r="C190" s="1141" t="s">
        <v>1121</v>
      </c>
      <c r="D190" s="1141" t="s">
        <v>1094</v>
      </c>
      <c r="E190" s="1141" t="s">
        <v>831</v>
      </c>
      <c r="F190" s="1141" t="s">
        <v>930</v>
      </c>
      <c r="G190" s="1129">
        <f>SUM(ArchetypeDemand!I6:I46)*'SHWLP-Att'!$R$33</f>
        <v>0.12629617001049123</v>
      </c>
      <c r="H190" s="1142">
        <f>SUM(ArchetypeDemand!J6:J46)*'SHWLP-Att'!$R$33</f>
        <v>4.1981198261961348</v>
      </c>
      <c r="I190" s="1142">
        <f>SUM(ArchetypeDemand!K6:K46)*'SHWLP-Att'!$R$33</f>
        <v>0.53424303561992514</v>
      </c>
      <c r="J190" s="1142">
        <f>SUM(ArchetypeDemand!L6:L46)*'SHWLP-Att'!$R$33</f>
        <v>0.17519169476196519</v>
      </c>
      <c r="K190" s="1142">
        <f>SUM(ArchetypeDemand!M6:M46)*'SHWLP-Att'!$R$33</f>
        <v>0.16121582272382864</v>
      </c>
      <c r="L190" s="1142">
        <f>SUM(ArchetypeDemand!N6:N46)*'SHWLP-Att'!$R$33</f>
        <v>6.6475773077157768E-2</v>
      </c>
      <c r="M190" s="1142">
        <f>SUM(ArchetypeDemand!O6:O46)*'SHWLP-Att'!$R$33</f>
        <v>0.34019631011305157</v>
      </c>
      <c r="N190" s="1142">
        <f>SUM(ArchetypeDemand!P6:P46)*'SHWLP-Att'!$R$33</f>
        <v>0.37960652925509769</v>
      </c>
      <c r="O190" s="1142">
        <f>SUM(ArchetypeDemand!Q6:Q46)*'SHWLP-Att'!$R$33</f>
        <v>0.14340979420765199</v>
      </c>
      <c r="P190" s="1142">
        <f>SUM(ArchetypeDemand!R6:R46)*'SHWLP-Att'!$R$33</f>
        <v>0.17177084585447738</v>
      </c>
      <c r="Q190" s="1142">
        <f>SUM(ArchetypeDemand!S6:S46)*'SHWLP-Att'!$R$33</f>
        <v>0.25750506702532594</v>
      </c>
      <c r="R190" s="1142">
        <f>SUM(ArchetypeDemand!T6:T46)*'SHWLP-Att'!$R$33</f>
        <v>0.32447890301809568</v>
      </c>
      <c r="S190" s="1142">
        <f>SUM(ArchetypeDemand!U6:U46)*'SHWLP-Att'!$R$33</f>
        <v>0.21175470998095144</v>
      </c>
      <c r="T190" s="1142">
        <f>SUM(ArchetypeDemand!V6:V46)*'SHWLP-Att'!$R$33</f>
        <v>1.28079408625114</v>
      </c>
      <c r="U190" s="1142">
        <f>SUM(ArchetypeDemand!W6:W46)*'SHWLP-Att'!$R$33</f>
        <v>0.21970598226971574</v>
      </c>
      <c r="V190" s="1142">
        <f>SUM(ArchetypeDemand!X6:X46)*'SHWLP-Att'!$R$33</f>
        <v>0.44392956535145045</v>
      </c>
      <c r="W190" s="1142">
        <f>SUM(ArchetypeDemand!Y6:Y46)*'SHWLP-Att'!$R$33</f>
        <v>0.30748827957466246</v>
      </c>
      <c r="X190" s="1142">
        <f>SUM(ArchetypeDemand!Z6:Z46)*'SHWLP-Att'!$R$33</f>
        <v>0.30489711499577804</v>
      </c>
      <c r="Y190" s="1142">
        <f>SUM(ArchetypeDemand!AA6:AA46)*'SHWLP-Att'!$R$33</f>
        <v>0.3864146545670557</v>
      </c>
      <c r="Z190" s="1142">
        <f>SUM(ArchetypeDemand!AB6:AB46)*'SHWLP-Att'!$R$33</f>
        <v>3.8345000356916625E-2</v>
      </c>
      <c r="AA190" s="1142">
        <f>SUM(ArchetypeDemand!AC6:AC46)*'SHWLP-Att'!$R$33</f>
        <v>0.17534939303666519</v>
      </c>
      <c r="AB190" s="1142">
        <f>SUM(ArchetypeDemand!AD6:AD46)*'SHWLP-Att'!$R$33</f>
        <v>7.5243700843047767E-2</v>
      </c>
      <c r="AC190" s="1142">
        <f>SUM(ArchetypeDemand!AE6:AE46)*'SHWLP-Att'!$R$33</f>
        <v>0.12450614257107689</v>
      </c>
      <c r="AD190" s="1142">
        <f>SUM(ArchetypeDemand!AF6:AF46)*'SHWLP-Att'!$R$33</f>
        <v>0.10794160300413047</v>
      </c>
      <c r="AE190" s="1142">
        <f>SUM(ArchetypeDemand!AG6:AG46)*'SHWLP-Att'!$R$33</f>
        <v>0.22243548629608659</v>
      </c>
      <c r="AF190" s="1142">
        <f>SUM(ArchetypeDemand!AH6:AH46)*'SHWLP-Att'!$R$33</f>
        <v>9.2706640310603244E-2</v>
      </c>
    </row>
    <row r="191" spans="3:32" ht="15">
      <c r="C191" s="1137" t="s">
        <v>1122</v>
      </c>
      <c r="D191" s="1137"/>
      <c r="E191" s="1137"/>
      <c r="F191" s="1137"/>
      <c r="G191" s="1137"/>
      <c r="H191" s="1137"/>
      <c r="I191" s="1137"/>
      <c r="J191" s="1137"/>
      <c r="K191" s="1137"/>
      <c r="L191" s="1137"/>
      <c r="M191" s="1137"/>
      <c r="N191" s="1137"/>
      <c r="O191" s="1137"/>
      <c r="P191" s="1137"/>
      <c r="Q191" s="1137"/>
      <c r="R191" s="1137"/>
      <c r="S191" s="1137"/>
      <c r="T191" s="1137"/>
      <c r="U191" s="1137"/>
      <c r="V191" s="1137"/>
      <c r="W191" s="1137"/>
      <c r="X191" s="1137"/>
      <c r="Y191" s="1137"/>
      <c r="Z191" s="1137"/>
      <c r="AA191" s="1137"/>
      <c r="AB191" s="1137"/>
      <c r="AC191" s="1137"/>
      <c r="AD191" s="1137"/>
      <c r="AE191" s="1137"/>
      <c r="AF191" s="1137"/>
    </row>
    <row r="192" spans="3:32">
      <c r="C192" s="1145" t="s">
        <v>1135</v>
      </c>
      <c r="D192" s="1134" t="s">
        <v>1094</v>
      </c>
      <c r="E192" s="1134" t="s">
        <v>830</v>
      </c>
      <c r="F192" s="1134" t="s">
        <v>1096</v>
      </c>
      <c r="G192" s="1154">
        <f>SUMIFS(INDEX(ArchetypeDemand!$I$6:$AH$50,,MATCH($G$166,ArchetypeDemand!$I$4:$AH$4,0)),ArchetypeDemand!$F$6:$F$50,$F192)*'SHWLP-Att'!$R$8</f>
        <v>3.606363930349757E-6</v>
      </c>
      <c r="H192" s="1154">
        <f>SUMIFS(INDEX(ArchetypeDemand!$I$6:$AH$50,,MATCH(H$166,ArchetypeDemand!$I$4:$AH$4,0)),ArchetypeDemand!$F$6:$F$50,$F192)*'SHWLP-Att'!$R$8</f>
        <v>1.3732263287145955E-4</v>
      </c>
      <c r="I192" s="1154">
        <f>SUMIFS(INDEX(ArchetypeDemand!$I$6:$AH$50,,MATCH(I$166,ArchetypeDemand!$I$4:$AH$4,0)),ArchetypeDemand!$F$6:$F$50,$F192)*'SHWLP-Att'!$R$8</f>
        <v>2.769052954075047E-5</v>
      </c>
      <c r="J192" s="1154">
        <f>SUMIFS(INDEX(ArchetypeDemand!$I$6:$AH$50,,MATCH(J$166,ArchetypeDemand!$I$4:$AH$4,0)),ArchetypeDemand!$F$6:$F$50,$F192)*'SHWLP-Att'!$R$8</f>
        <v>4.3013960183596364E-6</v>
      </c>
      <c r="K192" s="1154">
        <f>SUMIFS(INDEX(ArchetypeDemand!$I$6:$AH$50,,MATCH(K$166,ArchetypeDemand!$I$4:$AH$4,0)),ArchetypeDemand!$F$6:$F$50,$F192)*'SHWLP-Att'!$R$8</f>
        <v>4.1180140191708732E-6</v>
      </c>
      <c r="L192" s="1154">
        <f>SUMIFS(INDEX(ArchetypeDemand!$I$6:$AH$50,,MATCH(L$166,ArchetypeDemand!$I$4:$AH$4,0)),ArchetypeDemand!$F$6:$F$50,$F192)*'SHWLP-Att'!$R$8</f>
        <v>1.6292865606151352E-6</v>
      </c>
      <c r="M192" s="1154">
        <f>SUMIFS(INDEX(ArchetypeDemand!$I$6:$AH$50,,MATCH(M$166,ArchetypeDemand!$I$4:$AH$4,0)),ArchetypeDemand!$F$6:$F$50,$F192)*'SHWLP-Att'!$R$8</f>
        <v>1.3475142443957346E-5</v>
      </c>
      <c r="N192" s="1154">
        <f>SUMIFS(INDEX(ArchetypeDemand!$I$6:$AH$50,,MATCH(N$166,ArchetypeDemand!$I$4:$AH$4,0)),ArchetypeDemand!$F$6:$F$50,$F192)*'SHWLP-Att'!$R$8</f>
        <v>2.4395614989527707E-5</v>
      </c>
      <c r="O192" s="1154">
        <f>SUMIFS(INDEX(ArchetypeDemand!$I$6:$AH$50,,MATCH(O$166,ArchetypeDemand!$I$4:$AH$4,0)),ArchetypeDemand!$F$6:$F$50,$F192)*'SHWLP-Att'!$R$8</f>
        <v>1.9006532483153882E-6</v>
      </c>
      <c r="P192" s="1154">
        <f>SUMIFS(INDEX(ArchetypeDemand!$I$6:$AH$50,,MATCH(P$166,ArchetypeDemand!$I$4:$AH$4,0)),ArchetypeDemand!$F$6:$F$50,$F192)*'SHWLP-Att'!$R$8</f>
        <v>3.3751769821509519E-6</v>
      </c>
      <c r="Q192" s="1154">
        <f>SUMIFS(INDEX(ArchetypeDemand!$I$6:$AH$50,,MATCH(Q$166,ArchetypeDemand!$I$4:$AH$4,0)),ArchetypeDemand!$F$6:$F$50,$F192)*'SHWLP-Att'!$R$8</f>
        <v>5.2850776469204987E-6</v>
      </c>
      <c r="R192" s="1154">
        <f>SUMIFS(INDEX(ArchetypeDemand!$I$6:$AH$50,,MATCH(R$166,ArchetypeDemand!$I$4:$AH$4,0)),ArchetypeDemand!$F$6:$F$50,$F192)*'SHWLP-Att'!$R$8</f>
        <v>1.3508533508296672E-5</v>
      </c>
      <c r="S192" s="1154">
        <f>SUMIFS(INDEX(ArchetypeDemand!$I$6:$AH$50,,MATCH(S$166,ArchetypeDemand!$I$4:$AH$4,0)),ArchetypeDemand!$F$6:$F$50,$F192)*'SHWLP-Att'!$R$8</f>
        <v>3.9058029208799465E-6</v>
      </c>
      <c r="T192" s="1154">
        <f>SUMIFS(INDEX(ArchetypeDemand!$I$6:$AH$50,,MATCH(T$166,ArchetypeDemand!$I$4:$AH$4,0)),ArchetypeDemand!$F$6:$F$50,$F192)*'SHWLP-Att'!$R$8</f>
        <v>4.7379996756984488E-5</v>
      </c>
      <c r="U192" s="1154">
        <f>SUMIFS(INDEX(ArchetypeDemand!$I$6:$AH$50,,MATCH(U$166,ArchetypeDemand!$I$4:$AH$4,0)),ArchetypeDemand!$F$6:$F$50,$F192)*'SHWLP-Att'!$R$8</f>
        <v>5.1645974245193172E-6</v>
      </c>
      <c r="V192" s="1154">
        <f>SUMIFS(INDEX(ArchetypeDemand!$I$6:$AH$50,,MATCH(V$166,ArchetypeDemand!$I$4:$AH$4,0)),ArchetypeDemand!$F$6:$F$50,$F192)*'SHWLP-Att'!$R$8</f>
        <v>1.0171175377699401E-5</v>
      </c>
      <c r="W192" s="1154">
        <f>SUMIFS(INDEX(ArchetypeDemand!$I$6:$AH$50,,MATCH(W$166,ArchetypeDemand!$I$4:$AH$4,0)),ArchetypeDemand!$F$6:$F$50,$F192)*'SHWLP-Att'!$R$8</f>
        <v>4.4013081615445549E-6</v>
      </c>
      <c r="X192" s="1154">
        <f>SUMIFS(INDEX(ArchetypeDemand!$I$6:$AH$50,,MATCH(X$166,ArchetypeDemand!$I$4:$AH$4,0)),ArchetypeDemand!$F$6:$F$50,$F192)*'SHWLP-Att'!$R$8</f>
        <v>8.5580405216634902E-6</v>
      </c>
      <c r="Y192" s="1154">
        <f>SUMIFS(INDEX(ArchetypeDemand!$I$6:$AH$50,,MATCH(Y$166,ArchetypeDemand!$I$4:$AH$4,0)),ArchetypeDemand!$F$6:$F$50,$F192)*'SHWLP-Att'!$R$8</f>
        <v>8.2919926820258192E-6</v>
      </c>
      <c r="Z192" s="1154">
        <f>SUMIFS(INDEX(ArchetypeDemand!$I$6:$AH$50,,MATCH(Z$166,ArchetypeDemand!$I$4:$AH$4,0)),ArchetypeDemand!$F$6:$F$50,$F192)*'SHWLP-Att'!$R$8</f>
        <v>6.5349380628482166E-7</v>
      </c>
      <c r="AA192" s="1154">
        <f>SUMIFS(INDEX(ArchetypeDemand!$I$6:$AH$50,,MATCH(AA$166,ArchetypeDemand!$I$4:$AH$4,0)),ArchetypeDemand!$F$6:$F$50,$F192)*'SHWLP-Att'!$R$8</f>
        <v>3.3223097607288487E-6</v>
      </c>
      <c r="AB192" s="1154">
        <f>SUMIFS(INDEX(ArchetypeDemand!$I$6:$AH$50,,MATCH(AB$166,ArchetypeDemand!$I$4:$AH$4,0)),ArchetypeDemand!$F$6:$F$50,$F192)*'SHWLP-Att'!$R$8</f>
        <v>8.405145375781499E-7</v>
      </c>
      <c r="AC192" s="1154">
        <f>SUMIFS(INDEX(ArchetypeDemand!$I$6:$AH$50,,MATCH(AC$166,ArchetypeDemand!$I$4:$AH$4,0)),ArchetypeDemand!$F$6:$F$50,$F192)*'SHWLP-Att'!$R$8</f>
        <v>2.6221714415639009E-6</v>
      </c>
      <c r="AD192" s="1154">
        <f>SUMIFS(INDEX(ArchetypeDemand!$I$6:$AH$50,,MATCH(AD$166,ArchetypeDemand!$I$4:$AH$4,0)),ArchetypeDemand!$F$6:$F$50,$F192)*'SHWLP-Att'!$R$8</f>
        <v>2.9482775119125506E-6</v>
      </c>
      <c r="AE192" s="1154">
        <f>SUMIFS(INDEX(ArchetypeDemand!$I$6:$AH$50,,MATCH(AE$166,ArchetypeDemand!$I$4:$AH$4,0)),ArchetypeDemand!$F$6:$F$50,$F192)*'SHWLP-Att'!$R$8</f>
        <v>3.6251743263482719E-6</v>
      </c>
      <c r="AF192" s="1154">
        <f>SUMIFS(INDEX(ArchetypeDemand!$I$6:$AH$50,,MATCH(AF$166,ArchetypeDemand!$I$4:$AH$4,0)),ArchetypeDemand!$F$6:$F$50,$F192)*'SHWLP-Att'!$R$8</f>
        <v>2.752611797254508E-6</v>
      </c>
    </row>
    <row r="193" spans="3:32">
      <c r="C193" s="1136" t="s">
        <v>1135</v>
      </c>
      <c r="D193" s="1136" t="s">
        <v>1094</v>
      </c>
      <c r="E193" s="1136" t="s">
        <v>830</v>
      </c>
      <c r="F193" s="1136" t="s">
        <v>1097</v>
      </c>
      <c r="G193" s="1162">
        <f>SUMIFS(INDEX(ArchetypeDemand!$I$6:$AH$50,,MATCH($G$166,ArchetypeDemand!$I$4:$AH$4,0)),ArchetypeDemand!$F$6:$F$50,$F193)*'SHWLP-Att'!$R$8</f>
        <v>9.5773583984666E-6</v>
      </c>
      <c r="H193" s="1162">
        <f>SUMIFS(INDEX(ArchetypeDemand!$I$6:$AH$50,,MATCH(H$166,ArchetypeDemand!$I$4:$AH$4,0)),ArchetypeDemand!$F$6:$F$50,$F193)*'SHWLP-Att'!$R$8</f>
        <v>2.3985002105210838E-4</v>
      </c>
      <c r="I193" s="1162">
        <f>SUMIFS(INDEX(ArchetypeDemand!$I$6:$AH$50,,MATCH(I$166,ArchetypeDemand!$I$4:$AH$4,0)),ArchetypeDemand!$F$6:$F$50,$F193)*'SHWLP-Att'!$R$8</f>
        <v>3.4424159892856382E-5</v>
      </c>
      <c r="J193" s="1162">
        <f>SUMIFS(INDEX(ArchetypeDemand!$I$6:$AH$50,,MATCH(J$166,ArchetypeDemand!$I$4:$AH$4,0)),ArchetypeDemand!$F$6:$F$50,$F193)*'SHWLP-Att'!$R$8</f>
        <v>1.2248434278065274E-5</v>
      </c>
      <c r="K193" s="1162">
        <f>SUMIFS(INDEX(ArchetypeDemand!$I$6:$AH$50,,MATCH(K$166,ArchetypeDemand!$I$4:$AH$4,0)),ArchetypeDemand!$F$6:$F$50,$F193)*'SHWLP-Att'!$R$8</f>
        <v>1.2185954587493125E-5</v>
      </c>
      <c r="L193" s="1162">
        <f>SUMIFS(INDEX(ArchetypeDemand!$I$6:$AH$50,,MATCH(L$166,ArchetypeDemand!$I$4:$AH$4,0)),ArchetypeDemand!$F$6:$F$50,$F193)*'SHWLP-Att'!$R$8</f>
        <v>4.6683645449583722E-6</v>
      </c>
      <c r="M193" s="1162">
        <f>SUMIFS(INDEX(ArchetypeDemand!$I$6:$AH$50,,MATCH(M$166,ArchetypeDemand!$I$4:$AH$4,0)),ArchetypeDemand!$F$6:$F$50,$F193)*'SHWLP-Att'!$R$8</f>
        <v>2.5984855300112704E-5</v>
      </c>
      <c r="N193" s="1162">
        <f>SUMIFS(INDEX(ArchetypeDemand!$I$6:$AH$50,,MATCH(N$166,ArchetypeDemand!$I$4:$AH$4,0)),ArchetypeDemand!$F$6:$F$50,$F193)*'SHWLP-Att'!$R$8</f>
        <v>2.7218222899953214E-5</v>
      </c>
      <c r="O193" s="1162">
        <f>SUMIFS(INDEX(ArchetypeDemand!$I$6:$AH$50,,MATCH(O$166,ArchetypeDemand!$I$4:$AH$4,0)),ArchetypeDemand!$F$6:$F$50,$F193)*'SHWLP-Att'!$R$8</f>
        <v>8.9121290047901407E-6</v>
      </c>
      <c r="P193" s="1162">
        <f>SUMIFS(INDEX(ArchetypeDemand!$I$6:$AH$50,,MATCH(P$166,ArchetypeDemand!$I$4:$AH$4,0)),ArchetypeDemand!$F$6:$F$50,$F193)*'SHWLP-Att'!$R$8</f>
        <v>1.227136667768545E-5</v>
      </c>
      <c r="Q193" s="1162">
        <f>SUMIFS(INDEX(ArchetypeDemand!$I$6:$AH$50,,MATCH(Q$166,ArchetypeDemand!$I$4:$AH$4,0)),ArchetypeDemand!$F$6:$F$50,$F193)*'SHWLP-Att'!$R$8</f>
        <v>1.6806267031838422E-5</v>
      </c>
      <c r="R193" s="1162">
        <f>SUMIFS(INDEX(ArchetypeDemand!$I$6:$AH$50,,MATCH(R$166,ArchetypeDemand!$I$4:$AH$4,0)),ArchetypeDemand!$F$6:$F$50,$F193)*'SHWLP-Att'!$R$8</f>
        <v>1.9122483974611361E-5</v>
      </c>
      <c r="S193" s="1162">
        <f>SUMIFS(INDEX(ArchetypeDemand!$I$6:$AH$50,,MATCH(S$166,ArchetypeDemand!$I$4:$AH$4,0)),ArchetypeDemand!$F$6:$F$50,$F193)*'SHWLP-Att'!$R$8</f>
        <v>1.3777871399977738E-5</v>
      </c>
      <c r="T193" s="1162">
        <f>SUMIFS(INDEX(ArchetypeDemand!$I$6:$AH$50,,MATCH(T$166,ArchetypeDemand!$I$4:$AH$4,0)),ArchetypeDemand!$F$6:$F$50,$F193)*'SHWLP-Att'!$R$8</f>
        <v>9.1044820727358733E-5</v>
      </c>
      <c r="U193" s="1162">
        <f>SUMIFS(INDEX(ArchetypeDemand!$I$6:$AH$50,,MATCH(U$166,ArchetypeDemand!$I$4:$AH$4,0)),ArchetypeDemand!$F$6:$F$50,$F193)*'SHWLP-Att'!$R$8</f>
        <v>1.3993292882428482E-5</v>
      </c>
      <c r="V193" s="1162">
        <f>SUMIFS(INDEX(ArchetypeDemand!$I$6:$AH$50,,MATCH(V$166,ArchetypeDemand!$I$4:$AH$4,0)),ArchetypeDemand!$F$6:$F$50,$F193)*'SHWLP-Att'!$R$8</f>
        <v>3.1508065393776762E-5</v>
      </c>
      <c r="W193" s="1162">
        <f>SUMIFS(INDEX(ArchetypeDemand!$I$6:$AH$50,,MATCH(W$166,ArchetypeDemand!$I$4:$AH$4,0)),ArchetypeDemand!$F$6:$F$50,$F193)*'SHWLP-Att'!$R$8</f>
        <v>1.9948258584345328E-5</v>
      </c>
      <c r="X193" s="1162">
        <f>SUMIFS(INDEX(ArchetypeDemand!$I$6:$AH$50,,MATCH(X$166,ArchetypeDemand!$I$4:$AH$4,0)),ArchetypeDemand!$F$6:$F$50,$F193)*'SHWLP-Att'!$R$8</f>
        <v>2.0696871363777827E-5</v>
      </c>
      <c r="Y193" s="1162">
        <f>SUMIFS(INDEX(ArchetypeDemand!$I$6:$AH$50,,MATCH(Y$166,ArchetypeDemand!$I$4:$AH$4,0)),ArchetypeDemand!$F$6:$F$50,$F193)*'SHWLP-Att'!$R$8</f>
        <v>2.9008641180187514E-5</v>
      </c>
      <c r="Z193" s="1162">
        <f>SUMIFS(INDEX(ArchetypeDemand!$I$6:$AH$50,,MATCH(Z$166,ArchetypeDemand!$I$4:$AH$4,0)),ArchetypeDemand!$F$6:$F$50,$F193)*'SHWLP-Att'!$R$8</f>
        <v>3.075819405542502E-6</v>
      </c>
      <c r="AA193" s="1162">
        <f>SUMIFS(INDEX(ArchetypeDemand!$I$6:$AH$50,,MATCH(AA$166,ArchetypeDemand!$I$4:$AH$4,0)),ArchetypeDemand!$F$6:$F$50,$F193)*'SHWLP-Att'!$R$8</f>
        <v>1.2613348073827102E-5</v>
      </c>
      <c r="AB193" s="1162">
        <f>SUMIFS(INDEX(ArchetypeDemand!$I$6:$AH$50,,MATCH(AB$166,ArchetypeDemand!$I$4:$AH$4,0)),ArchetypeDemand!$F$6:$F$50,$F193)*'SHWLP-Att'!$R$8</f>
        <v>6.6544144074470958E-6</v>
      </c>
      <c r="AC193" s="1162">
        <f>SUMIFS(INDEX(ArchetypeDemand!$I$6:$AH$50,,MATCH(AC$166,ArchetypeDemand!$I$4:$AH$4,0)),ArchetypeDemand!$F$6:$F$50,$F193)*'SHWLP-Att'!$R$8</f>
        <v>8.3933383453407896E-6</v>
      </c>
      <c r="AD193" s="1162">
        <f>SUMIFS(INDEX(ArchetypeDemand!$I$6:$AH$50,,MATCH(AD$166,ArchetypeDemand!$I$4:$AH$4,0)),ArchetypeDemand!$F$6:$F$50,$F193)*'SHWLP-Att'!$R$8</f>
        <v>9.10526490243029E-6</v>
      </c>
      <c r="AE193" s="1162">
        <f>SUMIFS(INDEX(ArchetypeDemand!$I$6:$AH$50,,MATCH(AE$166,ArchetypeDemand!$I$4:$AH$4,0)),ArchetypeDemand!$F$6:$F$50,$F193)*'SHWLP-Att'!$R$8</f>
        <v>1.8569540299487223E-5</v>
      </c>
      <c r="AF193" s="1162">
        <f>SUMIFS(INDEX(ArchetypeDemand!$I$6:$AH$50,,MATCH(AF$166,ArchetypeDemand!$I$4:$AH$4,0)),ArchetypeDemand!$F$6:$F$50,$F193)*'SHWLP-Att'!$R$8</f>
        <v>6.0632600716618137E-6</v>
      </c>
    </row>
    <row r="194" spans="3:32">
      <c r="C194" s="1134" t="s">
        <v>1135</v>
      </c>
      <c r="D194" s="1134" t="s">
        <v>1094</v>
      </c>
      <c r="E194" s="1134" t="s">
        <v>830</v>
      </c>
      <c r="F194" s="1134" t="s">
        <v>1098</v>
      </c>
      <c r="G194" s="1154">
        <f>SUMIFS(INDEX(ArchetypeDemand!$I$6:$AH$50,,MATCH($G$166,ArchetypeDemand!$I$4:$AH$4,0)),ArchetypeDemand!$F$6:$F$50,$F194)*'SHWLP-Att'!$R$8</f>
        <v>5.0253290433814566E-6</v>
      </c>
      <c r="H194" s="1154">
        <f>SUMIFS(INDEX(ArchetypeDemand!$I$6:$AH$50,,MATCH(H$166,ArchetypeDemand!$I$4:$AH$4,0)),ArchetypeDemand!$F$6:$F$50,$F194)*'SHWLP-Att'!$R$8</f>
        <v>1.7574992824195891E-4</v>
      </c>
      <c r="I194" s="1154">
        <f>SUMIFS(INDEX(ArchetypeDemand!$I$6:$AH$50,,MATCH(I$166,ArchetypeDemand!$I$4:$AH$4,0)),ArchetypeDemand!$F$6:$F$50,$F194)*'SHWLP-Att'!$R$8</f>
        <v>1.9345699681376245E-5</v>
      </c>
      <c r="J194" s="1154">
        <f>SUMIFS(INDEX(ArchetypeDemand!$I$6:$AH$50,,MATCH(J$166,ArchetypeDemand!$I$4:$AH$4,0)),ArchetypeDemand!$F$6:$F$50,$F194)*'SHWLP-Att'!$R$8</f>
        <v>7.137104506590868E-6</v>
      </c>
      <c r="K194" s="1154">
        <f>SUMIFS(INDEX(ArchetypeDemand!$I$6:$AH$50,,MATCH(K$166,ArchetypeDemand!$I$4:$AH$4,0)),ArchetypeDemand!$F$6:$F$50,$F194)*'SHWLP-Att'!$R$8</f>
        <v>4.5163520187983369E-6</v>
      </c>
      <c r="L194" s="1154">
        <f>SUMIFS(INDEX(ArchetypeDemand!$I$6:$AH$50,,MATCH(L$166,ArchetypeDemand!$I$4:$AH$4,0)),ArchetypeDemand!$F$6:$F$50,$F194)*'SHWLP-Att'!$R$8</f>
        <v>2.8842252244344354E-6</v>
      </c>
      <c r="M194" s="1154">
        <f>SUMIFS(INDEX(ArchetypeDemand!$I$6:$AH$50,,MATCH(M$166,ArchetypeDemand!$I$4:$AH$4,0)),ArchetypeDemand!$F$6:$F$50,$F194)*'SHWLP-Att'!$R$8</f>
        <v>1.0313435574822897E-5</v>
      </c>
      <c r="N194" s="1154">
        <f>SUMIFS(INDEX(ArchetypeDemand!$I$6:$AH$50,,MATCH(N$166,ArchetypeDemand!$I$4:$AH$4,0)),ArchetypeDemand!$F$6:$F$50,$F194)*'SHWLP-Att'!$R$8</f>
        <v>8.1355567349310709E-6</v>
      </c>
      <c r="O194" s="1154">
        <f>SUMIFS(INDEX(ArchetypeDemand!$I$6:$AH$50,,MATCH(O$166,ArchetypeDemand!$I$4:$AH$4,0)),ArchetypeDemand!$F$6:$F$50,$F194)*'SHWLP-Att'!$R$8</f>
        <v>4.2030603286017954E-6</v>
      </c>
      <c r="P194" s="1154">
        <f>SUMIFS(INDEX(ArchetypeDemand!$I$6:$AH$50,,MATCH(P$166,ArchetypeDemand!$I$4:$AH$4,0)),ArchetypeDemand!$F$6:$F$50,$F194)*'SHWLP-Att'!$R$8</f>
        <v>6.8560502564406429E-6</v>
      </c>
      <c r="Q194" s="1154">
        <f>SUMIFS(INDEX(ArchetypeDemand!$I$6:$AH$50,,MATCH(Q$166,ArchetypeDemand!$I$4:$AH$4,0)),ArchetypeDemand!$F$6:$F$50,$F194)*'SHWLP-Att'!$R$8</f>
        <v>1.2154568211286625E-5</v>
      </c>
      <c r="R194" s="1154">
        <f>SUMIFS(INDEX(ArchetypeDemand!$I$6:$AH$50,,MATCH(R$166,ArchetypeDemand!$I$4:$AH$4,0)),ArchetypeDemand!$F$6:$F$50,$F194)*'SHWLP-Att'!$R$8</f>
        <v>1.1654063884440039E-5</v>
      </c>
      <c r="S194" s="1154">
        <f>SUMIFS(INDEX(ArchetypeDemand!$I$6:$AH$50,,MATCH(S$166,ArchetypeDemand!$I$4:$AH$4,0)),ArchetypeDemand!$F$6:$F$50,$F194)*'SHWLP-Att'!$R$8</f>
        <v>1.0721360436424079E-5</v>
      </c>
      <c r="T194" s="1154">
        <f>SUMIFS(INDEX(ArchetypeDemand!$I$6:$AH$50,,MATCH(T$166,ArchetypeDemand!$I$4:$AH$4,0)),ArchetypeDemand!$F$6:$F$50,$F194)*'SHWLP-Att'!$R$8</f>
        <v>4.1549154535994967E-5</v>
      </c>
      <c r="U194" s="1154">
        <f>SUMIFS(INDEX(ArchetypeDemand!$I$6:$AH$50,,MATCH(U$166,ArchetypeDemand!$I$4:$AH$4,0)),ArchetypeDemand!$F$6:$F$50,$F194)*'SHWLP-Att'!$R$8</f>
        <v>9.6862520660840548E-6</v>
      </c>
      <c r="V194" s="1154">
        <f>SUMIFS(INDEX(ArchetypeDemand!$I$6:$AH$50,,MATCH(V$166,ArchetypeDemand!$I$4:$AH$4,0)),ArchetypeDemand!$F$6:$F$50,$F194)*'SHWLP-Att'!$R$8</f>
        <v>1.9525176555937347E-5</v>
      </c>
      <c r="W194" s="1154">
        <f>SUMIFS(INDEX(ArchetypeDemand!$I$6:$AH$50,,MATCH(W$166,ArchetypeDemand!$I$4:$AH$4,0)),ArchetypeDemand!$F$6:$F$50,$F194)*'SHWLP-Att'!$R$8</f>
        <v>1.3144295972396351E-5</v>
      </c>
      <c r="X194" s="1154">
        <f>SUMIFS(INDEX(ArchetypeDemand!$I$6:$AH$50,,MATCH(X$166,ArchetypeDemand!$I$4:$AH$4,0)),ArchetypeDemand!$F$6:$F$50,$F194)*'SHWLP-Att'!$R$8</f>
        <v>1.3410140865103731E-5</v>
      </c>
      <c r="Y194" s="1154">
        <f>SUMIFS(INDEX(ArchetypeDemand!$I$6:$AH$50,,MATCH(Y$166,ArchetypeDemand!$I$4:$AH$4,0)),ArchetypeDemand!$F$6:$F$50,$F194)*'SHWLP-Att'!$R$8</f>
        <v>1.622356225794377E-5</v>
      </c>
      <c r="Z194" s="1154">
        <f>SUMIFS(INDEX(ArchetypeDemand!$I$6:$AH$50,,MATCH(Z$166,ArchetypeDemand!$I$4:$AH$4,0)),ArchetypeDemand!$F$6:$F$50,$F194)*'SHWLP-Att'!$R$8</f>
        <v>1.1310469724160374E-6</v>
      </c>
      <c r="AA194" s="1154">
        <f>SUMIFS(INDEX(ArchetypeDemand!$I$6:$AH$50,,MATCH(AA$166,ArchetypeDemand!$I$4:$AH$4,0)),ArchetypeDemand!$F$6:$F$50,$F194)*'SHWLP-Att'!$R$8</f>
        <v>7.5938703221736324E-6</v>
      </c>
      <c r="AB194" s="1154">
        <f>SUMIFS(INDEX(ArchetypeDemand!$I$6:$AH$50,,MATCH(AB$166,ArchetypeDemand!$I$4:$AH$4,0)),ArchetypeDemand!$F$6:$F$50,$F194)*'SHWLP-Att'!$R$8</f>
        <v>2.2459597087848803E-6</v>
      </c>
      <c r="AC194" s="1154">
        <f>SUMIFS(INDEX(ArchetypeDemand!$I$6:$AH$50,,MATCH(AC$166,ArchetypeDemand!$I$4:$AH$4,0)),ArchetypeDemand!$F$6:$F$50,$F194)*'SHWLP-Att'!$R$8</f>
        <v>5.1004835521104143E-6</v>
      </c>
      <c r="AD194" s="1154">
        <f>SUMIFS(INDEX(ArchetypeDemand!$I$6:$AH$50,,MATCH(AD$166,ArchetypeDemand!$I$4:$AH$4,0)),ArchetypeDemand!$F$6:$F$50,$F194)*'SHWLP-Att'!$R$8</f>
        <v>3.1211635547171642E-6</v>
      </c>
      <c r="AE194" s="1154">
        <f>SUMIFS(INDEX(ArchetypeDemand!$I$6:$AH$50,,MATCH(AE$166,ArchetypeDemand!$I$4:$AH$4,0)),ArchetypeDemand!$F$6:$F$50,$F194)*'SHWLP-Att'!$R$8</f>
        <v>8.455700946948992E-6</v>
      </c>
      <c r="AF194" s="1154">
        <f>SUMIFS(INDEX(ArchetypeDemand!$I$6:$AH$50,,MATCH(AF$166,ArchetypeDemand!$I$4:$AH$4,0)),ArchetypeDemand!$F$6:$F$50,$F194)*'SHWLP-Att'!$R$8</f>
        <v>4.0668739373547609E-6</v>
      </c>
    </row>
    <row r="195" spans="3:32">
      <c r="C195" s="1136" t="s">
        <v>1135</v>
      </c>
      <c r="D195" s="1136" t="s">
        <v>1094</v>
      </c>
      <c r="E195" s="1136" t="s">
        <v>830</v>
      </c>
      <c r="F195" s="1136" t="s">
        <v>1099</v>
      </c>
      <c r="G195" s="1162">
        <f>SUMIFS(INDEX(ArchetypeDemand!$I$6:$AH$50,,MATCH($G$166,ArchetypeDemand!$I$4:$AH$4,0)),ArchetypeDemand!$F$6:$F$50,$F195)*'SHWLP-Att'!$R$8</f>
        <v>1.7818341206449488E-6</v>
      </c>
      <c r="H195" s="1162">
        <f>SUMIFS(INDEX(ArchetypeDemand!$I$6:$AH$50,,MATCH($H$166,ArchetypeDemand!$I$4:$AH$4,0)),ArchetypeDemand!$F$6:$F$50,$F195)*'SHWLP-Att'!$R$8</f>
        <v>9.1304890315666398E-5</v>
      </c>
      <c r="I195" s="1162">
        <f>SUMIFS(INDEX(ArchetypeDemand!$I$6:$AH$50,,MATCH(I$166,ArchetypeDemand!$I$4:$AH$4,0)),ArchetypeDemand!$F$6:$F$50,$F195)*'SHWLP-Att'!$R$8</f>
        <v>6.0331455869532101E-6</v>
      </c>
      <c r="J195" s="1162">
        <f>SUMIFS(INDEX(ArchetypeDemand!$I$6:$AH$50,,MATCH(J$166,ArchetypeDemand!$I$4:$AH$4,0)),ArchetypeDemand!$F$6:$F$50,$F195)*'SHWLP-Att'!$R$8</f>
        <v>3.3340875848791764E-6</v>
      </c>
      <c r="K195" s="1162">
        <f>SUMIFS(INDEX(ArchetypeDemand!$I$6:$AH$50,,MATCH(K$166,ArchetypeDemand!$I$4:$AH$4,0)),ArchetypeDemand!$F$6:$F$50,$F195)*'SHWLP-Att'!$R$8</f>
        <v>3.5414756517988869E-6</v>
      </c>
      <c r="L195" s="1162">
        <f>SUMIFS(INDEX(ArchetypeDemand!$I$6:$AH$50,,MATCH(L$166,ArchetypeDemand!$I$4:$AH$4,0)),ArchetypeDemand!$F$6:$F$50,$F195)*'SHWLP-Att'!$R$8</f>
        <v>1.1840924638454826E-6</v>
      </c>
      <c r="M195" s="1162">
        <f>SUMIFS(INDEX(ArchetypeDemand!$I$6:$AH$50,,MATCH(M$166,ArchetypeDemand!$I$4:$AH$4,0)),ArchetypeDemand!$F$6:$F$50,$F195)*'SHWLP-Att'!$R$8</f>
        <v>4.1464778874145862E-6</v>
      </c>
      <c r="N195" s="1162">
        <f>SUMIFS(INDEX(ArchetypeDemand!$I$6:$AH$50,,MATCH(N$166,ArchetypeDemand!$I$4:$AH$4,0)),ArchetypeDemand!$F$6:$F$50,$F195)*'SHWLP-Att'!$R$8</f>
        <v>2.8489403639786194E-6</v>
      </c>
      <c r="O195" s="1162">
        <f>SUMIFS(INDEX(ArchetypeDemand!$I$6:$AH$50,,MATCH(O$166,ArchetypeDemand!$I$4:$AH$4,0)),ArchetypeDemand!$F$6:$F$50,$F195)*'SHWLP-Att'!$R$8</f>
        <v>4.9552348993385583E-6</v>
      </c>
      <c r="P195" s="1162">
        <f>SUMIFS(INDEX(ArchetypeDemand!$I$6:$AH$50,,MATCH(P$166,ArchetypeDemand!$I$4:$AH$4,0)),ArchetypeDemand!$F$6:$F$50,$F195)*'SHWLP-Att'!$R$8</f>
        <v>3.3840492408088203E-6</v>
      </c>
      <c r="Q195" s="1162">
        <f>SUMIFS(INDEX(ArchetypeDemand!$I$6:$AH$50,,MATCH(Q$166,ArchetypeDemand!$I$4:$AH$4,0)),ArchetypeDemand!$F$6:$F$50,$F195)*'SHWLP-Att'!$R$8</f>
        <v>5.3173729621135169E-6</v>
      </c>
      <c r="R195" s="1162">
        <f>SUMIFS(INDEX(ArchetypeDemand!$I$6:$AH$50,,MATCH(R$166,ArchetypeDemand!$I$4:$AH$4,0)),ArchetypeDemand!$F$6:$F$50,$F195)*'SHWLP-Att'!$R$8</f>
        <v>6.2659836522551587E-6</v>
      </c>
      <c r="S195" s="1162">
        <f>SUMIFS(INDEX(ArchetypeDemand!$I$6:$AH$50,,MATCH(S$166,ArchetypeDemand!$I$4:$AH$4,0)),ArchetypeDemand!$F$6:$F$50,$F195)*'SHWLP-Att'!$R$8</f>
        <v>4.616195863978854E-6</v>
      </c>
      <c r="T195" s="1162">
        <f>SUMIFS(INDEX(ArchetypeDemand!$I$6:$AH$50,,MATCH(T$166,ArchetypeDemand!$I$4:$AH$4,0)),ArchetypeDemand!$F$6:$F$50,$F195)*'SHWLP-Att'!$R$8</f>
        <v>2.0535435973012621E-5</v>
      </c>
      <c r="U195" s="1162">
        <f>SUMIFS(INDEX(ArchetypeDemand!$I$6:$AH$50,,MATCH(U$166,ArchetypeDemand!$I$4:$AH$4,0)),ArchetypeDemand!$F$6:$F$50,$F195)*'SHWLP-Att'!$R$8</f>
        <v>4.9422650799655567E-6</v>
      </c>
      <c r="V195" s="1162">
        <f>SUMIFS(INDEX(ArchetypeDemand!$I$6:$AH$50,,MATCH(V$166,ArchetypeDemand!$I$4:$AH$4,0)),ArchetypeDemand!$F$6:$F$50,$F195)*'SHWLP-Att'!$R$8</f>
        <v>8.1919385509593086E-6</v>
      </c>
      <c r="W195" s="1162">
        <f>SUMIFS(INDEX(ArchetypeDemand!$I$6:$AH$50,,MATCH(W$166,ArchetypeDemand!$I$4:$AH$4,0)),ArchetypeDemand!$F$6:$F$50,$F195)*'SHWLP-Att'!$R$8</f>
        <v>7.3977334077317332E-6</v>
      </c>
      <c r="X195" s="1162">
        <f>SUMIFS(INDEX(ArchetypeDemand!$I$6:$AH$50,,MATCH(X$166,ArchetypeDemand!$I$4:$AH$4,0)),ArchetypeDemand!$F$6:$F$50,$F195)*'SHWLP-Att'!$R$8</f>
        <v>5.0453151522983213E-6</v>
      </c>
      <c r="Y195" s="1162">
        <f>SUMIFS(INDEX(ArchetypeDemand!$I$6:$AH$50,,MATCH(Y$166,ArchetypeDemand!$I$4:$AH$4,0)),ArchetypeDemand!$F$6:$F$50,$F195)*'SHWLP-Att'!$R$8</f>
        <v>6.8655683840993896E-6</v>
      </c>
      <c r="Z195" s="1162">
        <f>SUMIFS(INDEX(ArchetypeDemand!$I$6:$AH$50,,MATCH(Z$166,ArchetypeDemand!$I$4:$AH$4,0)),ArchetypeDemand!$F$6:$F$50,$F195)*'SHWLP-Att'!$R$8</f>
        <v>7.1004615490562349E-7</v>
      </c>
      <c r="AA195" s="1162">
        <f>SUMIFS(INDEX(ArchetypeDemand!$I$6:$AH$50,,MATCH(AA$166,ArchetypeDemand!$I$4:$AH$4,0)),ArchetypeDemand!$F$6:$F$50,$F195)*'SHWLP-Att'!$R$8</f>
        <v>2.9113754640737919E-6</v>
      </c>
      <c r="AB195" s="1162">
        <f>SUMIFS(INDEX(ArchetypeDemand!$I$6:$AH$50,,MATCH(AB$166,ArchetypeDemand!$I$4:$AH$4,0)),ArchetypeDemand!$F$6:$F$50,$F195)*'SHWLP-Att'!$R$8</f>
        <v>1.5706542558056427E-6</v>
      </c>
      <c r="AC195" s="1162">
        <f>SUMIFS(INDEX(ArchetypeDemand!$I$6:$AH$50,,MATCH(AC$166,ArchetypeDemand!$I$4:$AH$4,0)),ArchetypeDemand!$F$6:$F$50,$F195)*'SHWLP-Att'!$R$8</f>
        <v>2.7567244198551327E-6</v>
      </c>
      <c r="AD195" s="1162">
        <f>SUMIFS(INDEX(ArchetypeDemand!$I$6:$AH$50,,MATCH(AD$166,ArchetypeDemand!$I$4:$AH$4,0)),ArchetypeDemand!$F$6:$F$50,$F195)*'SHWLP-Att'!$R$8</f>
        <v>1.650399433609436E-6</v>
      </c>
      <c r="AE195" s="1162">
        <f>SUMIFS(INDEX(ArchetypeDemand!$I$6:$AH$50,,MATCH(AE$166,ArchetypeDemand!$I$4:$AH$4,0)),ArchetypeDemand!$F$6:$F$50,$F195)*'SHWLP-Att'!$R$8</f>
        <v>3.7710574903813452E-6</v>
      </c>
      <c r="AF195" s="1162">
        <f>SUMIFS(INDEX(ArchetypeDemand!$I$6:$AH$50,,MATCH(AF$166,ArchetypeDemand!$I$4:$AH$4,0)),ArchetypeDemand!$F$6:$F$50,$F195)*'SHWLP-Att'!$R$8</f>
        <v>1.5997242604600183E-6</v>
      </c>
    </row>
    <row r="196" spans="3:32">
      <c r="C196" s="1134" t="s">
        <v>1135</v>
      </c>
      <c r="D196" s="1134" t="s">
        <v>1094</v>
      </c>
      <c r="E196" s="1134" t="s">
        <v>830</v>
      </c>
      <c r="F196" s="1134" t="s">
        <v>1100</v>
      </c>
      <c r="G196" s="1154">
        <f>SUMIFS(INDEX(ArchetypeDemand!$I$6:$AH$50,,MATCH($G$166,ArchetypeDemand!$I$4:$AH$4,0)),ArchetypeDemand!$F$6:$F$50,$F196)*'SHWLP-Att'!$R$8</f>
        <v>8.978773498562437E-7</v>
      </c>
      <c r="H196" s="1154">
        <f>SUMIFS(INDEX(ArchetypeDemand!$I$6:$AH$50,,MATCH($H$166,ArchetypeDemand!$I$4:$AH$4,0)),ArchetypeDemand!$F$6:$F$50,$F196)*'SHWLP-Att'!$R$8</f>
        <v>4.2265871190142293E-5</v>
      </c>
      <c r="I196" s="1154">
        <f>SUMIFS(INDEX(ArchetypeDemand!$I$6:$AH$50,,MATCH(I$166,ArchetypeDemand!$I$4:$AH$4,0)),ArchetypeDemand!$F$6:$F$50,$F196)*'SHWLP-Att'!$R$8</f>
        <v>2.1314178569966084E-6</v>
      </c>
      <c r="J196" s="1154">
        <f>SUMIFS(INDEX(ArchetypeDemand!$I$6:$AH$50,,MATCH(J$166,ArchetypeDemand!$I$4:$AH$4,0)),ArchetypeDemand!$F$6:$F$50,$F196)*'SHWLP-Att'!$R$8</f>
        <v>1.5193310513373464E-6</v>
      </c>
      <c r="K196" s="1154">
        <f>SUMIFS(INDEX(ArchetypeDemand!$I$6:$AH$50,,MATCH(K$166,ArchetypeDemand!$I$4:$AH$4,0)),ArchetypeDemand!$F$6:$F$50,$F196)*'SHWLP-Att'!$R$8</f>
        <v>1.5960365300433475E-6</v>
      </c>
      <c r="L196" s="1154">
        <f>SUMIFS(INDEX(ArchetypeDemand!$I$6:$AH$50,,MATCH(L$166,ArchetypeDemand!$I$4:$AH$4,0)),ArchetypeDemand!$F$6:$F$50,$F196)*'SHWLP-Att'!$R$8</f>
        <v>5.6004373289989041E-7</v>
      </c>
      <c r="M196" s="1154">
        <f>SUMIFS(INDEX(ArchetypeDemand!$I$6:$AH$50,,MATCH(M$166,ArchetypeDemand!$I$4:$AH$4,0)),ArchetypeDemand!$F$6:$F$50,$F196)*'SHWLP-Att'!$R$8</f>
        <v>1.8680644959323019E-6</v>
      </c>
      <c r="N196" s="1154">
        <f>SUMIFS(INDEX(ArchetypeDemand!$I$6:$AH$50,,MATCH(N$166,ArchetypeDemand!$I$4:$AH$4,0)),ArchetypeDemand!$F$6:$F$50,$F196)*'SHWLP-Att'!$R$8</f>
        <v>1.3982988138162779E-6</v>
      </c>
      <c r="O196" s="1154">
        <f>SUMIFS(INDEX(ArchetypeDemand!$I$6:$AH$50,,MATCH(O$166,ArchetypeDemand!$I$4:$AH$4,0)),ArchetypeDemand!$F$6:$F$50,$F196)*'SHWLP-Att'!$R$8</f>
        <v>2.3932827250715209E-6</v>
      </c>
      <c r="P196" s="1154">
        <f>SUMIFS(INDEX(ArchetypeDemand!$I$6:$AH$50,,MATCH(P$166,ArchetypeDemand!$I$4:$AH$4,0)),ArchetypeDemand!$F$6:$F$50,$F196)*'SHWLP-Att'!$R$8</f>
        <v>1.5286856100188361E-6</v>
      </c>
      <c r="Q196" s="1154">
        <f>SUMIFS(INDEX(ArchetypeDemand!$I$6:$AH$50,,MATCH(Q$166,ArchetypeDemand!$I$4:$AH$4,0)),ArchetypeDemand!$F$6:$F$50,$F196)*'SHWLP-Att'!$R$8</f>
        <v>2.1694560878607936E-6</v>
      </c>
      <c r="R196" s="1154">
        <f>SUMIFS(INDEX(ArchetypeDemand!$I$6:$AH$50,,MATCH(R$166,ArchetypeDemand!$I$4:$AH$4,0)),ArchetypeDemand!$F$6:$F$50,$F196)*'SHWLP-Att'!$R$8</f>
        <v>2.5213719078795657E-6</v>
      </c>
      <c r="S196" s="1154">
        <f>SUMIFS(INDEX(ArchetypeDemand!$I$6:$AH$50,,MATCH(S$166,ArchetypeDemand!$I$4:$AH$4,0)),ArchetypeDemand!$F$6:$F$50,$F196)*'SHWLP-Att'!$R$8</f>
        <v>1.7207606709980748E-6</v>
      </c>
      <c r="T196" s="1154">
        <f>SUMIFS(INDEX(ArchetypeDemand!$I$6:$AH$50,,MATCH(T$166,ArchetypeDemand!$I$4:$AH$4,0)),ArchetypeDemand!$F$6:$F$50,$F196)*'SHWLP-Att'!$R$8</f>
        <v>9.0434900727305569E-6</v>
      </c>
      <c r="U196" s="1154">
        <f>SUMIFS(INDEX(ArchetypeDemand!$I$6:$AH$50,,MATCH(U$166,ArchetypeDemand!$I$4:$AH$4,0)),ArchetypeDemand!$F$6:$F$50,$F196)*'SHWLP-Att'!$R$8</f>
        <v>1.8946573412052208E-6</v>
      </c>
      <c r="V196" s="1154">
        <f>SUMIFS(INDEX(ArchetypeDemand!$I$6:$AH$50,,MATCH(V$166,ArchetypeDemand!$I$4:$AH$4,0)),ArchetypeDemand!$F$6:$F$50,$F196)*'SHWLP-Att'!$R$8</f>
        <v>3.3789765879924033E-6</v>
      </c>
      <c r="W196" s="1154">
        <f>SUMIFS(INDEX(ArchetypeDemand!$I$6:$AH$50,,MATCH(W$166,ArchetypeDemand!$I$4:$AH$4,0)),ArchetypeDemand!$F$6:$F$50,$F196)*'SHWLP-Att'!$R$8</f>
        <v>3.5707586212141078E-6</v>
      </c>
      <c r="X196" s="1154">
        <f>SUMIFS(INDEX(ArchetypeDemand!$I$6:$AH$50,,MATCH(X$166,ArchetypeDemand!$I$4:$AH$4,0)),ArchetypeDemand!$F$6:$F$50,$F196)*'SHWLP-Att'!$R$8</f>
        <v>2.2286316086588023E-6</v>
      </c>
      <c r="Y196" s="1154">
        <f>SUMIFS(INDEX(ArchetypeDemand!$I$6:$AH$50,,MATCH(Y$166,ArchetypeDemand!$I$4:$AH$4,0)),ArchetypeDemand!$F$6:$F$50,$F196)*'SHWLP-Att'!$R$8</f>
        <v>3.1041335748805764E-6</v>
      </c>
      <c r="Z196" s="1154">
        <f>SUMIFS(INDEX(ArchetypeDemand!$I$6:$AH$50,,MATCH(Z$166,ArchetypeDemand!$I$4:$AH$4,0)),ArchetypeDemand!$F$6:$F$50,$F196)*'SHWLP-Att'!$R$8</f>
        <v>5.2782192046081753E-7</v>
      </c>
      <c r="AA196" s="1154">
        <f>SUMIFS(INDEX(ArchetypeDemand!$I$6:$AH$50,,MATCH(AA$166,ArchetypeDemand!$I$4:$AH$4,0)),ArchetypeDemand!$F$6:$F$50,$F196)*'SHWLP-Att'!$R$8</f>
        <v>1.5399334554253035E-6</v>
      </c>
      <c r="AB196" s="1154">
        <f>SUMIFS(INDEX(ArchetypeDemand!$I$6:$AH$50,,MATCH(AB$166,ArchetypeDemand!$I$4:$AH$4,0)),ArchetypeDemand!$F$6:$F$50,$F196)*'SHWLP-Att'!$R$8</f>
        <v>8.3085333821602844E-7</v>
      </c>
      <c r="AC196" s="1154">
        <f>SUMIFS(INDEX(ArchetypeDemand!$I$6:$AH$50,,MATCH(AC$166,ArchetypeDemand!$I$4:$AH$4,0)),ArchetypeDemand!$F$6:$F$50,$F196)*'SHWLP-Att'!$R$8</f>
        <v>1.1519558022522103E-6</v>
      </c>
      <c r="AD196" s="1154">
        <f>SUMIFS(INDEX(ArchetypeDemand!$I$6:$AH$50,,MATCH(AD$166,ArchetypeDemand!$I$4:$AH$4,0)),ArchetypeDemand!$F$6:$F$50,$F196)*'SHWLP-Att'!$R$8</f>
        <v>7.4099566406954259E-7</v>
      </c>
      <c r="AE196" s="1154">
        <f>SUMIFS(INDEX(ArchetypeDemand!$I$6:$AH$50,,MATCH(AE$166,ArchetypeDemand!$I$4:$AH$4,0)),ArchetypeDemand!$F$6:$F$50,$F196)*'SHWLP-Att'!$R$8</f>
        <v>1.7024090911753566E-6</v>
      </c>
      <c r="AF196" s="1154">
        <f>SUMIFS(INDEX(ArchetypeDemand!$I$6:$AH$50,,MATCH(AF$166,ArchetypeDemand!$I$4:$AH$4,0)),ArchetypeDemand!$F$6:$F$50,$F196)*'SHWLP-Att'!$R$8</f>
        <v>7.1050423557216083E-7</v>
      </c>
    </row>
    <row r="197" spans="3:32" ht="13.5" thickBot="1">
      <c r="C197" s="1138" t="s">
        <v>1135</v>
      </c>
      <c r="D197" s="1138" t="s">
        <v>1094</v>
      </c>
      <c r="E197" s="1138" t="s">
        <v>830</v>
      </c>
      <c r="F197" s="1138" t="s">
        <v>1101</v>
      </c>
      <c r="G197" s="1163">
        <f>SUMIFS(INDEX(ArchetypeDemand!$I$6:$AH$50,,MATCH($G$166,ArchetypeDemand!$I$4:$AH$4,0)),ArchetypeDemand!$F$6:$F$50,$F197)*'SHWLP-Att'!$R$8</f>
        <v>8.4219503358608903E-7</v>
      </c>
      <c r="H197" s="1163">
        <f>SUMIFS(INDEX(ArchetypeDemand!$I$6:$AH$50,,MATCH($H$166,ArchetypeDemand!$I$4:$AH$4,0)),ArchetypeDemand!$F$6:$F$50,$F197)*'SHWLP-Att'!$R$8</f>
        <v>3.584974159472791E-5</v>
      </c>
      <c r="I197" s="1163">
        <f>SUMIFS(INDEX(ArchetypeDemand!$I$6:$AH$50,,MATCH(I$166,ArchetypeDemand!$I$4:$AH$4,0)),ArchetypeDemand!$F$6:$F$50,$F197)*'SHWLP-Att'!$R$8</f>
        <v>2.2987605813062595E-6</v>
      </c>
      <c r="J197" s="1163">
        <f>SUMIFS(INDEX(ArchetypeDemand!$I$6:$AH$50,,MATCH(J$166,ArchetypeDemand!$I$4:$AH$4,0)),ArchetypeDemand!$F$6:$F$50,$F197)*'SHWLP-Att'!$R$8</f>
        <v>1.6037383319671988E-6</v>
      </c>
      <c r="K197" s="1163">
        <f>SUMIFS(INDEX(ArchetypeDemand!$I$6:$AH$50,,MATCH(K$166,ArchetypeDemand!$I$4:$AH$4,0)),ArchetypeDemand!$F$6:$F$50,$F197)*'SHWLP-Att'!$R$8</f>
        <v>1.7815218565078446E-6</v>
      </c>
      <c r="L197" s="1163">
        <f>SUMIFS(INDEX(ArchetypeDemand!$I$6:$AH$50,,MATCH(L$166,ArchetypeDemand!$I$4:$AH$4,0)),ArchetypeDemand!$F$6:$F$50,$F197)*'SHWLP-Att'!$R$8</f>
        <v>5.1203998436561406E-7</v>
      </c>
      <c r="M197" s="1163">
        <f>SUMIFS(INDEX(ArchetypeDemand!$I$6:$AH$50,,MATCH(M$166,ArchetypeDemand!$I$4:$AH$4,0)),ArchetypeDemand!$F$6:$F$50,$F197)*'SHWLP-Att'!$R$8</f>
        <v>2.747383557825122E-6</v>
      </c>
      <c r="N197" s="1163">
        <f>SUMIFS(INDEX(ArchetypeDemand!$I$6:$AH$50,,MATCH(N$166,ArchetypeDemand!$I$4:$AH$4,0)),ArchetypeDemand!$F$6:$F$50,$F197)*'SHWLP-Att'!$R$8</f>
        <v>1.3197847092971819E-6</v>
      </c>
      <c r="O197" s="1163">
        <f>SUMIFS(INDEX(ArchetypeDemand!$I$6:$AH$50,,MATCH(O$166,ArchetypeDemand!$I$4:$AH$4,0)),ArchetypeDemand!$F$6:$F$50,$F197)*'SHWLP-Att'!$R$8</f>
        <v>2.311227317354783E-6</v>
      </c>
      <c r="P197" s="1163">
        <f>SUMIFS(INDEX(ArchetypeDemand!$I$6:$AH$50,,MATCH(P$166,ArchetypeDemand!$I$4:$AH$4,0)),ArchetypeDemand!$F$6:$F$50,$F197)*'SHWLP-Att'!$R$8</f>
        <v>2.1401598540263704E-6</v>
      </c>
      <c r="Q197" s="1163">
        <f>SUMIFS(INDEX(ArchetypeDemand!$I$6:$AH$50,,MATCH(Q$166,ArchetypeDemand!$I$4:$AH$4,0)),ArchetypeDemand!$F$6:$F$50,$F197)*'SHWLP-Att'!$R$8</f>
        <v>2.57447469206401E-6</v>
      </c>
      <c r="R197" s="1163">
        <f>SUMIFS(INDEX(ArchetypeDemand!$I$6:$AH$50,,MATCH(R$166,ArchetypeDemand!$I$4:$AH$4,0)),ArchetypeDemand!$F$6:$F$50,$F197)*'SHWLP-Att'!$R$8</f>
        <v>2.75853065169002E-6</v>
      </c>
      <c r="S197" s="1163">
        <f>SUMIFS(INDEX(ArchetypeDemand!$I$6:$AH$50,,MATCH(S$166,ArchetypeDemand!$I$4:$AH$4,0)),ArchetypeDemand!$F$6:$F$50,$F197)*'SHWLP-Att'!$R$8</f>
        <v>1.693259929680754E-6</v>
      </c>
      <c r="T197" s="1163">
        <f>SUMIFS(INDEX(ArchetypeDemand!$I$6:$AH$50,,MATCH(T$166,ArchetypeDemand!$I$4:$AH$4,0)),ArchetypeDemand!$F$6:$F$50,$F197)*'SHWLP-Att'!$R$8</f>
        <v>1.0824983022526097E-5</v>
      </c>
      <c r="U197" s="1163">
        <f>SUMIFS(INDEX(ArchetypeDemand!$I$6:$AH$50,,MATCH(U$166,ArchetypeDemand!$I$4:$AH$4,0)),ArchetypeDemand!$F$6:$F$50,$F197)*'SHWLP-Att'!$R$8</f>
        <v>2.1223099674740651E-6</v>
      </c>
      <c r="V197" s="1163">
        <f>SUMIFS(INDEX(ArchetypeDemand!$I$6:$AH$50,,MATCH(V$166,ArchetypeDemand!$I$4:$AH$4,0)),ArchetypeDemand!$F$6:$F$50,$F197)*'SHWLP-Att'!$R$8</f>
        <v>3.6087311508336219E-6</v>
      </c>
      <c r="W197" s="1163">
        <f>SUMIFS(INDEX(ArchetypeDemand!$I$6:$AH$50,,MATCH(W$166,ArchetypeDemand!$I$4:$AH$4,0)),ArchetypeDemand!$F$6:$F$50,$F197)*'SHWLP-Att'!$R$8</f>
        <v>4.4451471218530979E-6</v>
      </c>
      <c r="X197" s="1163">
        <f>SUMIFS(INDEX(ArchetypeDemand!$I$6:$AH$50,,MATCH(X$166,ArchetypeDemand!$I$4:$AH$4,0)),ArchetypeDemand!$F$6:$F$50,$F197)*'SHWLP-Att'!$R$8</f>
        <v>2.5226575761491607E-6</v>
      </c>
      <c r="Y197" s="1163">
        <f>SUMIFS(INDEX(ArchetypeDemand!$I$6:$AH$50,,MATCH(Y$166,ArchetypeDemand!$I$4:$AH$4,0)),ArchetypeDemand!$F$6:$F$50,$F197)*'SHWLP-Att'!$R$8</f>
        <v>2.9939501309741669E-6</v>
      </c>
      <c r="Z197" s="1163">
        <f>SUMIFS(INDEX(ArchetypeDemand!$I$6:$AH$50,,MATCH(Z$166,ArchetypeDemand!$I$4:$AH$4,0)),ArchetypeDemand!$F$6:$F$50,$F197)*'SHWLP-Att'!$R$8</f>
        <v>4.995457461504165E-7</v>
      </c>
      <c r="AA197" s="1163">
        <f>SUMIFS(INDEX(ArchetypeDemand!$I$6:$AH$50,,MATCH(AA$166,ArchetypeDemand!$I$4:$AH$4,0)),ArchetypeDemand!$F$6:$F$50,$F197)*'SHWLP-Att'!$R$8</f>
        <v>2.190388808098586E-6</v>
      </c>
      <c r="AB197" s="1163">
        <f>SUMIFS(INDEX(ArchetypeDemand!$I$6:$AH$50,,MATCH(AB$166,ArchetypeDemand!$I$4:$AH$4,0)),ArchetypeDemand!$F$6:$F$50,$F197)*'SHWLP-Att'!$R$8</f>
        <v>8.0429638219999102E-7</v>
      </c>
      <c r="AC197" s="1163">
        <f>SUMIFS(INDEX(ArchetypeDemand!$I$6:$AH$50,,MATCH(AC$166,ArchetypeDemand!$I$4:$AH$4,0)),ArchetypeDemand!$F$6:$F$50,$F197)*'SHWLP-Att'!$R$8</f>
        <v>1.3982859738029975E-6</v>
      </c>
      <c r="AD197" s="1163">
        <f>SUMIFS(INDEX(ArchetypeDemand!$I$6:$AH$50,,MATCH(AD$166,ArchetypeDemand!$I$4:$AH$4,0)),ArchetypeDemand!$F$6:$F$50,$F197)*'SHWLP-Att'!$R$8</f>
        <v>1.006706230478318E-6</v>
      </c>
      <c r="AE197" s="1163">
        <f>SUMIFS(INDEX(ArchetypeDemand!$I$6:$AH$50,,MATCH(AE$166,ArchetypeDemand!$I$4:$AH$4,0)),ArchetypeDemand!$F$6:$F$50,$F197)*'SHWLP-Att'!$R$8</f>
        <v>2.1491405548171168E-6</v>
      </c>
      <c r="AF197" s="1163">
        <f>SUMIFS(INDEX(ArchetypeDemand!$I$6:$AH$50,,MATCH(AF$166,ArchetypeDemand!$I$4:$AH$4,0)),ArchetypeDemand!$F$6:$F$50,$F197)*'SHWLP-Att'!$R$8</f>
        <v>7.5845237416905512E-7</v>
      </c>
    </row>
    <row r="198" spans="3:32" ht="13.5" thickBot="1">
      <c r="C198" s="1141" t="s">
        <v>1136</v>
      </c>
      <c r="D198" s="1141" t="s">
        <v>1094</v>
      </c>
      <c r="E198" s="1141" t="s">
        <v>830</v>
      </c>
      <c r="F198" s="1141" t="s">
        <v>930</v>
      </c>
      <c r="G198" s="1129">
        <f>SUM(ArchetypeDemand!I6:I46)*'SHWLP-Att'!$R$34</f>
        <v>6.5588184080313543E-5</v>
      </c>
      <c r="H198" s="1142">
        <f>SUM(ArchetypeDemand!J6:J46)*'SHWLP-Att'!$R$34</f>
        <v>2.1801694851783181E-3</v>
      </c>
      <c r="I198" s="1142">
        <f>SUM(ArchetypeDemand!K6:K46)*'SHWLP-Att'!$R$34</f>
        <v>2.7744333467083314E-4</v>
      </c>
      <c r="J198" s="1142">
        <f>SUM(ArchetypeDemand!L6:L46)*'SHWLP-Att'!$R$34</f>
        <v>9.0980630089062699E-5</v>
      </c>
      <c r="K198" s="1142">
        <f>SUM(ArchetypeDemand!M6:M46)*'SHWLP-Att'!$R$34</f>
        <v>8.3722673906828015E-5</v>
      </c>
      <c r="L198" s="1142">
        <f>SUM(ArchetypeDemand!N6:N46)*'SHWLP-Att'!$R$34</f>
        <v>3.4522228513371344E-5</v>
      </c>
      <c r="M198" s="1142">
        <f>SUM(ArchetypeDemand!O6:O46)*'SHWLP-Att'!$R$34</f>
        <v>1.7667090149515037E-4</v>
      </c>
      <c r="N198" s="1142">
        <f>SUM(ArchetypeDemand!P6:P46)*'SHWLP-Att'!$R$34</f>
        <v>1.9713743430861019E-4</v>
      </c>
      <c r="O198" s="1142">
        <f>SUM(ArchetypeDemand!Q6:Q46)*'SHWLP-Att'!$R$34</f>
        <v>7.4475639131653954E-5</v>
      </c>
      <c r="P198" s="1142">
        <f>SUM(ArchetypeDemand!R6:R46)*'SHWLP-Att'!$R$34</f>
        <v>8.9204113288619651E-5</v>
      </c>
      <c r="Q198" s="1142">
        <f>SUM(ArchetypeDemand!S6:S46)*'SHWLP-Att'!$R$34</f>
        <v>1.3372764776847619E-4</v>
      </c>
      <c r="R198" s="1142">
        <f>SUM(ArchetypeDemand!T6:T46)*'SHWLP-Att'!$R$34</f>
        <v>1.6850853054024682E-4</v>
      </c>
      <c r="S198" s="1142">
        <f>SUM(ArchetypeDemand!U6:U46)*'SHWLP-Att'!$R$34</f>
        <v>1.0996855167461013E-4</v>
      </c>
      <c r="T198" s="1142">
        <f>SUM(ArchetypeDemand!V6:V46)*'SHWLP-Att'!$R$34</f>
        <v>6.6514256363465812E-4</v>
      </c>
      <c r="U198" s="1142">
        <f>SUM(ArchetypeDemand!W6:W46)*'SHWLP-Att'!$R$34</f>
        <v>1.1409780999261652E-4</v>
      </c>
      <c r="V198" s="1142">
        <f>SUM(ArchetypeDemand!X6:X46)*'SHWLP-Att'!$R$34</f>
        <v>2.3054170248033531E-4</v>
      </c>
      <c r="W198" s="1142">
        <f>SUM(ArchetypeDemand!Y6:Y46)*'SHWLP-Att'!$R$34</f>
        <v>1.5968495229591354E-4</v>
      </c>
      <c r="X198" s="1142">
        <f>SUM(ArchetypeDemand!Z6:Z46)*'SHWLP-Att'!$R$34</f>
        <v>1.5833930753591692E-4</v>
      </c>
      <c r="Y198" s="1142">
        <f>SUM(ArchetypeDemand!AA6:AA46)*'SHWLP-Att'!$R$34</f>
        <v>2.0067303302205851E-4</v>
      </c>
      <c r="Z198" s="1142">
        <f>SUM(ArchetypeDemand!AB6:AB46)*'SHWLP-Att'!$R$34</f>
        <v>1.991334291261739E-5</v>
      </c>
      <c r="AA198" s="1142">
        <f>SUM(ArchetypeDemand!AC6:AC46)*'SHWLP-Att'!$R$34</f>
        <v>9.1062526028340288E-5</v>
      </c>
      <c r="AB198" s="1142">
        <f>SUM(ArchetypeDemand!AD6:AD46)*'SHWLP-Att'!$R$34</f>
        <v>3.9075592722787316E-5</v>
      </c>
      <c r="AC198" s="1142">
        <f>SUM(ArchetypeDemand!AE6:AE46)*'SHWLP-Att'!$R$34</f>
        <v>6.4658586221602812E-5</v>
      </c>
      <c r="AD198" s="1142">
        <f>SUM(ArchetypeDemand!AF6:AF46)*'SHWLP-Att'!$R$34</f>
        <v>5.6056282048544595E-5</v>
      </c>
      <c r="AE198" s="1142">
        <f>SUM(ArchetypeDemand!AG6:AG46)*'SHWLP-Att'!$R$34</f>
        <v>1.1551529725699435E-4</v>
      </c>
      <c r="AF198" s="1142">
        <f>SUM(ArchetypeDemand!AH6:AH46)*'SHWLP-Att'!$R$34</f>
        <v>4.8144454338197007E-5</v>
      </c>
    </row>
    <row r="199" spans="3:32" ht="15">
      <c r="C199" s="1137" t="s">
        <v>1123</v>
      </c>
      <c r="D199" s="1137"/>
      <c r="E199" s="1137"/>
      <c r="F199" s="1137"/>
      <c r="G199" s="1137"/>
      <c r="H199" s="1137"/>
      <c r="I199" s="1137"/>
      <c r="J199" s="1137"/>
      <c r="K199" s="1137"/>
      <c r="L199" s="1137"/>
      <c r="M199" s="1137"/>
      <c r="N199" s="1137"/>
      <c r="O199" s="1137"/>
      <c r="P199" s="1137"/>
      <c r="Q199" s="1137"/>
      <c r="R199" s="1137"/>
      <c r="S199" s="1137"/>
      <c r="T199" s="1137"/>
      <c r="U199" s="1137"/>
      <c r="V199" s="1137"/>
      <c r="W199" s="1137"/>
      <c r="X199" s="1137"/>
      <c r="Y199" s="1137"/>
      <c r="Z199" s="1137"/>
      <c r="AA199" s="1137"/>
      <c r="AB199" s="1137"/>
      <c r="AC199" s="1137"/>
      <c r="AD199" s="1137"/>
      <c r="AE199" s="1137"/>
      <c r="AF199" s="1137"/>
    </row>
    <row r="200" spans="3:32">
      <c r="C200" s="1145" t="s">
        <v>1137</v>
      </c>
      <c r="D200" s="1134" t="s">
        <v>1094</v>
      </c>
      <c r="E200" s="1134" t="s">
        <v>832</v>
      </c>
      <c r="F200" s="1134" t="s">
        <v>1096</v>
      </c>
      <c r="G200" s="1134">
        <f>SUMIFS(INDEX(ArchetypeDemand!$I$6:$AH$50,,MATCH($G$166,ArchetypeDemand!$I$4:$AH$4,0)),ArchetypeDemand!$F$6:$F$50,$F200)*'SHWLP-Att'!$R$9</f>
        <v>0</v>
      </c>
      <c r="H200" s="1134">
        <f>SUMIFS(INDEX(ArchetypeDemand!$I$6:$AH$50,,MATCH(H$166,ArchetypeDemand!$I$4:$AH$4,0)),ArchetypeDemand!$F$6:$F$50,$F200)*'SHWLP-Att'!$R$9</f>
        <v>0</v>
      </c>
      <c r="I200" s="1134">
        <f>SUMIFS(INDEX(ArchetypeDemand!$I$6:$AH$50,,MATCH(I$166,ArchetypeDemand!$I$4:$AH$4,0)),ArchetypeDemand!$F$6:$F$50,$F200)*'SHWLP-Att'!$R$9</f>
        <v>0</v>
      </c>
      <c r="J200" s="1134">
        <f>SUMIFS(INDEX(ArchetypeDemand!$I$6:$AH$50,,MATCH(J$166,ArchetypeDemand!$I$4:$AH$4,0)),ArchetypeDemand!$F$6:$F$50,$F200)*'SHWLP-Att'!$R$9</f>
        <v>0</v>
      </c>
      <c r="K200" s="1134">
        <f>SUMIFS(INDEX(ArchetypeDemand!$I$6:$AH$50,,MATCH(K$166,ArchetypeDemand!$I$4:$AH$4,0)),ArchetypeDemand!$F$6:$F$50,$F200)*'SHWLP-Att'!$R$9</f>
        <v>0</v>
      </c>
      <c r="L200" s="1134">
        <f>SUMIFS(INDEX(ArchetypeDemand!$I$6:$AH$50,,MATCH(L$166,ArchetypeDemand!$I$4:$AH$4,0)),ArchetypeDemand!$F$6:$F$50,$F200)*'SHWLP-Att'!$R$9</f>
        <v>0</v>
      </c>
      <c r="M200" s="1134">
        <f>SUMIFS(INDEX(ArchetypeDemand!$I$6:$AH$50,,MATCH(M$166,ArchetypeDemand!$I$4:$AH$4,0)),ArchetypeDemand!$F$6:$F$50,$F200)*'SHWLP-Att'!$R$9</f>
        <v>0</v>
      </c>
      <c r="N200" s="1134">
        <f>SUMIFS(INDEX(ArchetypeDemand!$I$6:$AH$50,,MATCH(N$166,ArchetypeDemand!$I$4:$AH$4,0)),ArchetypeDemand!$F$6:$F$50,$F200)*'SHWLP-Att'!$R$9</f>
        <v>0</v>
      </c>
      <c r="O200" s="1134">
        <f>SUMIFS(INDEX(ArchetypeDemand!$I$6:$AH$50,,MATCH(O$166,ArchetypeDemand!$I$4:$AH$4,0)),ArchetypeDemand!$F$6:$F$50,$F200)*'SHWLP-Att'!$R$9</f>
        <v>0</v>
      </c>
      <c r="P200" s="1134">
        <f>SUMIFS(INDEX(ArchetypeDemand!$I$6:$AH$50,,MATCH(P$166,ArchetypeDemand!$I$4:$AH$4,0)),ArchetypeDemand!$F$6:$F$50,$F200)*'SHWLP-Att'!$R$9</f>
        <v>0</v>
      </c>
      <c r="Q200" s="1134">
        <f>SUMIFS(INDEX(ArchetypeDemand!$I$6:$AH$50,,MATCH(Q$166,ArchetypeDemand!$I$4:$AH$4,0)),ArchetypeDemand!$F$6:$F$50,$F200)*'SHWLP-Att'!$R$9</f>
        <v>0</v>
      </c>
      <c r="R200" s="1134">
        <f>SUMIFS(INDEX(ArchetypeDemand!$I$6:$AH$50,,MATCH(R$166,ArchetypeDemand!$I$4:$AH$4,0)),ArchetypeDemand!$F$6:$F$50,$F200)*'SHWLP-Att'!$R$9</f>
        <v>0</v>
      </c>
      <c r="S200" s="1134">
        <f>SUMIFS(INDEX(ArchetypeDemand!$I$6:$AH$50,,MATCH(S$166,ArchetypeDemand!$I$4:$AH$4,0)),ArchetypeDemand!$F$6:$F$50,$F200)*'SHWLP-Att'!$R$9</f>
        <v>0</v>
      </c>
      <c r="T200" s="1134">
        <f>SUMIFS(INDEX(ArchetypeDemand!$I$6:$AH$50,,MATCH(T$166,ArchetypeDemand!$I$4:$AH$4,0)),ArchetypeDemand!$F$6:$F$50,$F200)*'SHWLP-Att'!$R$9</f>
        <v>0</v>
      </c>
      <c r="U200" s="1134">
        <f>SUMIFS(INDEX(ArchetypeDemand!$I$6:$AH$50,,MATCH(U$166,ArchetypeDemand!$I$4:$AH$4,0)),ArchetypeDemand!$F$6:$F$50,$F200)*'SHWLP-Att'!$R$9</f>
        <v>0</v>
      </c>
      <c r="V200" s="1134">
        <f>SUMIFS(INDEX(ArchetypeDemand!$I$6:$AH$50,,MATCH(V$166,ArchetypeDemand!$I$4:$AH$4,0)),ArchetypeDemand!$F$6:$F$50,$F200)*'SHWLP-Att'!$R$9</f>
        <v>0</v>
      </c>
      <c r="W200" s="1134">
        <f>SUMIFS(INDEX(ArchetypeDemand!$I$6:$AH$50,,MATCH(W$166,ArchetypeDemand!$I$4:$AH$4,0)),ArchetypeDemand!$F$6:$F$50,$F200)*'SHWLP-Att'!$R$9</f>
        <v>0</v>
      </c>
      <c r="X200" s="1134">
        <f>SUMIFS(INDEX(ArchetypeDemand!$I$6:$AH$50,,MATCH(X$166,ArchetypeDemand!$I$4:$AH$4,0)),ArchetypeDemand!$F$6:$F$50,$F200)*'SHWLP-Att'!$R$9</f>
        <v>0</v>
      </c>
      <c r="Y200" s="1134">
        <f>SUMIFS(INDEX(ArchetypeDemand!$I$6:$AH$50,,MATCH(Y$166,ArchetypeDemand!$I$4:$AH$4,0)),ArchetypeDemand!$F$6:$F$50,$F200)*'SHWLP-Att'!$R$9</f>
        <v>0</v>
      </c>
      <c r="Z200" s="1134">
        <f>SUMIFS(INDEX(ArchetypeDemand!$I$6:$AH$50,,MATCH(Z$166,ArchetypeDemand!$I$4:$AH$4,0)),ArchetypeDemand!$F$6:$F$50,$F200)*'SHWLP-Att'!$R$9</f>
        <v>0</v>
      </c>
      <c r="AA200" s="1134">
        <f>SUMIFS(INDEX(ArchetypeDemand!$I$6:$AH$50,,MATCH(AA$166,ArchetypeDemand!$I$4:$AH$4,0)),ArchetypeDemand!$F$6:$F$50,$F200)*'SHWLP-Att'!$R$9</f>
        <v>0</v>
      </c>
      <c r="AB200" s="1134">
        <f>SUMIFS(INDEX(ArchetypeDemand!$I$6:$AH$50,,MATCH(AB$166,ArchetypeDemand!$I$4:$AH$4,0)),ArchetypeDemand!$F$6:$F$50,$F200)*'SHWLP-Att'!$R$9</f>
        <v>0</v>
      </c>
      <c r="AC200" s="1134">
        <f>SUMIFS(INDEX(ArchetypeDemand!$I$6:$AH$50,,MATCH(AC$166,ArchetypeDemand!$I$4:$AH$4,0)),ArchetypeDemand!$F$6:$F$50,$F200)*'SHWLP-Att'!$R$9</f>
        <v>0</v>
      </c>
      <c r="AD200" s="1134">
        <f>SUMIFS(INDEX(ArchetypeDemand!$I$6:$AH$50,,MATCH(AD$166,ArchetypeDemand!$I$4:$AH$4,0)),ArchetypeDemand!$F$6:$F$50,$F200)*'SHWLP-Att'!$R$9</f>
        <v>0</v>
      </c>
      <c r="AE200" s="1134">
        <f>SUMIFS(INDEX(ArchetypeDemand!$I$6:$AH$50,,MATCH(AE$166,ArchetypeDemand!$I$4:$AH$4,0)),ArchetypeDemand!$F$6:$F$50,$F200)*'SHWLP-Att'!$R$9</f>
        <v>0</v>
      </c>
      <c r="AF200" s="1134">
        <f>SUMIFS(INDEX(ArchetypeDemand!$I$6:$AH$50,,MATCH(AF$166,ArchetypeDemand!$I$4:$AH$4,0)),ArchetypeDemand!$F$6:$F$50,$F200)*'SHWLP-Att'!$R$9</f>
        <v>0</v>
      </c>
    </row>
    <row r="201" spans="3:32">
      <c r="C201" s="1136" t="s">
        <v>1137</v>
      </c>
      <c r="D201" s="1136" t="s">
        <v>1094</v>
      </c>
      <c r="E201" s="1136" t="s">
        <v>832</v>
      </c>
      <c r="F201" s="1136" t="s">
        <v>1097</v>
      </c>
      <c r="G201" s="1136">
        <f>SUMIFS(INDEX(ArchetypeDemand!$I$6:$AH$50,,MATCH($G$166,ArchetypeDemand!$I$4:$AH$4,0)),ArchetypeDemand!$F$6:$F$50,$F201)*'SHWLP-Att'!$R$9</f>
        <v>0</v>
      </c>
      <c r="H201" s="1136">
        <f>SUMIFS(INDEX(ArchetypeDemand!$I$6:$AH$50,,MATCH(H$166,ArchetypeDemand!$I$4:$AH$4,0)),ArchetypeDemand!$F$6:$F$50,$F201)*'SHWLP-Att'!$R$9</f>
        <v>0</v>
      </c>
      <c r="I201" s="1136">
        <f>SUMIFS(INDEX(ArchetypeDemand!$I$6:$AH$50,,MATCH(I$166,ArchetypeDemand!$I$4:$AH$4,0)),ArchetypeDemand!$F$6:$F$50,$F201)*'SHWLP-Att'!$R$9</f>
        <v>0</v>
      </c>
      <c r="J201" s="1136">
        <f>SUMIFS(INDEX(ArchetypeDemand!$I$6:$AH$50,,MATCH(J$166,ArchetypeDemand!$I$4:$AH$4,0)),ArchetypeDemand!$F$6:$F$50,$F201)*'SHWLP-Att'!$R$9</f>
        <v>0</v>
      </c>
      <c r="K201" s="1136">
        <f>SUMIFS(INDEX(ArchetypeDemand!$I$6:$AH$50,,MATCH(K$166,ArchetypeDemand!$I$4:$AH$4,0)),ArchetypeDemand!$F$6:$F$50,$F201)*'SHWLP-Att'!$R$9</f>
        <v>0</v>
      </c>
      <c r="L201" s="1136">
        <f>SUMIFS(INDEX(ArchetypeDemand!$I$6:$AH$50,,MATCH(L$166,ArchetypeDemand!$I$4:$AH$4,0)),ArchetypeDemand!$F$6:$F$50,$F201)*'SHWLP-Att'!$R$9</f>
        <v>0</v>
      </c>
      <c r="M201" s="1136">
        <f>SUMIFS(INDEX(ArchetypeDemand!$I$6:$AH$50,,MATCH(M$166,ArchetypeDemand!$I$4:$AH$4,0)),ArchetypeDemand!$F$6:$F$50,$F201)*'SHWLP-Att'!$R$9</f>
        <v>0</v>
      </c>
      <c r="N201" s="1136">
        <f>SUMIFS(INDEX(ArchetypeDemand!$I$6:$AH$50,,MATCH(N$166,ArchetypeDemand!$I$4:$AH$4,0)),ArchetypeDemand!$F$6:$F$50,$F201)*'SHWLP-Att'!$R$9</f>
        <v>0</v>
      </c>
      <c r="O201" s="1136">
        <f>SUMIFS(INDEX(ArchetypeDemand!$I$6:$AH$50,,MATCH(O$166,ArchetypeDemand!$I$4:$AH$4,0)),ArchetypeDemand!$F$6:$F$50,$F201)*'SHWLP-Att'!$R$9</f>
        <v>0</v>
      </c>
      <c r="P201" s="1136">
        <f>SUMIFS(INDEX(ArchetypeDemand!$I$6:$AH$50,,MATCH(P$166,ArchetypeDemand!$I$4:$AH$4,0)),ArchetypeDemand!$F$6:$F$50,$F201)*'SHWLP-Att'!$R$9</f>
        <v>0</v>
      </c>
      <c r="Q201" s="1136">
        <f>SUMIFS(INDEX(ArchetypeDemand!$I$6:$AH$50,,MATCH(Q$166,ArchetypeDemand!$I$4:$AH$4,0)),ArchetypeDemand!$F$6:$F$50,$F201)*'SHWLP-Att'!$R$9</f>
        <v>0</v>
      </c>
      <c r="R201" s="1136">
        <f>SUMIFS(INDEX(ArchetypeDemand!$I$6:$AH$50,,MATCH(R$166,ArchetypeDemand!$I$4:$AH$4,0)),ArchetypeDemand!$F$6:$F$50,$F201)*'SHWLP-Att'!$R$9</f>
        <v>0</v>
      </c>
      <c r="S201" s="1136">
        <f>SUMIFS(INDEX(ArchetypeDemand!$I$6:$AH$50,,MATCH(S$166,ArchetypeDemand!$I$4:$AH$4,0)),ArchetypeDemand!$F$6:$F$50,$F201)*'SHWLP-Att'!$R$9</f>
        <v>0</v>
      </c>
      <c r="T201" s="1136">
        <f>SUMIFS(INDEX(ArchetypeDemand!$I$6:$AH$50,,MATCH(T$166,ArchetypeDemand!$I$4:$AH$4,0)),ArchetypeDemand!$F$6:$F$50,$F201)*'SHWLP-Att'!$R$9</f>
        <v>0</v>
      </c>
      <c r="U201" s="1136">
        <f>SUMIFS(INDEX(ArchetypeDemand!$I$6:$AH$50,,MATCH(U$166,ArchetypeDemand!$I$4:$AH$4,0)),ArchetypeDemand!$F$6:$F$50,$F201)*'SHWLP-Att'!$R$9</f>
        <v>0</v>
      </c>
      <c r="V201" s="1136">
        <f>SUMIFS(INDEX(ArchetypeDemand!$I$6:$AH$50,,MATCH(V$166,ArchetypeDemand!$I$4:$AH$4,0)),ArchetypeDemand!$F$6:$F$50,$F201)*'SHWLP-Att'!$R$9</f>
        <v>0</v>
      </c>
      <c r="W201" s="1136">
        <f>SUMIFS(INDEX(ArchetypeDemand!$I$6:$AH$50,,MATCH(W$166,ArchetypeDemand!$I$4:$AH$4,0)),ArchetypeDemand!$F$6:$F$50,$F201)*'SHWLP-Att'!$R$9</f>
        <v>0</v>
      </c>
      <c r="X201" s="1136">
        <f>SUMIFS(INDEX(ArchetypeDemand!$I$6:$AH$50,,MATCH(X$166,ArchetypeDemand!$I$4:$AH$4,0)),ArchetypeDemand!$F$6:$F$50,$F201)*'SHWLP-Att'!$R$9</f>
        <v>0</v>
      </c>
      <c r="Y201" s="1136">
        <f>SUMIFS(INDEX(ArchetypeDemand!$I$6:$AH$50,,MATCH(Y$166,ArchetypeDemand!$I$4:$AH$4,0)),ArchetypeDemand!$F$6:$F$50,$F201)*'SHWLP-Att'!$R$9</f>
        <v>0</v>
      </c>
      <c r="Z201" s="1136">
        <f>SUMIFS(INDEX(ArchetypeDemand!$I$6:$AH$50,,MATCH(Z$166,ArchetypeDemand!$I$4:$AH$4,0)),ArchetypeDemand!$F$6:$F$50,$F201)*'SHWLP-Att'!$R$9</f>
        <v>0</v>
      </c>
      <c r="AA201" s="1136">
        <f>SUMIFS(INDEX(ArchetypeDemand!$I$6:$AH$50,,MATCH(AA$166,ArchetypeDemand!$I$4:$AH$4,0)),ArchetypeDemand!$F$6:$F$50,$F201)*'SHWLP-Att'!$R$9</f>
        <v>0</v>
      </c>
      <c r="AB201" s="1136">
        <f>SUMIFS(INDEX(ArchetypeDemand!$I$6:$AH$50,,MATCH(AB$166,ArchetypeDemand!$I$4:$AH$4,0)),ArchetypeDemand!$F$6:$F$50,$F201)*'SHWLP-Att'!$R$9</f>
        <v>0</v>
      </c>
      <c r="AC201" s="1136">
        <f>SUMIFS(INDEX(ArchetypeDemand!$I$6:$AH$50,,MATCH(AC$166,ArchetypeDemand!$I$4:$AH$4,0)),ArchetypeDemand!$F$6:$F$50,$F201)*'SHWLP-Att'!$R$9</f>
        <v>0</v>
      </c>
      <c r="AD201" s="1136">
        <f>SUMIFS(INDEX(ArchetypeDemand!$I$6:$AH$50,,MATCH(AD$166,ArchetypeDemand!$I$4:$AH$4,0)),ArchetypeDemand!$F$6:$F$50,$F201)*'SHWLP-Att'!$R$9</f>
        <v>0</v>
      </c>
      <c r="AE201" s="1136">
        <f>SUMIFS(INDEX(ArchetypeDemand!$I$6:$AH$50,,MATCH(AE$166,ArchetypeDemand!$I$4:$AH$4,0)),ArchetypeDemand!$F$6:$F$50,$F201)*'SHWLP-Att'!$R$9</f>
        <v>0</v>
      </c>
      <c r="AF201" s="1136">
        <f>SUMIFS(INDEX(ArchetypeDemand!$I$6:$AH$50,,MATCH(AF$166,ArchetypeDemand!$I$4:$AH$4,0)),ArchetypeDemand!$F$6:$F$50,$F201)*'SHWLP-Att'!$R$9</f>
        <v>0</v>
      </c>
    </row>
    <row r="202" spans="3:32">
      <c r="C202" s="1134" t="s">
        <v>1137</v>
      </c>
      <c r="D202" s="1134" t="s">
        <v>1094</v>
      </c>
      <c r="E202" s="1134" t="s">
        <v>832</v>
      </c>
      <c r="F202" s="1134" t="s">
        <v>1098</v>
      </c>
      <c r="G202" s="1134">
        <f>SUMIFS(INDEX(ArchetypeDemand!$I$6:$AH$50,,MATCH($G$166,ArchetypeDemand!$I$4:$AH$4,0)),ArchetypeDemand!$F$6:$F$50,$F202)*'SHWLP-Att'!$R$9</f>
        <v>0</v>
      </c>
      <c r="H202" s="1134">
        <f>SUMIFS(INDEX(ArchetypeDemand!$I$6:$AH$50,,MATCH(H$166,ArchetypeDemand!$I$4:$AH$4,0)),ArchetypeDemand!$F$6:$F$50,$F202)*'SHWLP-Att'!$R$9</f>
        <v>0</v>
      </c>
      <c r="I202" s="1134">
        <f>SUMIFS(INDEX(ArchetypeDemand!$I$6:$AH$50,,MATCH(I$166,ArchetypeDemand!$I$4:$AH$4,0)),ArchetypeDemand!$F$6:$F$50,$F202)*'SHWLP-Att'!$R$9</f>
        <v>0</v>
      </c>
      <c r="J202" s="1134">
        <f>SUMIFS(INDEX(ArchetypeDemand!$I$6:$AH$50,,MATCH(J$166,ArchetypeDemand!$I$4:$AH$4,0)),ArchetypeDemand!$F$6:$F$50,$F202)*'SHWLP-Att'!$R$9</f>
        <v>0</v>
      </c>
      <c r="K202" s="1134">
        <f>SUMIFS(INDEX(ArchetypeDemand!$I$6:$AH$50,,MATCH(K$166,ArchetypeDemand!$I$4:$AH$4,0)),ArchetypeDemand!$F$6:$F$50,$F202)*'SHWLP-Att'!$R$9</f>
        <v>0</v>
      </c>
      <c r="L202" s="1134">
        <f>SUMIFS(INDEX(ArchetypeDemand!$I$6:$AH$50,,MATCH(L$166,ArchetypeDemand!$I$4:$AH$4,0)),ArchetypeDemand!$F$6:$F$50,$F202)*'SHWLP-Att'!$R$9</f>
        <v>0</v>
      </c>
      <c r="M202" s="1134">
        <f>SUMIFS(INDEX(ArchetypeDemand!$I$6:$AH$50,,MATCH(M$166,ArchetypeDemand!$I$4:$AH$4,0)),ArchetypeDemand!$F$6:$F$50,$F202)*'SHWLP-Att'!$R$9</f>
        <v>0</v>
      </c>
      <c r="N202" s="1134">
        <f>SUMIFS(INDEX(ArchetypeDemand!$I$6:$AH$50,,MATCH(N$166,ArchetypeDemand!$I$4:$AH$4,0)),ArchetypeDemand!$F$6:$F$50,$F202)*'SHWLP-Att'!$R$9</f>
        <v>0</v>
      </c>
      <c r="O202" s="1134">
        <f>SUMIFS(INDEX(ArchetypeDemand!$I$6:$AH$50,,MATCH(O$166,ArchetypeDemand!$I$4:$AH$4,0)),ArchetypeDemand!$F$6:$F$50,$F202)*'SHWLP-Att'!$R$9</f>
        <v>0</v>
      </c>
      <c r="P202" s="1134">
        <f>SUMIFS(INDEX(ArchetypeDemand!$I$6:$AH$50,,MATCH(P$166,ArchetypeDemand!$I$4:$AH$4,0)),ArchetypeDemand!$F$6:$F$50,$F202)*'SHWLP-Att'!$R$9</f>
        <v>0</v>
      </c>
      <c r="Q202" s="1134">
        <f>SUMIFS(INDEX(ArchetypeDemand!$I$6:$AH$50,,MATCH(Q$166,ArchetypeDemand!$I$4:$AH$4,0)),ArchetypeDemand!$F$6:$F$50,$F202)*'SHWLP-Att'!$R$9</f>
        <v>0</v>
      </c>
      <c r="R202" s="1134">
        <f>SUMIFS(INDEX(ArchetypeDemand!$I$6:$AH$50,,MATCH(R$166,ArchetypeDemand!$I$4:$AH$4,0)),ArchetypeDemand!$F$6:$F$50,$F202)*'SHWLP-Att'!$R$9</f>
        <v>0</v>
      </c>
      <c r="S202" s="1134">
        <f>SUMIFS(INDEX(ArchetypeDemand!$I$6:$AH$50,,MATCH(S$166,ArchetypeDemand!$I$4:$AH$4,0)),ArchetypeDemand!$F$6:$F$50,$F202)*'SHWLP-Att'!$R$9</f>
        <v>0</v>
      </c>
      <c r="T202" s="1134">
        <f>SUMIFS(INDEX(ArchetypeDemand!$I$6:$AH$50,,MATCH(T$166,ArchetypeDemand!$I$4:$AH$4,0)),ArchetypeDemand!$F$6:$F$50,$F202)*'SHWLP-Att'!$R$9</f>
        <v>0</v>
      </c>
      <c r="U202" s="1134">
        <f>SUMIFS(INDEX(ArchetypeDemand!$I$6:$AH$50,,MATCH(U$166,ArchetypeDemand!$I$4:$AH$4,0)),ArchetypeDemand!$F$6:$F$50,$F202)*'SHWLP-Att'!$R$9</f>
        <v>0</v>
      </c>
      <c r="V202" s="1134">
        <f>SUMIFS(INDEX(ArchetypeDemand!$I$6:$AH$50,,MATCH(V$166,ArchetypeDemand!$I$4:$AH$4,0)),ArchetypeDemand!$F$6:$F$50,$F202)*'SHWLP-Att'!$R$9</f>
        <v>0</v>
      </c>
      <c r="W202" s="1134">
        <f>SUMIFS(INDEX(ArchetypeDemand!$I$6:$AH$50,,MATCH(W$166,ArchetypeDemand!$I$4:$AH$4,0)),ArchetypeDemand!$F$6:$F$50,$F202)*'SHWLP-Att'!$R$9</f>
        <v>0</v>
      </c>
      <c r="X202" s="1134">
        <f>SUMIFS(INDEX(ArchetypeDemand!$I$6:$AH$50,,MATCH(X$166,ArchetypeDemand!$I$4:$AH$4,0)),ArchetypeDemand!$F$6:$F$50,$F202)*'SHWLP-Att'!$R$9</f>
        <v>0</v>
      </c>
      <c r="Y202" s="1134">
        <f>SUMIFS(INDEX(ArchetypeDemand!$I$6:$AH$50,,MATCH(Y$166,ArchetypeDemand!$I$4:$AH$4,0)),ArchetypeDemand!$F$6:$F$50,$F202)*'SHWLP-Att'!$R$9</f>
        <v>0</v>
      </c>
      <c r="Z202" s="1134">
        <f>SUMIFS(INDEX(ArchetypeDemand!$I$6:$AH$50,,MATCH(Z$166,ArchetypeDemand!$I$4:$AH$4,0)),ArchetypeDemand!$F$6:$F$50,$F202)*'SHWLP-Att'!$R$9</f>
        <v>0</v>
      </c>
      <c r="AA202" s="1134">
        <f>SUMIFS(INDEX(ArchetypeDemand!$I$6:$AH$50,,MATCH(AA$166,ArchetypeDemand!$I$4:$AH$4,0)),ArchetypeDemand!$F$6:$F$50,$F202)*'SHWLP-Att'!$R$9</f>
        <v>0</v>
      </c>
      <c r="AB202" s="1134">
        <f>SUMIFS(INDEX(ArchetypeDemand!$I$6:$AH$50,,MATCH(AB$166,ArchetypeDemand!$I$4:$AH$4,0)),ArchetypeDemand!$F$6:$F$50,$F202)*'SHWLP-Att'!$R$9</f>
        <v>0</v>
      </c>
      <c r="AC202" s="1134">
        <f>SUMIFS(INDEX(ArchetypeDemand!$I$6:$AH$50,,MATCH(AC$166,ArchetypeDemand!$I$4:$AH$4,0)),ArchetypeDemand!$F$6:$F$50,$F202)*'SHWLP-Att'!$R$9</f>
        <v>0</v>
      </c>
      <c r="AD202" s="1134">
        <f>SUMIFS(INDEX(ArchetypeDemand!$I$6:$AH$50,,MATCH(AD$166,ArchetypeDemand!$I$4:$AH$4,0)),ArchetypeDemand!$F$6:$F$50,$F202)*'SHWLP-Att'!$R$9</f>
        <v>0</v>
      </c>
      <c r="AE202" s="1134">
        <f>SUMIFS(INDEX(ArchetypeDemand!$I$6:$AH$50,,MATCH(AE$166,ArchetypeDemand!$I$4:$AH$4,0)),ArchetypeDemand!$F$6:$F$50,$F202)*'SHWLP-Att'!$R$9</f>
        <v>0</v>
      </c>
      <c r="AF202" s="1134">
        <f>SUMIFS(INDEX(ArchetypeDemand!$I$6:$AH$50,,MATCH(AF$166,ArchetypeDemand!$I$4:$AH$4,0)),ArchetypeDemand!$F$6:$F$50,$F202)*'SHWLP-Att'!$R$9</f>
        <v>0</v>
      </c>
    </row>
    <row r="203" spans="3:32">
      <c r="C203" s="1136" t="s">
        <v>1137</v>
      </c>
      <c r="D203" s="1136" t="s">
        <v>1094</v>
      </c>
      <c r="E203" s="1136" t="s">
        <v>832</v>
      </c>
      <c r="F203" s="1136" t="s">
        <v>1099</v>
      </c>
      <c r="G203" s="1136">
        <f>SUMIFS(INDEX(ArchetypeDemand!$I$6:$AH$50,,MATCH($G$166,ArchetypeDemand!$I$4:$AH$4,0)),ArchetypeDemand!$F$6:$F$50,$F203)*'SHWLP-Att'!$R$9</f>
        <v>0</v>
      </c>
      <c r="H203" s="1136">
        <f>SUMIFS(INDEX(ArchetypeDemand!$I$6:$AH$50,,MATCH($H$166,ArchetypeDemand!$I$4:$AH$4,0)),ArchetypeDemand!$F$6:$F$50,$F203)*'SHWLP-Att'!$R$9</f>
        <v>0</v>
      </c>
      <c r="I203" s="1136">
        <f>SUMIFS(INDEX(ArchetypeDemand!$I$6:$AH$50,,MATCH(I$166,ArchetypeDemand!$I$4:$AH$4,0)),ArchetypeDemand!$F$6:$F$50,$F203)*'SHWLP-Att'!$R$9</f>
        <v>0</v>
      </c>
      <c r="J203" s="1136">
        <f>SUMIFS(INDEX(ArchetypeDemand!$I$6:$AH$50,,MATCH(J$166,ArchetypeDemand!$I$4:$AH$4,0)),ArchetypeDemand!$F$6:$F$50,$F203)*'SHWLP-Att'!$R$9</f>
        <v>0</v>
      </c>
      <c r="K203" s="1136">
        <f>SUMIFS(INDEX(ArchetypeDemand!$I$6:$AH$50,,MATCH(K$166,ArchetypeDemand!$I$4:$AH$4,0)),ArchetypeDemand!$F$6:$F$50,$F203)*'SHWLP-Att'!$R$9</f>
        <v>0</v>
      </c>
      <c r="L203" s="1136">
        <f>SUMIFS(INDEX(ArchetypeDemand!$I$6:$AH$50,,MATCH(L$166,ArchetypeDemand!$I$4:$AH$4,0)),ArchetypeDemand!$F$6:$F$50,$F203)*'SHWLP-Att'!$R$9</f>
        <v>0</v>
      </c>
      <c r="M203" s="1136">
        <f>SUMIFS(INDEX(ArchetypeDemand!$I$6:$AH$50,,MATCH(M$166,ArchetypeDemand!$I$4:$AH$4,0)),ArchetypeDemand!$F$6:$F$50,$F203)*'SHWLP-Att'!$R$9</f>
        <v>0</v>
      </c>
      <c r="N203" s="1136">
        <f>SUMIFS(INDEX(ArchetypeDemand!$I$6:$AH$50,,MATCH(N$166,ArchetypeDemand!$I$4:$AH$4,0)),ArchetypeDemand!$F$6:$F$50,$F203)*'SHWLP-Att'!$R$9</f>
        <v>0</v>
      </c>
      <c r="O203" s="1136">
        <f>SUMIFS(INDEX(ArchetypeDemand!$I$6:$AH$50,,MATCH(O$166,ArchetypeDemand!$I$4:$AH$4,0)),ArchetypeDemand!$F$6:$F$50,$F203)*'SHWLP-Att'!$R$9</f>
        <v>0</v>
      </c>
      <c r="P203" s="1136">
        <f>SUMIFS(INDEX(ArchetypeDemand!$I$6:$AH$50,,MATCH(P$166,ArchetypeDemand!$I$4:$AH$4,0)),ArchetypeDemand!$F$6:$F$50,$F203)*'SHWLP-Att'!$R$9</f>
        <v>0</v>
      </c>
      <c r="Q203" s="1136">
        <f>SUMIFS(INDEX(ArchetypeDemand!$I$6:$AH$50,,MATCH(Q$166,ArchetypeDemand!$I$4:$AH$4,0)),ArchetypeDemand!$F$6:$F$50,$F203)*'SHWLP-Att'!$R$9</f>
        <v>0</v>
      </c>
      <c r="R203" s="1136">
        <f>SUMIFS(INDEX(ArchetypeDemand!$I$6:$AH$50,,MATCH(R$166,ArchetypeDemand!$I$4:$AH$4,0)),ArchetypeDemand!$F$6:$F$50,$F203)*'SHWLP-Att'!$R$9</f>
        <v>0</v>
      </c>
      <c r="S203" s="1136">
        <f>SUMIFS(INDEX(ArchetypeDemand!$I$6:$AH$50,,MATCH(S$166,ArchetypeDemand!$I$4:$AH$4,0)),ArchetypeDemand!$F$6:$F$50,$F203)*'SHWLP-Att'!$R$9</f>
        <v>0</v>
      </c>
      <c r="T203" s="1136">
        <f>SUMIFS(INDEX(ArchetypeDemand!$I$6:$AH$50,,MATCH(T$166,ArchetypeDemand!$I$4:$AH$4,0)),ArchetypeDemand!$F$6:$F$50,$F203)*'SHWLP-Att'!$R$9</f>
        <v>0</v>
      </c>
      <c r="U203" s="1136">
        <f>SUMIFS(INDEX(ArchetypeDemand!$I$6:$AH$50,,MATCH(U$166,ArchetypeDemand!$I$4:$AH$4,0)),ArchetypeDemand!$F$6:$F$50,$F203)*'SHWLP-Att'!$R$9</f>
        <v>0</v>
      </c>
      <c r="V203" s="1136">
        <f>SUMIFS(INDEX(ArchetypeDemand!$I$6:$AH$50,,MATCH(V$166,ArchetypeDemand!$I$4:$AH$4,0)),ArchetypeDemand!$F$6:$F$50,$F203)*'SHWLP-Att'!$R$9</f>
        <v>0</v>
      </c>
      <c r="W203" s="1136">
        <f>SUMIFS(INDEX(ArchetypeDemand!$I$6:$AH$50,,MATCH(W$166,ArchetypeDemand!$I$4:$AH$4,0)),ArchetypeDemand!$F$6:$F$50,$F203)*'SHWLP-Att'!$R$9</f>
        <v>0</v>
      </c>
      <c r="X203" s="1136">
        <f>SUMIFS(INDEX(ArchetypeDemand!$I$6:$AH$50,,MATCH(X$166,ArchetypeDemand!$I$4:$AH$4,0)),ArchetypeDemand!$F$6:$F$50,$F203)*'SHWLP-Att'!$R$9</f>
        <v>0</v>
      </c>
      <c r="Y203" s="1136">
        <f>SUMIFS(INDEX(ArchetypeDemand!$I$6:$AH$50,,MATCH(Y$166,ArchetypeDemand!$I$4:$AH$4,0)),ArchetypeDemand!$F$6:$F$50,$F203)*'SHWLP-Att'!$R$9</f>
        <v>0</v>
      </c>
      <c r="Z203" s="1136">
        <f>SUMIFS(INDEX(ArchetypeDemand!$I$6:$AH$50,,MATCH(Z$166,ArchetypeDemand!$I$4:$AH$4,0)),ArchetypeDemand!$F$6:$F$50,$F203)*'SHWLP-Att'!$R$9</f>
        <v>0</v>
      </c>
      <c r="AA203" s="1136">
        <f>SUMIFS(INDEX(ArchetypeDemand!$I$6:$AH$50,,MATCH(AA$166,ArchetypeDemand!$I$4:$AH$4,0)),ArchetypeDemand!$F$6:$F$50,$F203)*'SHWLP-Att'!$R$9</f>
        <v>0</v>
      </c>
      <c r="AB203" s="1136">
        <f>SUMIFS(INDEX(ArchetypeDemand!$I$6:$AH$50,,MATCH(AB$166,ArchetypeDemand!$I$4:$AH$4,0)),ArchetypeDemand!$F$6:$F$50,$F203)*'SHWLP-Att'!$R$9</f>
        <v>0</v>
      </c>
      <c r="AC203" s="1136">
        <f>SUMIFS(INDEX(ArchetypeDemand!$I$6:$AH$50,,MATCH(AC$166,ArchetypeDemand!$I$4:$AH$4,0)),ArchetypeDemand!$F$6:$F$50,$F203)*'SHWLP-Att'!$R$9</f>
        <v>0</v>
      </c>
      <c r="AD203" s="1136">
        <f>SUMIFS(INDEX(ArchetypeDemand!$I$6:$AH$50,,MATCH(AD$166,ArchetypeDemand!$I$4:$AH$4,0)),ArchetypeDemand!$F$6:$F$50,$F203)*'SHWLP-Att'!$R$9</f>
        <v>0</v>
      </c>
      <c r="AE203" s="1136">
        <f>SUMIFS(INDEX(ArchetypeDemand!$I$6:$AH$50,,MATCH(AE$166,ArchetypeDemand!$I$4:$AH$4,0)),ArchetypeDemand!$F$6:$F$50,$F203)*'SHWLP-Att'!$R$9</f>
        <v>0</v>
      </c>
      <c r="AF203" s="1136">
        <f>SUMIFS(INDEX(ArchetypeDemand!$I$6:$AH$50,,MATCH(AF$166,ArchetypeDemand!$I$4:$AH$4,0)),ArchetypeDemand!$F$6:$F$50,$F203)*'SHWLP-Att'!$R$9</f>
        <v>0</v>
      </c>
    </row>
    <row r="204" spans="3:32">
      <c r="C204" s="1134" t="s">
        <v>1137</v>
      </c>
      <c r="D204" s="1134" t="s">
        <v>1094</v>
      </c>
      <c r="E204" s="1134" t="s">
        <v>832</v>
      </c>
      <c r="F204" s="1134" t="s">
        <v>1100</v>
      </c>
      <c r="G204" s="1134">
        <f>SUMIFS(INDEX(ArchetypeDemand!$I$6:$AH$50,,MATCH($G$166,ArchetypeDemand!$I$4:$AH$4,0)),ArchetypeDemand!$F$6:$F$50,$F204)*'SHWLP-Att'!$R$9</f>
        <v>0</v>
      </c>
      <c r="H204" s="1134">
        <f>SUMIFS(INDEX(ArchetypeDemand!$I$6:$AH$50,,MATCH($H$166,ArchetypeDemand!$I$4:$AH$4,0)),ArchetypeDemand!$F$6:$F$50,$F204)*'SHWLP-Att'!$R$9</f>
        <v>0</v>
      </c>
      <c r="I204" s="1134">
        <f>SUMIFS(INDEX(ArchetypeDemand!$I$6:$AH$50,,MATCH(I$166,ArchetypeDemand!$I$4:$AH$4,0)),ArchetypeDemand!$F$6:$F$50,$F204)*'SHWLP-Att'!$R$9</f>
        <v>0</v>
      </c>
      <c r="J204" s="1134">
        <f>SUMIFS(INDEX(ArchetypeDemand!$I$6:$AH$50,,MATCH(J$166,ArchetypeDemand!$I$4:$AH$4,0)),ArchetypeDemand!$F$6:$F$50,$F204)*'SHWLP-Att'!$R$9</f>
        <v>0</v>
      </c>
      <c r="K204" s="1134">
        <f>SUMIFS(INDEX(ArchetypeDemand!$I$6:$AH$50,,MATCH(K$166,ArchetypeDemand!$I$4:$AH$4,0)),ArchetypeDemand!$F$6:$F$50,$F204)*'SHWLP-Att'!$R$9</f>
        <v>0</v>
      </c>
      <c r="L204" s="1134">
        <f>SUMIFS(INDEX(ArchetypeDemand!$I$6:$AH$50,,MATCH(L$166,ArchetypeDemand!$I$4:$AH$4,0)),ArchetypeDemand!$F$6:$F$50,$F204)*'SHWLP-Att'!$R$9</f>
        <v>0</v>
      </c>
      <c r="M204" s="1134">
        <f>SUMIFS(INDEX(ArchetypeDemand!$I$6:$AH$50,,MATCH(M$166,ArchetypeDemand!$I$4:$AH$4,0)),ArchetypeDemand!$F$6:$F$50,$F204)*'SHWLP-Att'!$R$9</f>
        <v>0</v>
      </c>
      <c r="N204" s="1134">
        <f>SUMIFS(INDEX(ArchetypeDemand!$I$6:$AH$50,,MATCH(N$166,ArchetypeDemand!$I$4:$AH$4,0)),ArchetypeDemand!$F$6:$F$50,$F204)*'SHWLP-Att'!$R$9</f>
        <v>0</v>
      </c>
      <c r="O204" s="1134">
        <f>SUMIFS(INDEX(ArchetypeDemand!$I$6:$AH$50,,MATCH(O$166,ArchetypeDemand!$I$4:$AH$4,0)),ArchetypeDemand!$F$6:$F$50,$F204)*'SHWLP-Att'!$R$9</f>
        <v>0</v>
      </c>
      <c r="P204" s="1134">
        <f>SUMIFS(INDEX(ArchetypeDemand!$I$6:$AH$50,,MATCH(P$166,ArchetypeDemand!$I$4:$AH$4,0)),ArchetypeDemand!$F$6:$F$50,$F204)*'SHWLP-Att'!$R$9</f>
        <v>0</v>
      </c>
      <c r="Q204" s="1134">
        <f>SUMIFS(INDEX(ArchetypeDemand!$I$6:$AH$50,,MATCH(Q$166,ArchetypeDemand!$I$4:$AH$4,0)),ArchetypeDemand!$F$6:$F$50,$F204)*'SHWLP-Att'!$R$9</f>
        <v>0</v>
      </c>
      <c r="R204" s="1134">
        <f>SUMIFS(INDEX(ArchetypeDemand!$I$6:$AH$50,,MATCH(R$166,ArchetypeDemand!$I$4:$AH$4,0)),ArchetypeDemand!$F$6:$F$50,$F204)*'SHWLP-Att'!$R$9</f>
        <v>0</v>
      </c>
      <c r="S204" s="1134">
        <f>SUMIFS(INDEX(ArchetypeDemand!$I$6:$AH$50,,MATCH(S$166,ArchetypeDemand!$I$4:$AH$4,0)),ArchetypeDemand!$F$6:$F$50,$F204)*'SHWLP-Att'!$R$9</f>
        <v>0</v>
      </c>
      <c r="T204" s="1134">
        <f>SUMIFS(INDEX(ArchetypeDemand!$I$6:$AH$50,,MATCH(T$166,ArchetypeDemand!$I$4:$AH$4,0)),ArchetypeDemand!$F$6:$F$50,$F204)*'SHWLP-Att'!$R$9</f>
        <v>0</v>
      </c>
      <c r="U204" s="1134">
        <f>SUMIFS(INDEX(ArchetypeDemand!$I$6:$AH$50,,MATCH(U$166,ArchetypeDemand!$I$4:$AH$4,0)),ArchetypeDemand!$F$6:$F$50,$F204)*'SHWLP-Att'!$R$9</f>
        <v>0</v>
      </c>
      <c r="V204" s="1134">
        <f>SUMIFS(INDEX(ArchetypeDemand!$I$6:$AH$50,,MATCH(V$166,ArchetypeDemand!$I$4:$AH$4,0)),ArchetypeDemand!$F$6:$F$50,$F204)*'SHWLP-Att'!$R$9</f>
        <v>0</v>
      </c>
      <c r="W204" s="1134">
        <f>SUMIFS(INDEX(ArchetypeDemand!$I$6:$AH$50,,MATCH(W$166,ArchetypeDemand!$I$4:$AH$4,0)),ArchetypeDemand!$F$6:$F$50,$F204)*'SHWLP-Att'!$R$9</f>
        <v>0</v>
      </c>
      <c r="X204" s="1134">
        <f>SUMIFS(INDEX(ArchetypeDemand!$I$6:$AH$50,,MATCH(X$166,ArchetypeDemand!$I$4:$AH$4,0)),ArchetypeDemand!$F$6:$F$50,$F204)*'SHWLP-Att'!$R$9</f>
        <v>0</v>
      </c>
      <c r="Y204" s="1134">
        <f>SUMIFS(INDEX(ArchetypeDemand!$I$6:$AH$50,,MATCH(Y$166,ArchetypeDemand!$I$4:$AH$4,0)),ArchetypeDemand!$F$6:$F$50,$F204)*'SHWLP-Att'!$R$9</f>
        <v>0</v>
      </c>
      <c r="Z204" s="1134">
        <f>SUMIFS(INDEX(ArchetypeDemand!$I$6:$AH$50,,MATCH(Z$166,ArchetypeDemand!$I$4:$AH$4,0)),ArchetypeDemand!$F$6:$F$50,$F204)*'SHWLP-Att'!$R$9</f>
        <v>0</v>
      </c>
      <c r="AA204" s="1134">
        <f>SUMIFS(INDEX(ArchetypeDemand!$I$6:$AH$50,,MATCH(AA$166,ArchetypeDemand!$I$4:$AH$4,0)),ArchetypeDemand!$F$6:$F$50,$F204)*'SHWLP-Att'!$R$9</f>
        <v>0</v>
      </c>
      <c r="AB204" s="1134">
        <f>SUMIFS(INDEX(ArchetypeDemand!$I$6:$AH$50,,MATCH(AB$166,ArchetypeDemand!$I$4:$AH$4,0)),ArchetypeDemand!$F$6:$F$50,$F204)*'SHWLP-Att'!$R$9</f>
        <v>0</v>
      </c>
      <c r="AC204" s="1134">
        <f>SUMIFS(INDEX(ArchetypeDemand!$I$6:$AH$50,,MATCH(AC$166,ArchetypeDemand!$I$4:$AH$4,0)),ArchetypeDemand!$F$6:$F$50,$F204)*'SHWLP-Att'!$R$9</f>
        <v>0</v>
      </c>
      <c r="AD204" s="1134">
        <f>SUMIFS(INDEX(ArchetypeDemand!$I$6:$AH$50,,MATCH(AD$166,ArchetypeDemand!$I$4:$AH$4,0)),ArchetypeDemand!$F$6:$F$50,$F204)*'SHWLP-Att'!$R$9</f>
        <v>0</v>
      </c>
      <c r="AE204" s="1134">
        <f>SUMIFS(INDEX(ArchetypeDemand!$I$6:$AH$50,,MATCH(AE$166,ArchetypeDemand!$I$4:$AH$4,0)),ArchetypeDemand!$F$6:$F$50,$F204)*'SHWLP-Att'!$R$9</f>
        <v>0</v>
      </c>
      <c r="AF204" s="1134">
        <f>SUMIFS(INDEX(ArchetypeDemand!$I$6:$AH$50,,MATCH(AF$166,ArchetypeDemand!$I$4:$AH$4,0)),ArchetypeDemand!$F$6:$F$50,$F204)*'SHWLP-Att'!$R$9</f>
        <v>0</v>
      </c>
    </row>
    <row r="205" spans="3:32" ht="13.5" thickBot="1">
      <c r="C205" s="1138" t="s">
        <v>1137</v>
      </c>
      <c r="D205" s="1138" t="s">
        <v>1094</v>
      </c>
      <c r="E205" s="1138" t="s">
        <v>832</v>
      </c>
      <c r="F205" s="1138" t="s">
        <v>1101</v>
      </c>
      <c r="G205" s="1138">
        <f>SUMIFS(INDEX(ArchetypeDemand!$I$6:$AH$50,,MATCH($G$166,ArchetypeDemand!$I$4:$AH$4,0)),ArchetypeDemand!$F$6:$F$50,$F205)*'SHWLP-Att'!$R$9</f>
        <v>0</v>
      </c>
      <c r="H205" s="1138">
        <f>SUMIFS(INDEX(ArchetypeDemand!$I$6:$AH$50,,MATCH($H$166,ArchetypeDemand!$I$4:$AH$4,0)),ArchetypeDemand!$F$6:$F$50,$F205)*'SHWLP-Att'!$R$9</f>
        <v>0</v>
      </c>
      <c r="I205" s="1138">
        <f>SUMIFS(INDEX(ArchetypeDemand!$I$6:$AH$50,,MATCH(I$166,ArchetypeDemand!$I$4:$AH$4,0)),ArchetypeDemand!$F$6:$F$50,$F205)*'SHWLP-Att'!$R$9</f>
        <v>0</v>
      </c>
      <c r="J205" s="1138">
        <f>SUMIFS(INDEX(ArchetypeDemand!$I$6:$AH$50,,MATCH(J$166,ArchetypeDemand!$I$4:$AH$4,0)),ArchetypeDemand!$F$6:$F$50,$F205)*'SHWLP-Att'!$R$9</f>
        <v>0</v>
      </c>
      <c r="K205" s="1138">
        <f>SUMIFS(INDEX(ArchetypeDemand!$I$6:$AH$50,,MATCH(K$166,ArchetypeDemand!$I$4:$AH$4,0)),ArchetypeDemand!$F$6:$F$50,$F205)*'SHWLP-Att'!$R$9</f>
        <v>0</v>
      </c>
      <c r="L205" s="1138">
        <f>SUMIFS(INDEX(ArchetypeDemand!$I$6:$AH$50,,MATCH(L$166,ArchetypeDemand!$I$4:$AH$4,0)),ArchetypeDemand!$F$6:$F$50,$F205)*'SHWLP-Att'!$R$9</f>
        <v>0</v>
      </c>
      <c r="M205" s="1138">
        <f>SUMIFS(INDEX(ArchetypeDemand!$I$6:$AH$50,,MATCH(M$166,ArchetypeDemand!$I$4:$AH$4,0)),ArchetypeDemand!$F$6:$F$50,$F205)*'SHWLP-Att'!$R$9</f>
        <v>0</v>
      </c>
      <c r="N205" s="1138">
        <f>SUMIFS(INDEX(ArchetypeDemand!$I$6:$AH$50,,MATCH(N$166,ArchetypeDemand!$I$4:$AH$4,0)),ArchetypeDemand!$F$6:$F$50,$F205)*'SHWLP-Att'!$R$9</f>
        <v>0</v>
      </c>
      <c r="O205" s="1138">
        <f>SUMIFS(INDEX(ArchetypeDemand!$I$6:$AH$50,,MATCH(O$166,ArchetypeDemand!$I$4:$AH$4,0)),ArchetypeDemand!$F$6:$F$50,$F205)*'SHWLP-Att'!$R$9</f>
        <v>0</v>
      </c>
      <c r="P205" s="1138">
        <f>SUMIFS(INDEX(ArchetypeDemand!$I$6:$AH$50,,MATCH(P$166,ArchetypeDemand!$I$4:$AH$4,0)),ArchetypeDemand!$F$6:$F$50,$F205)*'SHWLP-Att'!$R$9</f>
        <v>0</v>
      </c>
      <c r="Q205" s="1138">
        <f>SUMIFS(INDEX(ArchetypeDemand!$I$6:$AH$50,,MATCH(Q$166,ArchetypeDemand!$I$4:$AH$4,0)),ArchetypeDemand!$F$6:$F$50,$F205)*'SHWLP-Att'!$R$9</f>
        <v>0</v>
      </c>
      <c r="R205" s="1138">
        <f>SUMIFS(INDEX(ArchetypeDemand!$I$6:$AH$50,,MATCH(R$166,ArchetypeDemand!$I$4:$AH$4,0)),ArchetypeDemand!$F$6:$F$50,$F205)*'SHWLP-Att'!$R$9</f>
        <v>0</v>
      </c>
      <c r="S205" s="1138">
        <f>SUMIFS(INDEX(ArchetypeDemand!$I$6:$AH$50,,MATCH(S$166,ArchetypeDemand!$I$4:$AH$4,0)),ArchetypeDemand!$F$6:$F$50,$F205)*'SHWLP-Att'!$R$9</f>
        <v>0</v>
      </c>
      <c r="T205" s="1138">
        <f>SUMIFS(INDEX(ArchetypeDemand!$I$6:$AH$50,,MATCH(T$166,ArchetypeDemand!$I$4:$AH$4,0)),ArchetypeDemand!$F$6:$F$50,$F205)*'SHWLP-Att'!$R$9</f>
        <v>0</v>
      </c>
      <c r="U205" s="1138">
        <f>SUMIFS(INDEX(ArchetypeDemand!$I$6:$AH$50,,MATCH(U$166,ArchetypeDemand!$I$4:$AH$4,0)),ArchetypeDemand!$F$6:$F$50,$F205)*'SHWLP-Att'!$R$9</f>
        <v>0</v>
      </c>
      <c r="V205" s="1138">
        <f>SUMIFS(INDEX(ArchetypeDemand!$I$6:$AH$50,,MATCH(V$166,ArchetypeDemand!$I$4:$AH$4,0)),ArchetypeDemand!$F$6:$F$50,$F205)*'SHWLP-Att'!$R$9</f>
        <v>0</v>
      </c>
      <c r="W205" s="1138">
        <f>SUMIFS(INDEX(ArchetypeDemand!$I$6:$AH$50,,MATCH(W$166,ArchetypeDemand!$I$4:$AH$4,0)),ArchetypeDemand!$F$6:$F$50,$F205)*'SHWLP-Att'!$R$9</f>
        <v>0</v>
      </c>
      <c r="X205" s="1138">
        <f>SUMIFS(INDEX(ArchetypeDemand!$I$6:$AH$50,,MATCH(X$166,ArchetypeDemand!$I$4:$AH$4,0)),ArchetypeDemand!$F$6:$F$50,$F205)*'SHWLP-Att'!$R$9</f>
        <v>0</v>
      </c>
      <c r="Y205" s="1138">
        <f>SUMIFS(INDEX(ArchetypeDemand!$I$6:$AH$50,,MATCH(Y$166,ArchetypeDemand!$I$4:$AH$4,0)),ArchetypeDemand!$F$6:$F$50,$F205)*'SHWLP-Att'!$R$9</f>
        <v>0</v>
      </c>
      <c r="Z205" s="1138">
        <f>SUMIFS(INDEX(ArchetypeDemand!$I$6:$AH$50,,MATCH(Z$166,ArchetypeDemand!$I$4:$AH$4,0)),ArchetypeDemand!$F$6:$F$50,$F205)*'SHWLP-Att'!$R$9</f>
        <v>0</v>
      </c>
      <c r="AA205" s="1138">
        <f>SUMIFS(INDEX(ArchetypeDemand!$I$6:$AH$50,,MATCH(AA$166,ArchetypeDemand!$I$4:$AH$4,0)),ArchetypeDemand!$F$6:$F$50,$F205)*'SHWLP-Att'!$R$9</f>
        <v>0</v>
      </c>
      <c r="AB205" s="1138">
        <f>SUMIFS(INDEX(ArchetypeDemand!$I$6:$AH$50,,MATCH(AB$166,ArchetypeDemand!$I$4:$AH$4,0)),ArchetypeDemand!$F$6:$F$50,$F205)*'SHWLP-Att'!$R$9</f>
        <v>0</v>
      </c>
      <c r="AC205" s="1138">
        <f>SUMIFS(INDEX(ArchetypeDemand!$I$6:$AH$50,,MATCH(AC$166,ArchetypeDemand!$I$4:$AH$4,0)),ArchetypeDemand!$F$6:$F$50,$F205)*'SHWLP-Att'!$R$9</f>
        <v>0</v>
      </c>
      <c r="AD205" s="1138">
        <f>SUMIFS(INDEX(ArchetypeDemand!$I$6:$AH$50,,MATCH(AD$166,ArchetypeDemand!$I$4:$AH$4,0)),ArchetypeDemand!$F$6:$F$50,$F205)*'SHWLP-Att'!$R$9</f>
        <v>0</v>
      </c>
      <c r="AE205" s="1138">
        <f>SUMIFS(INDEX(ArchetypeDemand!$I$6:$AH$50,,MATCH(AE$166,ArchetypeDemand!$I$4:$AH$4,0)),ArchetypeDemand!$F$6:$F$50,$F205)*'SHWLP-Att'!$R$9</f>
        <v>0</v>
      </c>
      <c r="AF205" s="1138">
        <f>SUMIFS(INDEX(ArchetypeDemand!$I$6:$AH$50,,MATCH(AF$166,ArchetypeDemand!$I$4:$AH$4,0)),ArchetypeDemand!$F$6:$F$50,$F205)*'SHWLP-Att'!$R$9</f>
        <v>0</v>
      </c>
    </row>
    <row r="206" spans="3:32" ht="13.5" thickBot="1">
      <c r="C206" s="1141" t="s">
        <v>1138</v>
      </c>
      <c r="D206" s="1141" t="s">
        <v>1094</v>
      </c>
      <c r="E206" s="1141" t="s">
        <v>832</v>
      </c>
      <c r="F206" s="1141" t="s">
        <v>930</v>
      </c>
      <c r="G206" s="1129">
        <f>SUM(ArchetypeDemand!I6:I46)*'SHWLP-Att'!$R$35</f>
        <v>2.1862728026771181E-5</v>
      </c>
      <c r="H206" s="1142">
        <f>SUM(ArchetypeDemand!J6:J46)*'SHWLP-Att'!$R$35</f>
        <v>7.2672316172610601E-4</v>
      </c>
      <c r="I206" s="1142">
        <f>SUM(ArchetypeDemand!K6:K46)*'SHWLP-Att'!$R$35</f>
        <v>9.2481111556944371E-5</v>
      </c>
      <c r="J206" s="1142">
        <f>SUM(ArchetypeDemand!L6:L46)*'SHWLP-Att'!$R$35</f>
        <v>3.0326876696354229E-5</v>
      </c>
      <c r="K206" s="1142">
        <f>SUM(ArchetypeDemand!M6:M46)*'SHWLP-Att'!$R$35</f>
        <v>2.7907557968942668E-5</v>
      </c>
      <c r="L206" s="1142">
        <f>SUM(ArchetypeDemand!N6:N46)*'SHWLP-Att'!$R$35</f>
        <v>1.1507409504457115E-5</v>
      </c>
      <c r="M206" s="1142">
        <f>SUM(ArchetypeDemand!O6:O46)*'SHWLP-Att'!$R$35</f>
        <v>5.8890300498383454E-5</v>
      </c>
      <c r="N206" s="1142">
        <f>SUM(ArchetypeDemand!P6:P46)*'SHWLP-Att'!$R$35</f>
        <v>6.5712478102870062E-5</v>
      </c>
      <c r="O206" s="1142">
        <f>SUM(ArchetypeDemand!Q6:Q46)*'SHWLP-Att'!$R$35</f>
        <v>2.4825213043884651E-5</v>
      </c>
      <c r="P206" s="1142">
        <f>SUM(ArchetypeDemand!R6:R46)*'SHWLP-Att'!$R$35</f>
        <v>2.973470442953988E-5</v>
      </c>
      <c r="Q206" s="1142">
        <f>SUM(ArchetypeDemand!S6:S46)*'SHWLP-Att'!$R$35</f>
        <v>4.4575882589492063E-5</v>
      </c>
      <c r="R206" s="1142">
        <f>SUM(ArchetypeDemand!T6:T46)*'SHWLP-Att'!$R$35</f>
        <v>5.6169510180082266E-5</v>
      </c>
      <c r="S206" s="1142">
        <f>SUM(ArchetypeDemand!U6:U46)*'SHWLP-Att'!$R$35</f>
        <v>3.6656183891536705E-5</v>
      </c>
      <c r="T206" s="1142">
        <f>SUM(ArchetypeDemand!V6:V46)*'SHWLP-Att'!$R$35</f>
        <v>2.2171418787821936E-4</v>
      </c>
      <c r="U206" s="1142">
        <f>SUM(ArchetypeDemand!W6:W46)*'SHWLP-Att'!$R$35</f>
        <v>3.8032603330872171E-5</v>
      </c>
      <c r="V206" s="1142">
        <f>SUM(ArchetypeDemand!X6:X46)*'SHWLP-Att'!$R$35</f>
        <v>7.684723416011177E-5</v>
      </c>
      <c r="W206" s="1142">
        <f>SUM(ArchetypeDemand!Y6:Y46)*'SHWLP-Att'!$R$35</f>
        <v>5.3228317431971177E-5</v>
      </c>
      <c r="X206" s="1142">
        <f>SUM(ArchetypeDemand!Z6:Z46)*'SHWLP-Att'!$R$35</f>
        <v>5.2779769178638972E-5</v>
      </c>
      <c r="Y206" s="1142">
        <f>SUM(ArchetypeDemand!AA6:AA46)*'SHWLP-Att'!$R$35</f>
        <v>6.6891011007352833E-5</v>
      </c>
      <c r="Z206" s="1142">
        <f>SUM(ArchetypeDemand!AB6:AB46)*'SHWLP-Att'!$R$35</f>
        <v>6.6377809708724621E-6</v>
      </c>
      <c r="AA206" s="1142">
        <f>SUM(ArchetypeDemand!AC6:AC46)*'SHWLP-Att'!$R$35</f>
        <v>3.0354175342780091E-5</v>
      </c>
      <c r="AB206" s="1142">
        <f>SUM(ArchetypeDemand!AD6:AD46)*'SHWLP-Att'!$R$35</f>
        <v>1.3025197574262438E-5</v>
      </c>
      <c r="AC206" s="1142">
        <f>SUM(ArchetypeDemand!AE6:AE46)*'SHWLP-Att'!$R$35</f>
        <v>2.1552862073867603E-5</v>
      </c>
      <c r="AD206" s="1142">
        <f>SUM(ArchetypeDemand!AF6:AF46)*'SHWLP-Att'!$R$35</f>
        <v>1.8685427349514864E-5</v>
      </c>
      <c r="AE206" s="1142">
        <f>SUM(ArchetypeDemand!AG6:AG46)*'SHWLP-Att'!$R$35</f>
        <v>3.8505099085664781E-5</v>
      </c>
      <c r="AF206" s="1142">
        <f>SUM(ArchetypeDemand!AH6:AH46)*'SHWLP-Att'!$R$35</f>
        <v>1.6048151446065669E-5</v>
      </c>
    </row>
    <row r="207" spans="3:32" ht="15">
      <c r="C207" s="1137" t="s">
        <v>1124</v>
      </c>
      <c r="D207" s="1137"/>
      <c r="E207" s="1137"/>
      <c r="F207" s="1137"/>
      <c r="G207" s="1137"/>
      <c r="H207" s="1137"/>
      <c r="I207" s="1137"/>
      <c r="J207" s="1137"/>
      <c r="K207" s="1137"/>
      <c r="L207" s="1137"/>
      <c r="M207" s="1137"/>
      <c r="N207" s="1137"/>
      <c r="O207" s="1137"/>
      <c r="P207" s="1137"/>
      <c r="Q207" s="1137"/>
      <c r="R207" s="1137"/>
      <c r="S207" s="1137"/>
      <c r="T207" s="1137"/>
      <c r="U207" s="1137"/>
      <c r="V207" s="1137"/>
      <c r="W207" s="1137"/>
      <c r="X207" s="1137"/>
      <c r="Y207" s="1137"/>
      <c r="Z207" s="1137"/>
      <c r="AA207" s="1137"/>
      <c r="AB207" s="1137"/>
      <c r="AC207" s="1137"/>
      <c r="AD207" s="1137"/>
      <c r="AE207" s="1137"/>
      <c r="AF207" s="1137"/>
    </row>
    <row r="208" spans="3:32">
      <c r="C208" s="1145" t="s">
        <v>1139</v>
      </c>
      <c r="D208" s="1134" t="s">
        <v>1094</v>
      </c>
      <c r="E208" s="1134" t="s">
        <v>835</v>
      </c>
      <c r="F208" s="1134" t="s">
        <v>1096</v>
      </c>
      <c r="G208" s="1134">
        <f>SUMIFS(INDEX(ArchetypeDemand!$I$6:$AH$50,,MATCH($G$166,ArchetypeDemand!$I$4:$AH$4,0)),ArchetypeDemand!$F$6:$F$50,$F208)*'SHWLP-Att'!$R$10</f>
        <v>1.6708284089310421E-2</v>
      </c>
      <c r="H208" s="1134">
        <f>SUMIFS(INDEX(ArchetypeDemand!$I$6:$AH$50,,MATCH(H$166,ArchetypeDemand!$I$4:$AH$4,0)),ArchetypeDemand!$F$6:$F$50,$F208)*'SHWLP-Att'!$R$10</f>
        <v>0.63621575809347208</v>
      </c>
      <c r="I208" s="1134">
        <f>SUMIFS(INDEX(ArchetypeDemand!$I$6:$AH$50,,MATCH(I$166,ArchetypeDemand!$I$4:$AH$4,0)),ArchetypeDemand!$F$6:$F$50,$F208)*'SHWLP-Att'!$R$10</f>
        <v>0.12829022336229692</v>
      </c>
      <c r="J208" s="1134">
        <f>SUMIFS(INDEX(ArchetypeDemand!$I$6:$AH$50,,MATCH(J$166,ArchetypeDemand!$I$4:$AH$4,0)),ArchetypeDemand!$F$6:$F$50,$F208)*'SHWLP-Att'!$R$10</f>
        <v>1.9928367753060193E-2</v>
      </c>
      <c r="K208" s="1134">
        <f>SUMIFS(INDEX(ArchetypeDemand!$I$6:$AH$50,,MATCH(K$166,ArchetypeDemand!$I$4:$AH$4,0)),ArchetypeDemand!$F$6:$F$50,$F208)*'SHWLP-Att'!$R$10</f>
        <v>1.9078758950818654E-2</v>
      </c>
      <c r="L208" s="1134">
        <f>SUMIFS(INDEX(ArchetypeDemand!$I$6:$AH$50,,MATCH(L$166,ArchetypeDemand!$I$4:$AH$4,0)),ArchetypeDemand!$F$6:$F$50,$F208)*'SHWLP-Att'!$R$10</f>
        <v>7.5484846353299209E-3</v>
      </c>
      <c r="M208" s="1134">
        <f>SUMIFS(INDEX(ArchetypeDemand!$I$6:$AH$50,,MATCH(M$166,ArchetypeDemand!$I$4:$AH$4,0)),ArchetypeDemand!$F$6:$F$50,$F208)*'SHWLP-Att'!$R$10</f>
        <v>6.2430334942854382E-2</v>
      </c>
      <c r="N208" s="1134">
        <f>SUMIFS(INDEX(ArchetypeDemand!$I$6:$AH$50,,MATCH(N$166,ArchetypeDemand!$I$4:$AH$4,0)),ArchetypeDemand!$F$6:$F$50,$F208)*'SHWLP-Att'!$R$10</f>
        <v>0.11302488424648184</v>
      </c>
      <c r="O208" s="1134">
        <f>SUMIFS(INDEX(ArchetypeDemand!$I$6:$AH$50,,MATCH(O$166,ArchetypeDemand!$I$4:$AH$4,0)),ArchetypeDemand!$F$6:$F$50,$F208)*'SHWLP-Att'!$R$10</f>
        <v>8.8057264994451934E-3</v>
      </c>
      <c r="P208" s="1134">
        <f>SUMIFS(INDEX(ArchetypeDemand!$I$6:$AH$50,,MATCH(P$166,ArchetypeDemand!$I$4:$AH$4,0)),ArchetypeDemand!$F$6:$F$50,$F208)*'SHWLP-Att'!$R$10</f>
        <v>1.5637194958305359E-2</v>
      </c>
      <c r="Q208" s="1134">
        <f>SUMIFS(INDEX(ArchetypeDemand!$I$6:$AH$50,,MATCH(Q$166,ArchetypeDemand!$I$4:$AH$4,0)),ArchetypeDemand!$F$6:$F$50,$F208)*'SHWLP-Att'!$R$10</f>
        <v>2.4485764738182668E-2</v>
      </c>
      <c r="R208" s="1134">
        <f>SUMIFS(INDEX(ArchetypeDemand!$I$6:$AH$50,,MATCH(R$166,ArchetypeDemand!$I$4:$AH$4,0)),ArchetypeDemand!$F$6:$F$50,$F208)*'SHWLP-Att'!$R$10</f>
        <v>6.2585035743938477E-2</v>
      </c>
      <c r="S208" s="1134">
        <f>SUMIFS(INDEX(ArchetypeDemand!$I$6:$AH$50,,MATCH(S$166,ArchetypeDemand!$I$4:$AH$4,0)),ArchetypeDemand!$F$6:$F$50,$F208)*'SHWLP-Att'!$R$10</f>
        <v>1.8095584932436792E-2</v>
      </c>
      <c r="T208" s="1134">
        <f>SUMIFS(INDEX(ArchetypeDemand!$I$6:$AH$50,,MATCH(T$166,ArchetypeDemand!$I$4:$AH$4,0)),ArchetypeDemand!$F$6:$F$50,$F208)*'SHWLP-Att'!$R$10</f>
        <v>0.21951152497510912</v>
      </c>
      <c r="U208" s="1134">
        <f>SUMIFS(INDEX(ArchetypeDemand!$I$6:$AH$50,,MATCH(U$166,ArchetypeDemand!$I$4:$AH$4,0)),ArchetypeDemand!$F$6:$F$50,$F208)*'SHWLP-Att'!$R$10</f>
        <v>2.3927579867797994E-2</v>
      </c>
      <c r="V208" s="1134">
        <f>SUMIFS(INDEX(ArchetypeDemand!$I$6:$AH$50,,MATCH(V$166,ArchetypeDemand!$I$4:$AH$4,0)),ArchetypeDemand!$F$6:$F$50,$F208)*'SHWLP-Att'!$R$10</f>
        <v>4.7123055524881323E-2</v>
      </c>
      <c r="W208" s="1134">
        <f>SUMIFS(INDEX(ArchetypeDemand!$I$6:$AH$50,,MATCH(W$166,ArchetypeDemand!$I$4:$AH$4,0)),ArchetypeDemand!$F$6:$F$50,$F208)*'SHWLP-Att'!$R$10</f>
        <v>2.0391260712435921E-2</v>
      </c>
      <c r="X208" s="1134">
        <f>SUMIFS(INDEX(ArchetypeDemand!$I$6:$AH$50,,MATCH(X$166,ArchetypeDemand!$I$4:$AH$4,0)),ArchetypeDemand!$F$6:$F$50,$F208)*'SHWLP-Att'!$R$10</f>
        <v>3.9649401736866943E-2</v>
      </c>
      <c r="Y208" s="1134">
        <f>SUMIFS(INDEX(ArchetypeDemand!$I$6:$AH$50,,MATCH(Y$166,ArchetypeDemand!$I$4:$AH$4,0)),ArchetypeDemand!$F$6:$F$50,$F208)*'SHWLP-Att'!$R$10</f>
        <v>3.8416802095825618E-2</v>
      </c>
      <c r="Z208" s="1134">
        <f>SUMIFS(INDEX(ArchetypeDemand!$I$6:$AH$50,,MATCH(Z$166,ArchetypeDemand!$I$4:$AH$4,0)),ArchetypeDemand!$F$6:$F$50,$F208)*'SHWLP-Att'!$R$10</f>
        <v>3.0276368045175782E-3</v>
      </c>
      <c r="AA208" s="1134">
        <f>SUMIFS(INDEX(ArchetypeDemand!$I$6:$AH$50,,MATCH(AA$166,ArchetypeDemand!$I$4:$AH$4,0)),ArchetypeDemand!$F$6:$F$50,$F208)*'SHWLP-Att'!$R$10</f>
        <v>1.5392261121456753E-2</v>
      </c>
      <c r="AB208" s="1134">
        <f>SUMIFS(INDEX(ArchetypeDemand!$I$6:$AH$50,,MATCH(AB$166,ArchetypeDemand!$I$4:$AH$4,0)),ArchetypeDemand!$F$6:$F$50,$F208)*'SHWLP-Att'!$R$10</f>
        <v>3.8941038525995677E-3</v>
      </c>
      <c r="AC208" s="1134">
        <f>SUMIFS(INDEX(ArchetypeDemand!$I$6:$AH$50,,MATCH(AC$166,ArchetypeDemand!$I$4:$AH$4,0)),ArchetypeDemand!$F$6:$F$50,$F208)*'SHWLP-Att'!$R$10</f>
        <v>1.2148520288765551E-2</v>
      </c>
      <c r="AD208" s="1134">
        <f>SUMIFS(INDEX(ArchetypeDemand!$I$6:$AH$50,,MATCH(AD$166,ArchetypeDemand!$I$4:$AH$4,0)),ArchetypeDemand!$F$6:$F$50,$F208)*'SHWLP-Att'!$R$10</f>
        <v>1.3659369712690845E-2</v>
      </c>
      <c r="AE208" s="1134">
        <f>SUMIFS(INDEX(ArchetypeDemand!$I$6:$AH$50,,MATCH(AE$166,ArchetypeDemand!$I$4:$AH$4,0)),ArchetypeDemand!$F$6:$F$50,$F208)*'SHWLP-Att'!$R$10</f>
        <v>1.6795432653971543E-2</v>
      </c>
      <c r="AF208" s="1134">
        <f>SUMIFS(INDEX(ArchetypeDemand!$I$6:$AH$50,,MATCH(AF$166,ArchetypeDemand!$I$4:$AH$4,0)),ArchetypeDemand!$F$6:$F$50,$F208)*'SHWLP-Att'!$R$10</f>
        <v>1.2752850456680134E-2</v>
      </c>
    </row>
    <row r="209" spans="3:32">
      <c r="C209" s="1136" t="s">
        <v>1139</v>
      </c>
      <c r="D209" s="1136" t="s">
        <v>1094</v>
      </c>
      <c r="E209" s="1136" t="s">
        <v>835</v>
      </c>
      <c r="F209" s="1136" t="s">
        <v>1097</v>
      </c>
      <c r="G209" s="1136">
        <f>SUMIFS(INDEX(ArchetypeDemand!$I$6:$AH$50,,MATCH($G$166,ArchetypeDemand!$I$4:$AH$4,0)),ArchetypeDemand!$F$6:$F$50,$F209)*'SHWLP-Att'!$R$10</f>
        <v>4.4371901460095751E-2</v>
      </c>
      <c r="H209" s="1136">
        <f>SUMIFS(INDEX(ArchetypeDemand!$I$6:$AH$50,,MATCH(H$166,ArchetypeDemand!$I$4:$AH$4,0)),ArchetypeDemand!$F$6:$F$50,$F209)*'SHWLP-Att'!$R$10</f>
        <v>1.1112251475344179</v>
      </c>
      <c r="I209" s="1136">
        <f>SUMIFS(INDEX(ArchetypeDemand!$I$6:$AH$50,,MATCH(I$166,ArchetypeDemand!$I$4:$AH$4,0)),ArchetypeDemand!$F$6:$F$50,$F209)*'SHWLP-Att'!$R$10</f>
        <v>0.1594871327836036</v>
      </c>
      <c r="J209" s="1136">
        <f>SUMIFS(INDEX(ArchetypeDemand!$I$6:$AH$50,,MATCH(J$166,ArchetypeDemand!$I$4:$AH$4,0)),ArchetypeDemand!$F$6:$F$50,$F209)*'SHWLP-Att'!$R$10</f>
        <v>5.6746996010276413E-2</v>
      </c>
      <c r="K209" s="1136">
        <f>SUMIFS(INDEX(ArchetypeDemand!$I$6:$AH$50,,MATCH(K$166,ArchetypeDemand!$I$4:$AH$4,0)),ArchetypeDemand!$F$6:$F$50,$F209)*'SHWLP-Att'!$R$10</f>
        <v>5.645752760385564E-2</v>
      </c>
      <c r="L209" s="1136">
        <f>SUMIFS(INDEX(ArchetypeDemand!$I$6:$AH$50,,MATCH(L$166,ArchetypeDemand!$I$4:$AH$4,0)),ArchetypeDemand!$F$6:$F$50,$F209)*'SHWLP-Att'!$R$10</f>
        <v>2.1628532936792136E-2</v>
      </c>
      <c r="M209" s="1136">
        <f>SUMIFS(INDEX(ArchetypeDemand!$I$6:$AH$50,,MATCH(M$166,ArchetypeDemand!$I$4:$AH$4,0)),ArchetypeDemand!$F$6:$F$50,$F209)*'SHWLP-Att'!$R$10</f>
        <v>0.12038783460542214</v>
      </c>
      <c r="N209" s="1136">
        <f>SUMIFS(INDEX(ArchetypeDemand!$I$6:$AH$50,,MATCH(N$166,ArchetypeDemand!$I$4:$AH$4,0)),ArchetypeDemand!$F$6:$F$50,$F209)*'SHWLP-Att'!$R$10</f>
        <v>0.12610202669548323</v>
      </c>
      <c r="O209" s="1136">
        <f>SUMIFS(INDEX(ArchetypeDemand!$I$6:$AH$50,,MATCH(O$166,ArchetypeDemand!$I$4:$AH$4,0)),ArchetypeDemand!$F$6:$F$50,$F209)*'SHWLP-Att'!$R$10</f>
        <v>4.1289893679192717E-2</v>
      </c>
      <c r="P209" s="1136">
        <f>SUMIFS(INDEX(ArchetypeDemand!$I$6:$AH$50,,MATCH(P$166,ArchetypeDemand!$I$4:$AH$4,0)),ArchetypeDemand!$F$6:$F$50,$F209)*'SHWLP-Att'!$R$10</f>
        <v>5.6853241817716685E-2</v>
      </c>
      <c r="Q209" s="1136">
        <f>SUMIFS(INDEX(ArchetypeDemand!$I$6:$AH$50,,MATCH(Q$166,ArchetypeDemand!$I$4:$AH$4,0)),ArchetypeDemand!$F$6:$F$50,$F209)*'SHWLP-Att'!$R$10</f>
        <v>7.7863435158507396E-2</v>
      </c>
      <c r="R209" s="1136">
        <f>SUMIFS(INDEX(ArchetypeDemand!$I$6:$AH$50,,MATCH(R$166,ArchetypeDemand!$I$4:$AH$4,0)),ArchetypeDemand!$F$6:$F$50,$F209)*'SHWLP-Att'!$R$10</f>
        <v>8.8594468254374434E-2</v>
      </c>
      <c r="S209" s="1136">
        <f>SUMIFS(INDEX(ArchetypeDemand!$I$6:$AH$50,,MATCH(S$166,ArchetypeDemand!$I$4:$AH$4,0)),ArchetypeDemand!$F$6:$F$50,$F209)*'SHWLP-Att'!$R$10</f>
        <v>6.3832878196096857E-2</v>
      </c>
      <c r="T209" s="1136">
        <f>SUMIFS(INDEX(ArchetypeDemand!$I$6:$AH$50,,MATCH(T$166,ArchetypeDemand!$I$4:$AH$4,0)),ArchetypeDemand!$F$6:$F$50,$F209)*'SHWLP-Att'!$R$10</f>
        <v>0.42181065442985294</v>
      </c>
      <c r="U209" s="1136">
        <f>SUMIFS(INDEX(ArchetypeDemand!$I$6:$AH$50,,MATCH(U$166,ArchetypeDemand!$I$4:$AH$4,0)),ArchetypeDemand!$F$6:$F$50,$F209)*'SHWLP-Att'!$R$10</f>
        <v>6.4830925924291155E-2</v>
      </c>
      <c r="V209" s="1136">
        <f>SUMIFS(INDEX(ArchetypeDemand!$I$6:$AH$50,,MATCH(V$166,ArchetypeDemand!$I$4:$AH$4,0)),ArchetypeDemand!$F$6:$F$50,$F209)*'SHWLP-Att'!$R$10</f>
        <v>0.14597686696936774</v>
      </c>
      <c r="W209" s="1136">
        <f>SUMIFS(INDEX(ArchetypeDemand!$I$6:$AH$50,,MATCH(W$166,ArchetypeDemand!$I$4:$AH$4,0)),ArchetypeDemand!$F$6:$F$50,$F209)*'SHWLP-Att'!$R$10</f>
        <v>9.2420282021271907E-2</v>
      </c>
      <c r="X209" s="1136">
        <f>SUMIFS(INDEX(ArchetypeDemand!$I$6:$AH$50,,MATCH(X$166,ArchetypeDemand!$I$4:$AH$4,0)),ArchetypeDemand!$F$6:$F$50,$F209)*'SHWLP-Att'!$R$10</f>
        <v>9.5888605028382659E-2</v>
      </c>
      <c r="Y209" s="1136">
        <f>SUMIFS(INDEX(ArchetypeDemand!$I$6:$AH$50,,MATCH(Y$166,ArchetypeDemand!$I$4:$AH$4,0)),ArchetypeDemand!$F$6:$F$50,$F209)*'SHWLP-Att'!$R$10</f>
        <v>0.13439703458780874</v>
      </c>
      <c r="Z209" s="1136">
        <f>SUMIFS(INDEX(ArchetypeDemand!$I$6:$AH$50,,MATCH(Z$166,ArchetypeDemand!$I$4:$AH$4,0)),ArchetypeDemand!$F$6:$F$50,$F209)*'SHWLP-Att'!$R$10</f>
        <v>1.425027130587841E-2</v>
      </c>
      <c r="AA209" s="1136">
        <f>SUMIFS(INDEX(ArchetypeDemand!$I$6:$AH$50,,MATCH(AA$166,ArchetypeDemand!$I$4:$AH$4,0)),ArchetypeDemand!$F$6:$F$50,$F209)*'SHWLP-Att'!$R$10</f>
        <v>5.8437641626040954E-2</v>
      </c>
      <c r="AB209" s="1136">
        <f>SUMIFS(INDEX(ArchetypeDemand!$I$6:$AH$50,,MATCH(AB$166,ArchetypeDemand!$I$4:$AH$4,0)),ArchetypeDemand!$F$6:$F$50,$F209)*'SHWLP-Att'!$R$10</f>
        <v>3.0829901949702389E-2</v>
      </c>
      <c r="AC209" s="1136">
        <f>SUMIFS(INDEX(ArchetypeDemand!$I$6:$AH$50,,MATCH(AC$166,ArchetypeDemand!$I$4:$AH$4,0)),ArchetypeDemand!$F$6:$F$50,$F209)*'SHWLP-Att'!$R$10</f>
        <v>3.8886336553963875E-2</v>
      </c>
      <c r="AD209" s="1136">
        <f>SUMIFS(INDEX(ArchetypeDemand!$I$6:$AH$50,,MATCH(AD$166,ArchetypeDemand!$I$4:$AH$4,0)),ArchetypeDemand!$F$6:$F$50,$F209)*'SHWLP-Att'!$R$10</f>
        <v>4.2184692292959527E-2</v>
      </c>
      <c r="AE209" s="1136">
        <f>SUMIFS(INDEX(ArchetypeDemand!$I$6:$AH$50,,MATCH(AE$166,ArchetypeDemand!$I$4:$AH$4,0)),ArchetypeDemand!$F$6:$F$50,$F209)*'SHWLP-Att'!$R$10</f>
        <v>8.603268020752429E-2</v>
      </c>
      <c r="AF209" s="1136">
        <f>SUMIFS(INDEX(ArchetypeDemand!$I$6:$AH$50,,MATCH(AF$166,ArchetypeDemand!$I$4:$AH$4,0)),ArchetypeDemand!$F$6:$F$50,$F209)*'SHWLP-Att'!$R$10</f>
        <v>2.8091083912009183E-2</v>
      </c>
    </row>
    <row r="210" spans="3:32">
      <c r="C210" s="1134" t="s">
        <v>1139</v>
      </c>
      <c r="D210" s="1134" t="s">
        <v>1094</v>
      </c>
      <c r="E210" s="1134" t="s">
        <v>835</v>
      </c>
      <c r="F210" s="1134" t="s">
        <v>1098</v>
      </c>
      <c r="G210" s="1134">
        <f>SUMIFS(INDEX(ArchetypeDemand!$I$6:$AH$50,,MATCH($G$166,ArchetypeDemand!$I$4:$AH$4,0)),ArchetypeDemand!$F$6:$F$50,$F210)*'SHWLP-Att'!$R$10</f>
        <v>2.3282349457986285E-2</v>
      </c>
      <c r="H210" s="1134">
        <f>SUMIFS(INDEX(ArchetypeDemand!$I$6:$AH$50,,MATCH(H$166,ArchetypeDemand!$I$4:$AH$4,0)),ArchetypeDemand!$F$6:$F$50,$F210)*'SHWLP-Att'!$R$10</f>
        <v>0.81424941754499558</v>
      </c>
      <c r="I210" s="1134">
        <f>SUMIFS(INDEX(ArchetypeDemand!$I$6:$AH$50,,MATCH(I$166,ArchetypeDemand!$I$4:$AH$4,0)),ArchetypeDemand!$F$6:$F$50,$F210)*'SHWLP-Att'!$R$10</f>
        <v>8.9628626623816127E-2</v>
      </c>
      <c r="J210" s="1134">
        <f>SUMIFS(INDEX(ArchetypeDemand!$I$6:$AH$50,,MATCH(J$166,ArchetypeDemand!$I$4:$AH$4,0)),ArchetypeDemand!$F$6:$F$50,$F210)*'SHWLP-Att'!$R$10</f>
        <v>3.3066205179035489E-2</v>
      </c>
      <c r="K210" s="1134">
        <f>SUMIFS(INDEX(ArchetypeDemand!$I$6:$AH$50,,MATCH(K$166,ArchetypeDemand!$I$4:$AH$4,0)),ArchetypeDemand!$F$6:$F$50,$F210)*'SHWLP-Att'!$R$10</f>
        <v>2.0924258903092692E-2</v>
      </c>
      <c r="L210" s="1134">
        <f>SUMIFS(INDEX(ArchetypeDemand!$I$6:$AH$50,,MATCH(L$166,ArchetypeDemand!$I$4:$AH$4,0)),ArchetypeDemand!$F$6:$F$50,$F210)*'SHWLP-Att'!$R$10</f>
        <v>1.3362615464804738E-2</v>
      </c>
      <c r="M210" s="1134">
        <f>SUMIFS(INDEX(ArchetypeDemand!$I$6:$AH$50,,MATCH(M$166,ArchetypeDemand!$I$4:$AH$4,0)),ArchetypeDemand!$F$6:$F$50,$F210)*'SHWLP-Att'!$R$10</f>
        <v>4.7782147018154475E-2</v>
      </c>
      <c r="N210" s="1134">
        <f>SUMIFS(INDEX(ArchetypeDemand!$I$6:$AH$50,,MATCH(N$166,ArchetypeDemand!$I$4:$AH$4,0)),ArchetypeDemand!$F$6:$F$50,$F210)*'SHWLP-Att'!$R$10</f>
        <v>3.7692034352935645E-2</v>
      </c>
      <c r="O210" s="1134">
        <f>SUMIFS(INDEX(ArchetypeDemand!$I$6:$AH$50,,MATCH(O$166,ArchetypeDemand!$I$4:$AH$4,0)),ArchetypeDemand!$F$6:$F$50,$F210)*'SHWLP-Att'!$R$10</f>
        <v>1.9472778502412115E-2</v>
      </c>
      <c r="P210" s="1134">
        <f>SUMIFS(INDEX(ArchetypeDemand!$I$6:$AH$50,,MATCH(P$166,ArchetypeDemand!$I$4:$AH$4,0)),ArchetypeDemand!$F$6:$F$50,$F210)*'SHWLP-Att'!$R$10</f>
        <v>3.1764080838089494E-2</v>
      </c>
      <c r="Q210" s="1134">
        <f>SUMIFS(INDEX(ArchetypeDemand!$I$6:$AH$50,,MATCH(Q$166,ArchetypeDemand!$I$4:$AH$4,0)),ArchetypeDemand!$F$6:$F$50,$F210)*'SHWLP-Att'!$R$10</f>
        <v>5.6312114522890935E-2</v>
      </c>
      <c r="R210" s="1134">
        <f>SUMIFS(INDEX(ArchetypeDemand!$I$6:$AH$50,,MATCH(R$166,ArchetypeDemand!$I$4:$AH$4,0)),ArchetypeDemand!$F$6:$F$50,$F210)*'SHWLP-Att'!$R$10</f>
        <v>5.3993277976610694E-2</v>
      </c>
      <c r="S210" s="1134">
        <f>SUMIFS(INDEX(ArchetypeDemand!$I$6:$AH$50,,MATCH(S$166,ArchetypeDemand!$I$4:$AH$4,0)),ArchetypeDemand!$F$6:$F$50,$F210)*'SHWLP-Att'!$R$10</f>
        <v>4.9672062901952752E-2</v>
      </c>
      <c r="T210" s="1134">
        <f>SUMIFS(INDEX(ArchetypeDemand!$I$6:$AH$50,,MATCH(T$166,ArchetypeDemand!$I$4:$AH$4,0)),ArchetypeDemand!$F$6:$F$50,$F210)*'SHWLP-Att'!$R$10</f>
        <v>0.19249723296526466</v>
      </c>
      <c r="U210" s="1134">
        <f>SUMIFS(INDEX(ArchetypeDemand!$I$6:$AH$50,,MATCH(U$166,ArchetypeDemand!$I$4:$AH$4,0)),ArchetypeDemand!$F$6:$F$50,$F210)*'SHWLP-Att'!$R$10</f>
        <v>4.4876405822167426E-2</v>
      </c>
      <c r="V210" s="1134">
        <f>SUMIFS(INDEX(ArchetypeDemand!$I$6:$AH$50,,MATCH(V$166,ArchetypeDemand!$I$4:$AH$4,0)),ArchetypeDemand!$F$6:$F$50,$F210)*'SHWLP-Att'!$R$10</f>
        <v>9.0460142983657718E-2</v>
      </c>
      <c r="W210" s="1134">
        <f>SUMIFS(INDEX(ArchetypeDemand!$I$6:$AH$50,,MATCH(W$166,ArchetypeDemand!$I$4:$AH$4,0)),ArchetypeDemand!$F$6:$F$50,$F210)*'SHWLP-Att'!$R$10</f>
        <v>6.0897523240112293E-2</v>
      </c>
      <c r="X210" s="1134">
        <f>SUMIFS(INDEX(ArchetypeDemand!$I$6:$AH$50,,MATCH(X$166,ArchetypeDemand!$I$4:$AH$4,0)),ArchetypeDemand!$F$6:$F$50,$F210)*'SHWLP-Att'!$R$10</f>
        <v>6.2129182628025581E-2</v>
      </c>
      <c r="Y210" s="1134">
        <f>SUMIFS(INDEX(ArchetypeDemand!$I$6:$AH$50,,MATCH(Y$166,ArchetypeDemand!$I$4:$AH$4,0)),ArchetypeDemand!$F$6:$F$50,$F210)*'SHWLP-Att'!$R$10</f>
        <v>7.516376394105348E-2</v>
      </c>
      <c r="Z210" s="1134">
        <f>SUMIFS(INDEX(ArchetypeDemand!$I$6:$AH$50,,MATCH(Z$166,ArchetypeDemand!$I$4:$AH$4,0)),ArchetypeDemand!$F$6:$F$50,$F210)*'SHWLP-Att'!$R$10</f>
        <v>5.2401406232035009E-3</v>
      </c>
      <c r="AA210" s="1134">
        <f>SUMIFS(INDEX(ArchetypeDemand!$I$6:$AH$50,,MATCH(AA$166,ArchetypeDemand!$I$4:$AH$4,0)),ArchetypeDemand!$F$6:$F$50,$F210)*'SHWLP-Att'!$R$10</f>
        <v>3.5182401202630435E-2</v>
      </c>
      <c r="AB210" s="1134">
        <f>SUMIFS(INDEX(ArchetypeDemand!$I$6:$AH$50,,MATCH(AB$166,ArchetypeDemand!$I$4:$AH$4,0)),ArchetypeDemand!$F$6:$F$50,$F210)*'SHWLP-Att'!$R$10</f>
        <v>1.040553133080035E-2</v>
      </c>
      <c r="AC210" s="1134">
        <f>SUMIFS(INDEX(ArchetypeDemand!$I$6:$AH$50,,MATCH(AC$166,ArchetypeDemand!$I$4:$AH$4,0)),ArchetypeDemand!$F$6:$F$50,$F210)*'SHWLP-Att'!$R$10</f>
        <v>2.3630540296927547E-2</v>
      </c>
      <c r="AD210" s="1134">
        <f>SUMIFS(INDEX(ArchetypeDemand!$I$6:$AH$50,,MATCH(AD$166,ArchetypeDemand!$I$4:$AH$4,0)),ArchetypeDemand!$F$6:$F$50,$F210)*'SHWLP-Att'!$R$10</f>
        <v>1.4460350749004619E-2</v>
      </c>
      <c r="AE210" s="1134">
        <f>SUMIFS(INDEX(ArchetypeDemand!$I$6:$AH$50,,MATCH(AE$166,ArchetypeDemand!$I$4:$AH$4,0)),ArchetypeDemand!$F$6:$F$50,$F210)*'SHWLP-Att'!$R$10</f>
        <v>3.9175262487214674E-2</v>
      </c>
      <c r="AF210" s="1134">
        <f>SUMIFS(INDEX(ArchetypeDemand!$I$6:$AH$50,,MATCH(AF$166,ArchetypeDemand!$I$4:$AH$4,0)),ArchetypeDemand!$F$6:$F$50,$F210)*'SHWLP-Att'!$R$10</f>
        <v>1.8841826951764604E-2</v>
      </c>
    </row>
    <row r="211" spans="3:32">
      <c r="C211" s="1136" t="s">
        <v>1139</v>
      </c>
      <c r="D211" s="1136" t="s">
        <v>1094</v>
      </c>
      <c r="E211" s="1136" t="s">
        <v>835</v>
      </c>
      <c r="F211" s="1136" t="s">
        <v>1099</v>
      </c>
      <c r="G211" s="1136">
        <f>SUMIFS(INDEX(ArchetypeDemand!$I$6:$AH$50,,MATCH($G$166,ArchetypeDemand!$I$4:$AH$4,0)),ArchetypeDemand!$F$6:$F$50,$F211)*'SHWLP-Att'!$R$10</f>
        <v>8.2552374809480474E-3</v>
      </c>
      <c r="H211" s="1136">
        <f>SUMIFS(INDEX(ArchetypeDemand!$I$6:$AH$50,,MATCH($H$166,ArchetypeDemand!$I$4:$AH$4,0)),ArchetypeDemand!$F$6:$F$50,$F211)*'SHWLP-Att'!$R$10</f>
        <v>0.42301555683248238</v>
      </c>
      <c r="I211" s="1136">
        <f>SUMIFS(INDEX(ArchetypeDemand!$I$6:$AH$50,,MATCH(I$166,ArchetypeDemand!$I$4:$AH$4,0)),ArchetypeDemand!$F$6:$F$50,$F211)*'SHWLP-Att'!$R$10</f>
        <v>2.795156350435422E-2</v>
      </c>
      <c r="J211" s="1136">
        <f>SUMIFS(INDEX(ArchetypeDemand!$I$6:$AH$50,,MATCH(J$166,ArchetypeDemand!$I$4:$AH$4,0)),ArchetypeDemand!$F$6:$F$50,$F211)*'SHWLP-Att'!$R$10</f>
        <v>1.5446827780745223E-2</v>
      </c>
      <c r="K211" s="1136">
        <f>SUMIFS(INDEX(ArchetypeDemand!$I$6:$AH$50,,MATCH(K$166,ArchetypeDemand!$I$4:$AH$4,0)),ArchetypeDemand!$F$6:$F$50,$F211)*'SHWLP-Att'!$R$10</f>
        <v>1.640765669478424E-2</v>
      </c>
      <c r="L211" s="1136">
        <f>SUMIFS(INDEX(ArchetypeDemand!$I$6:$AH$50,,MATCH(L$166,ArchetypeDemand!$I$4:$AH$4,0)),ArchetypeDemand!$F$6:$F$50,$F211)*'SHWLP-Att'!$R$10</f>
        <v>5.4859003849961202E-3</v>
      </c>
      <c r="M211" s="1136">
        <f>SUMIFS(INDEX(ArchetypeDemand!$I$6:$AH$50,,MATCH(M$166,ArchetypeDemand!$I$4:$AH$4,0)),ArchetypeDemand!$F$6:$F$50,$F211)*'SHWLP-Att'!$R$10</f>
        <v>1.9210632052391773E-2</v>
      </c>
      <c r="N211" s="1136">
        <f>SUMIFS(INDEX(ArchetypeDemand!$I$6:$AH$50,,MATCH(N$166,ArchetypeDemand!$I$4:$AH$4,0)),ArchetypeDemand!$F$6:$F$50,$F211)*'SHWLP-Att'!$R$10</f>
        <v>1.3199140706312942E-2</v>
      </c>
      <c r="O211" s="1136">
        <f>SUMIFS(INDEX(ArchetypeDemand!$I$6:$AH$50,,MATCH(O$166,ArchetypeDemand!$I$4:$AH$4,0)),ArchetypeDemand!$F$6:$F$50,$F211)*'SHWLP-Att'!$R$10</f>
        <v>2.2957603288635539E-2</v>
      </c>
      <c r="P211" s="1136">
        <f>SUMIFS(INDEX(ArchetypeDemand!$I$6:$AH$50,,MATCH(P$166,ArchetypeDemand!$I$4:$AH$4,0)),ArchetypeDemand!$F$6:$F$50,$F211)*'SHWLP-Att'!$R$10</f>
        <v>1.5678300132667262E-2</v>
      </c>
      <c r="Q211" s="1136">
        <f>SUMIFS(INDEX(ArchetypeDemand!$I$6:$AH$50,,MATCH(Q$166,ArchetypeDemand!$I$4:$AH$4,0)),ArchetypeDemand!$F$6:$F$50,$F211)*'SHWLP-Att'!$R$10</f>
        <v>2.4635388933471919E-2</v>
      </c>
      <c r="R211" s="1136">
        <f>SUMIFS(INDEX(ArchetypeDemand!$I$6:$AH$50,,MATCH(R$166,ArchetypeDemand!$I$4:$AH$4,0)),ArchetypeDemand!$F$6:$F$50,$F211)*'SHWLP-Att'!$R$10</f>
        <v>2.9030302260898148E-2</v>
      </c>
      <c r="S211" s="1136">
        <f>SUMIFS(INDEX(ArchetypeDemand!$I$6:$AH$50,,MATCH(S$166,ArchetypeDemand!$I$4:$AH$4,0)),ArchetypeDemand!$F$6:$F$50,$F211)*'SHWLP-Att'!$R$10</f>
        <v>2.1386835437814028E-2</v>
      </c>
      <c r="T211" s="1136">
        <f>SUMIFS(INDEX(ArchetypeDemand!$I$6:$AH$50,,MATCH(T$166,ArchetypeDemand!$I$4:$AH$4,0)),ArchetypeDemand!$F$6:$F$50,$F211)*'SHWLP-Att'!$R$10</f>
        <v>9.5140674862967456E-2</v>
      </c>
      <c r="U211" s="1136">
        <f>SUMIFS(INDEX(ArchetypeDemand!$I$6:$AH$50,,MATCH(U$166,ArchetypeDemand!$I$4:$AH$4,0)),ArchetypeDemand!$F$6:$F$50,$F211)*'SHWLP-Att'!$R$10</f>
        <v>2.2897514115480425E-2</v>
      </c>
      <c r="V211" s="1136">
        <f>SUMIFS(INDEX(ArchetypeDemand!$I$6:$AH$50,,MATCH(V$166,ArchetypeDemand!$I$4:$AH$4,0)),ArchetypeDemand!$F$6:$F$50,$F211)*'SHWLP-Att'!$R$10</f>
        <v>3.7953251306594472E-2</v>
      </c>
      <c r="W211" s="1136">
        <f>SUMIFS(INDEX(ArchetypeDemand!$I$6:$AH$50,,MATCH(W$166,ArchetypeDemand!$I$4:$AH$4,0)),ArchetypeDemand!$F$6:$F$50,$F211)*'SHWLP-Att'!$R$10</f>
        <v>3.4273698878021119E-2</v>
      </c>
      <c r="X211" s="1136">
        <f>SUMIFS(INDEX(ArchetypeDemand!$I$6:$AH$50,,MATCH(X$166,ArchetypeDemand!$I$4:$AH$4,0)),ArchetypeDemand!$F$6:$F$50,$F211)*'SHWLP-Att'!$R$10</f>
        <v>2.3374945100598121E-2</v>
      </c>
      <c r="Y211" s="1136">
        <f>SUMIFS(INDEX(ArchetypeDemand!$I$6:$AH$50,,MATCH(Y$166,ArchetypeDemand!$I$4:$AH$4,0)),ArchetypeDemand!$F$6:$F$50,$F211)*'SHWLP-Att'!$R$10</f>
        <v>3.1808178323532464E-2</v>
      </c>
      <c r="Z211" s="1136">
        <f>SUMIFS(INDEX(ArchetypeDemand!$I$6:$AH$50,,MATCH(Z$166,ArchetypeDemand!$I$4:$AH$4,0)),ArchetypeDemand!$F$6:$F$50,$F211)*'SHWLP-Att'!$R$10</f>
        <v>3.2896438356777532E-3</v>
      </c>
      <c r="AA211" s="1136">
        <f>SUMIFS(INDEX(ArchetypeDemand!$I$6:$AH$50,,MATCH(AA$166,ArchetypeDemand!$I$4:$AH$4,0)),ArchetypeDemand!$F$6:$F$50,$F211)*'SHWLP-Att'!$R$10</f>
        <v>1.3488402525053877E-2</v>
      </c>
      <c r="AB211" s="1136">
        <f>SUMIFS(INDEX(ArchetypeDemand!$I$6:$AH$50,,MATCH(AB$166,ArchetypeDemand!$I$4:$AH$4,0)),ArchetypeDemand!$F$6:$F$50,$F211)*'SHWLP-Att'!$R$10</f>
        <v>7.2768411671475415E-3</v>
      </c>
      <c r="AC211" s="1136">
        <f>SUMIFS(INDEX(ArchetypeDemand!$I$6:$AH$50,,MATCH(AC$166,ArchetypeDemand!$I$4:$AH$4,0)),ArchetypeDemand!$F$6:$F$50,$F211)*'SHWLP-Att'!$R$10</f>
        <v>1.2771904237188828E-2</v>
      </c>
      <c r="AD211" s="1136">
        <f>SUMIFS(INDEX(ArchetypeDemand!$I$6:$AH$50,,MATCH(AD$166,ArchetypeDemand!$I$4:$AH$4,0)),ArchetypeDemand!$F$6:$F$50,$F211)*'SHWLP-Att'!$R$10</f>
        <v>7.6463005759125164E-3</v>
      </c>
      <c r="AE211" s="1136">
        <f>SUMIFS(INDEX(ArchetypeDemand!$I$6:$AH$50,,MATCH(AE$166,ArchetypeDemand!$I$4:$AH$4,0)),ArchetypeDemand!$F$6:$F$50,$F211)*'SHWLP-Att'!$R$10</f>
        <v>1.7471309352936771E-2</v>
      </c>
      <c r="AF211" s="1136">
        <f>SUMIFS(INDEX(ArchetypeDemand!$I$6:$AH$50,,MATCH(AF$166,ArchetypeDemand!$I$4:$AH$4,0)),ArchetypeDemand!$F$6:$F$50,$F211)*'SHWLP-Att'!$R$10</f>
        <v>7.4115224987112635E-3</v>
      </c>
    </row>
    <row r="212" spans="3:32">
      <c r="C212" s="1134" t="s">
        <v>1139</v>
      </c>
      <c r="D212" s="1134" t="s">
        <v>1094</v>
      </c>
      <c r="E212" s="1134" t="s">
        <v>835</v>
      </c>
      <c r="F212" s="1134" t="s">
        <v>1100</v>
      </c>
      <c r="G212" s="1134">
        <f>SUMIFS(INDEX(ArchetypeDemand!$I$6:$AH$50,,MATCH($G$166,ArchetypeDemand!$I$4:$AH$4,0)),ArchetypeDemand!$F$6:$F$50,$F212)*'SHWLP-Att'!$R$10</f>
        <v>4.1598657618839765E-3</v>
      </c>
      <c r="H212" s="1134">
        <f>SUMIFS(INDEX(ArchetypeDemand!$I$6:$AH$50,,MATCH($H$166,ArchetypeDemand!$I$4:$AH$4,0)),ArchetypeDemand!$F$6:$F$50,$F212)*'SHWLP-Att'!$R$10</f>
        <v>0.19581778122392923</v>
      </c>
      <c r="I212" s="1134">
        <f>SUMIFS(INDEX(ArchetypeDemand!$I$6:$AH$50,,MATCH(I$166,ArchetypeDemand!$I$4:$AH$4,0)),ArchetypeDemand!$F$6:$F$50,$F212)*'SHWLP-Att'!$R$10</f>
        <v>9.8748589314652871E-3</v>
      </c>
      <c r="J212" s="1134">
        <f>SUMIFS(INDEX(ArchetypeDemand!$I$6:$AH$50,,MATCH(J$166,ArchetypeDemand!$I$4:$AH$4,0)),ArchetypeDemand!$F$6:$F$50,$F212)*'SHWLP-Att'!$R$10</f>
        <v>7.0390607608459251E-3</v>
      </c>
      <c r="K212" s="1134">
        <f>SUMIFS(INDEX(ArchetypeDemand!$I$6:$AH$50,,MATCH(K$166,ArchetypeDemand!$I$4:$AH$4,0)),ArchetypeDemand!$F$6:$F$50,$F212)*'SHWLP-Att'!$R$10</f>
        <v>7.3944372436908282E-3</v>
      </c>
      <c r="L212" s="1134">
        <f>SUMIFS(INDEX(ArchetypeDemand!$I$6:$AH$50,,MATCH(L$166,ArchetypeDemand!$I$4:$AH$4,0)),ArchetypeDemand!$F$6:$F$50,$F212)*'SHWLP-Att'!$R$10</f>
        <v>2.5946826145251916E-3</v>
      </c>
      <c r="M212" s="1134">
        <f>SUMIFS(INDEX(ArchetypeDemand!$I$6:$AH$50,,MATCH(M$166,ArchetypeDemand!$I$4:$AH$4,0)),ArchetypeDemand!$F$6:$F$50,$F212)*'SHWLP-Att'!$R$10</f>
        <v>8.654742809654354E-3</v>
      </c>
      <c r="N212" s="1134">
        <f>SUMIFS(INDEX(ArchetypeDemand!$I$6:$AH$50,,MATCH(N$166,ArchetypeDemand!$I$4:$AH$4,0)),ArchetypeDemand!$F$6:$F$50,$F212)*'SHWLP-Att'!$R$10</f>
        <v>6.478318404410815E-3</v>
      </c>
      <c r="O212" s="1134">
        <f>SUMIFS(INDEX(ArchetypeDemand!$I$6:$AH$50,,MATCH(O$166,ArchetypeDemand!$I$4:$AH$4,0)),ArchetypeDemand!$F$6:$F$50,$F212)*'SHWLP-Att'!$R$10</f>
        <v>1.1088078865256356E-2</v>
      </c>
      <c r="P212" s="1134">
        <f>SUMIFS(INDEX(ArchetypeDemand!$I$6:$AH$50,,MATCH(P$166,ArchetypeDemand!$I$4:$AH$4,0)),ArchetypeDemand!$F$6:$F$50,$F212)*'SHWLP-Att'!$R$10</f>
        <v>7.0824004312172667E-3</v>
      </c>
      <c r="Q212" s="1134">
        <f>SUMIFS(INDEX(ArchetypeDemand!$I$6:$AH$50,,MATCH(Q$166,ArchetypeDemand!$I$4:$AH$4,0)),ArchetypeDemand!$F$6:$F$50,$F212)*'SHWLP-Att'!$R$10</f>
        <v>1.0051090055059055E-2</v>
      </c>
      <c r="R212" s="1134">
        <f>SUMIFS(INDEX(ArchetypeDemand!$I$6:$AH$50,,MATCH(R$166,ArchetypeDemand!$I$4:$AH$4,0)),ArchetypeDemand!$F$6:$F$50,$F212)*'SHWLP-Att'!$R$10</f>
        <v>1.1681516049206026E-2</v>
      </c>
      <c r="S212" s="1134">
        <f>SUMIFS(INDEX(ArchetypeDemand!$I$6:$AH$50,,MATCH(S$166,ArchetypeDemand!$I$4:$AH$4,0)),ArchetypeDemand!$F$6:$F$50,$F212)*'SHWLP-Att'!$R$10</f>
        <v>7.9722841887340801E-3</v>
      </c>
      <c r="T212" s="1134">
        <f>SUMIFS(INDEX(ArchetypeDemand!$I$6:$AH$50,,MATCH(T$166,ArchetypeDemand!$I$4:$AH$4,0)),ArchetypeDemand!$F$6:$F$50,$F212)*'SHWLP-Att'!$R$10</f>
        <v>4.1898489506960665E-2</v>
      </c>
      <c r="U212" s="1134">
        <f>SUMIFS(INDEX(ArchetypeDemand!$I$6:$AH$50,,MATCH(U$166,ArchetypeDemand!$I$4:$AH$4,0)),ArchetypeDemand!$F$6:$F$50,$F212)*'SHWLP-Att'!$R$10</f>
        <v>8.7779474618037874E-3</v>
      </c>
      <c r="V212" s="1134">
        <f>SUMIFS(INDEX(ArchetypeDemand!$I$6:$AH$50,,MATCH(V$166,ArchetypeDemand!$I$4:$AH$4,0)),ArchetypeDemand!$F$6:$F$50,$F212)*'SHWLP-Att'!$R$10</f>
        <v>1.5654798532168803E-2</v>
      </c>
      <c r="W212" s="1134">
        <f>SUMIFS(INDEX(ArchetypeDemand!$I$6:$AH$50,,MATCH(W$166,ArchetypeDemand!$I$4:$AH$4,0)),ArchetypeDemand!$F$6:$F$50,$F212)*'SHWLP-Att'!$R$10</f>
        <v>1.654332469208496E-2</v>
      </c>
      <c r="X212" s="1134">
        <f>SUMIFS(INDEX(ArchetypeDemand!$I$6:$AH$50,,MATCH(X$166,ArchetypeDemand!$I$4:$AH$4,0)),ArchetypeDemand!$F$6:$F$50,$F212)*'SHWLP-Att'!$R$10</f>
        <v>1.032525024291623E-2</v>
      </c>
      <c r="Y212" s="1134">
        <f>SUMIFS(INDEX(ArchetypeDemand!$I$6:$AH$50,,MATCH(Y$166,ArchetypeDemand!$I$4:$AH$4,0)),ArchetypeDemand!$F$6:$F$50,$F212)*'SHWLP-Att'!$R$10</f>
        <v>1.4381450852421708E-2</v>
      </c>
      <c r="Z212" s="1134">
        <f>SUMIFS(INDEX(ArchetypeDemand!$I$6:$AH$50,,MATCH(Z$166,ArchetypeDemand!$I$4:$AH$4,0)),ArchetypeDemand!$F$6:$F$50,$F212)*'SHWLP-Att'!$R$10</f>
        <v>2.4453989574949671E-3</v>
      </c>
      <c r="AA212" s="1134">
        <f>SUMIFS(INDEX(ArchetypeDemand!$I$6:$AH$50,,MATCH(AA$166,ArchetypeDemand!$I$4:$AH$4,0)),ArchetypeDemand!$F$6:$F$50,$F212)*'SHWLP-Att'!$R$10</f>
        <v>7.1345116989854299E-3</v>
      </c>
      <c r="AB212" s="1134">
        <f>SUMIFS(INDEX(ArchetypeDemand!$I$6:$AH$50,,MATCH(AB$166,ArchetypeDemand!$I$4:$AH$4,0)),ArchetypeDemand!$F$6:$F$50,$F212)*'SHWLP-Att'!$R$10</f>
        <v>3.8493435159548594E-3</v>
      </c>
      <c r="AC212" s="1134">
        <f>SUMIFS(INDEX(ArchetypeDemand!$I$6:$AH$50,,MATCH(AC$166,ArchetypeDemand!$I$4:$AH$4,0)),ArchetypeDemand!$F$6:$F$50,$F212)*'SHWLP-Att'!$R$10</f>
        <v>5.33701123183449E-3</v>
      </c>
      <c r="AD212" s="1134">
        <f>SUMIFS(INDEX(ArchetypeDemand!$I$6:$AH$50,,MATCH(AD$166,ArchetypeDemand!$I$4:$AH$4,0)),ArchetypeDemand!$F$6:$F$50,$F212)*'SHWLP-Att'!$R$10</f>
        <v>3.4330329116341904E-3</v>
      </c>
      <c r="AE212" s="1134">
        <f>SUMIFS(INDEX(ArchetypeDemand!$I$6:$AH$50,,MATCH(AE$166,ArchetypeDemand!$I$4:$AH$4,0)),ArchetypeDemand!$F$6:$F$50,$F212)*'SHWLP-Att'!$R$10</f>
        <v>7.887261319415426E-3</v>
      </c>
      <c r="AF212" s="1134">
        <f>SUMIFS(INDEX(ArchetypeDemand!$I$6:$AH$50,,MATCH(AF$166,ArchetypeDemand!$I$4:$AH$4,0)),ArchetypeDemand!$F$6:$F$50,$F212)*'SHWLP-Att'!$R$10</f>
        <v>3.2917661234058205E-3</v>
      </c>
    </row>
    <row r="213" spans="3:32" ht="13.5" thickBot="1">
      <c r="C213" s="1138" t="s">
        <v>1139</v>
      </c>
      <c r="D213" s="1138" t="s">
        <v>1094</v>
      </c>
      <c r="E213" s="1138" t="s">
        <v>835</v>
      </c>
      <c r="F213" s="1138" t="s">
        <v>1101</v>
      </c>
      <c r="G213" s="1138">
        <f>SUMIFS(INDEX(ArchetypeDemand!$I$6:$AH$50,,MATCH($G$166,ArchetypeDemand!$I$4:$AH$4,0)),ArchetypeDemand!$F$6:$F$50,$F213)*'SHWLP-Att'!$R$10</f>
        <v>3.9018895906043501E-3</v>
      </c>
      <c r="H213" s="1138">
        <f>SUMIFS(INDEX(ArchetypeDemand!$I$6:$AH$50,,MATCH($H$166,ArchetypeDemand!$I$4:$AH$4,0)),ArchetypeDemand!$F$6:$F$50,$F213)*'SHWLP-Att'!$R$10</f>
        <v>0.16609185280837441</v>
      </c>
      <c r="I213" s="1138">
        <f>SUMIFS(INDEX(ArchetypeDemand!$I$6:$AH$50,,MATCH(I$166,ArchetypeDemand!$I$4:$AH$4,0)),ArchetypeDemand!$F$6:$F$50,$F213)*'SHWLP-Att'!$R$10</f>
        <v>1.06501577731919E-2</v>
      </c>
      <c r="J213" s="1138">
        <f>SUMIFS(INDEX(ArchetypeDemand!$I$6:$AH$50,,MATCH(J$166,ArchetypeDemand!$I$4:$AH$4,0)),ArchetypeDemand!$F$6:$F$50,$F213)*'SHWLP-Att'!$R$10</f>
        <v>7.4301196920040311E-3</v>
      </c>
      <c r="K213" s="1138">
        <f>SUMIFS(INDEX(ArchetypeDemand!$I$6:$AH$50,,MATCH(K$166,ArchetypeDemand!$I$4:$AH$4,0)),ArchetypeDemand!$F$6:$F$50,$F213)*'SHWLP-Att'!$R$10</f>
        <v>8.2537907612008441E-3</v>
      </c>
      <c r="L213" s="1138">
        <f>SUMIFS(INDEX(ArchetypeDemand!$I$6:$AH$50,,MATCH(L$166,ArchetypeDemand!$I$4:$AH$4,0)),ArchetypeDemand!$F$6:$F$50,$F213)*'SHWLP-Att'!$R$10</f>
        <v>2.3722812475658896E-3</v>
      </c>
      <c r="M213" s="1138">
        <f>SUMIFS(INDEX(ArchetypeDemand!$I$6:$AH$50,,MATCH(M$166,ArchetypeDemand!$I$4:$AH$4,0)),ArchetypeDemand!$F$6:$F$50,$F213)*'SHWLP-Att'!$R$10</f>
        <v>1.2728628023403788E-2</v>
      </c>
      <c r="N213" s="1138">
        <f>SUMIFS(INDEX(ArchetypeDemand!$I$6:$AH$50,,MATCH(N$166,ArchetypeDemand!$I$4:$AH$4,0)),ArchetypeDemand!$F$6:$F$50,$F213)*'SHWLP-Att'!$R$10</f>
        <v>6.1145625581738427E-3</v>
      </c>
      <c r="O213" s="1138">
        <f>SUMIFS(INDEX(ArchetypeDemand!$I$6:$AH$50,,MATCH(O$166,ArchetypeDemand!$I$4:$AH$4,0)),ArchetypeDemand!$F$6:$F$50,$F213)*'SHWLP-Att'!$R$10</f>
        <v>1.0707916161304709E-2</v>
      </c>
      <c r="P213" s="1138">
        <f>SUMIFS(INDEX(ArchetypeDemand!$I$6:$AH$50,,MATCH(P$166,ArchetypeDemand!$I$4:$AH$4,0)),ArchetypeDemand!$F$6:$F$50,$F213)*'SHWLP-Att'!$R$10</f>
        <v>9.9153606037041733E-3</v>
      </c>
      <c r="Q213" s="1138">
        <f>SUMIFS(INDEX(ArchetypeDemand!$I$6:$AH$50,,MATCH(Q$166,ArchetypeDemand!$I$4:$AH$4,0)),ArchetypeDemand!$F$6:$F$50,$F213)*'SHWLP-Att'!$R$10</f>
        <v>1.1927541248332557E-2</v>
      </c>
      <c r="R213" s="1138">
        <f>SUMIFS(INDEX(ArchetypeDemand!$I$6:$AH$50,,MATCH(R$166,ArchetypeDemand!$I$4:$AH$4,0)),ArchetypeDemand!$F$6:$F$50,$F213)*'SHWLP-Att'!$R$10</f>
        <v>1.2780272509279862E-2</v>
      </c>
      <c r="S213" s="1138">
        <f>SUMIFS(INDEX(ArchetypeDemand!$I$6:$AH$50,,MATCH(S$166,ArchetypeDemand!$I$4:$AH$4,0)),ArchetypeDemand!$F$6:$F$50,$F213)*'SHWLP-Att'!$R$10</f>
        <v>7.8448732542109323E-3</v>
      </c>
      <c r="T213" s="1138">
        <f>SUMIFS(INDEX(ArchetypeDemand!$I$6:$AH$50,,MATCH(T$166,ArchetypeDemand!$I$4:$AH$4,0)),ArchetypeDemand!$F$6:$F$50,$F213)*'SHWLP-Att'!$R$10</f>
        <v>5.0152146343363395E-2</v>
      </c>
      <c r="U213" s="1138">
        <f>SUMIFS(INDEX(ArchetypeDemand!$I$6:$AH$50,,MATCH(U$166,ArchetypeDemand!$I$4:$AH$4,0)),ArchetypeDemand!$F$6:$F$50,$F213)*'SHWLP-Att'!$R$10</f>
        <v>9.8326620793073426E-3</v>
      </c>
      <c r="V213" s="1138">
        <f>SUMIFS(INDEX(ArchetypeDemand!$I$6:$AH$50,,MATCH(V$166,ArchetypeDemand!$I$4:$AH$4,0)),ArchetypeDemand!$F$6:$F$50,$F213)*'SHWLP-Att'!$R$10</f>
        <v>1.6719251421812169E-2</v>
      </c>
      <c r="W213" s="1138">
        <f>SUMIFS(INDEX(ArchetypeDemand!$I$6:$AH$50,,MATCH(W$166,ArchetypeDemand!$I$4:$AH$4,0)),ArchetypeDemand!$F$6:$F$50,$F213)*'SHWLP-Att'!$R$10</f>
        <v>2.0594366615545399E-2</v>
      </c>
      <c r="X213" s="1138">
        <f>SUMIFS(INDEX(ArchetypeDemand!$I$6:$AH$50,,MATCH(X$166,ArchetypeDemand!$I$4:$AH$4,0)),ArchetypeDemand!$F$6:$F$50,$F213)*'SHWLP-Att'!$R$10</f>
        <v>1.1687472550299061E-2</v>
      </c>
      <c r="Y213" s="1138">
        <f>SUMIFS(INDEX(ArchetypeDemand!$I$6:$AH$50,,MATCH(Y$166,ArchetypeDemand!$I$4:$AH$4,0)),ArchetypeDemand!$F$6:$F$50,$F213)*'SHWLP-Att'!$R$10</f>
        <v>1.3870970956803312E-2</v>
      </c>
      <c r="Z213" s="1138">
        <f>SUMIFS(INDEX(ArchetypeDemand!$I$6:$AH$50,,MATCH(Z$166,ArchetypeDemand!$I$4:$AH$4,0)),ArchetypeDemand!$F$6:$F$50,$F213)*'SHWLP-Att'!$R$10</f>
        <v>2.3143954419148796E-3</v>
      </c>
      <c r="AA213" s="1138">
        <f>SUMIFS(INDEX(ArchetypeDemand!$I$6:$AH$50,,MATCH(AA$166,ArchetypeDemand!$I$4:$AH$4,0)),ArchetypeDemand!$F$6:$F$50,$F213)*'SHWLP-Att'!$R$10</f>
        <v>1.0148071347920749E-2</v>
      </c>
      <c r="AB213" s="1138">
        <f>SUMIFS(INDEX(ArchetypeDemand!$I$6:$AH$50,,MATCH(AB$166,ArchetypeDemand!$I$4:$AH$4,0)),ArchetypeDemand!$F$6:$F$50,$F213)*'SHWLP-Att'!$R$10</f>
        <v>3.7263051387325581E-3</v>
      </c>
      <c r="AC213" s="1138">
        <f>SUMIFS(INDEX(ArchetypeDemand!$I$6:$AH$50,,MATCH(AC$166,ArchetypeDemand!$I$4:$AH$4,0)),ArchetypeDemand!$F$6:$F$50,$F213)*'SHWLP-Att'!$R$10</f>
        <v>6.4782589166292861E-3</v>
      </c>
      <c r="AD213" s="1138">
        <f>SUMIFS(INDEX(ArchetypeDemand!$I$6:$AH$50,,MATCH(AD$166,ArchetypeDemand!$I$4:$AH$4,0)),ArchetypeDemand!$F$6:$F$50,$F213)*'SHWLP-Att'!$R$10</f>
        <v>4.664069965806047E-3</v>
      </c>
      <c r="AE213" s="1138">
        <f>SUMIFS(INDEX(ArchetypeDemand!$I$6:$AH$50,,MATCH(AE$166,ArchetypeDemand!$I$4:$AH$4,0)),ArchetypeDemand!$F$6:$F$50,$F213)*'SHWLP-Att'!$R$10</f>
        <v>9.9569681904677007E-3</v>
      </c>
      <c r="AF213" s="1138">
        <f>SUMIFS(INDEX(ArchetypeDemand!$I$6:$AH$50,,MATCH(AF$166,ArchetypeDemand!$I$4:$AH$4,0)),ArchetypeDemand!$F$6:$F$50,$F213)*'SHWLP-Att'!$R$10</f>
        <v>3.5139098495252322E-3</v>
      </c>
    </row>
    <row r="214" spans="3:32" ht="13.5" thickBot="1">
      <c r="C214" s="1141" t="s">
        <v>1140</v>
      </c>
      <c r="D214" s="1141" t="s">
        <v>1094</v>
      </c>
      <c r="E214" s="1141" t="s">
        <v>835</v>
      </c>
      <c r="F214" s="1141" t="s">
        <v>930</v>
      </c>
      <c r="G214" s="1129">
        <f>SUM(ArchetypeDemand!I6:I46)*'SHWLP-Att'!$R$36</f>
        <v>8.9654237837622733E-2</v>
      </c>
      <c r="H214" s="1142">
        <f>SUM(ArchetypeDemand!J6:J46)*'SHWLP-Att'!$R$36</f>
        <v>2.9801318071431813</v>
      </c>
      <c r="I214" s="1142">
        <f>SUM(ArchetypeDemand!K6:K46)*'SHWLP-Att'!$R$36</f>
        <v>0.37924469265048638</v>
      </c>
      <c r="J214" s="1142">
        <f>SUM(ArchetypeDemand!L6:L46)*'SHWLP-Att'!$R$36</f>
        <v>0.12436384941887552</v>
      </c>
      <c r="K214" s="1142">
        <f>SUM(ArchetypeDemand!M6:M46)*'SHWLP-Att'!$R$36</f>
        <v>0.11444275556788074</v>
      </c>
      <c r="L214" s="1142">
        <f>SUM(ArchetypeDemand!N6:N46)*'SHWLP-Att'!$R$36</f>
        <v>4.7189354747687651E-2</v>
      </c>
      <c r="M214" s="1142">
        <f>SUM(ArchetypeDemand!O6:O46)*'SHWLP-Att'!$R$36</f>
        <v>0.24149616647776093</v>
      </c>
      <c r="N214" s="1142">
        <f>SUM(ArchetypeDemand!P6:P46)*'SHWLP-Att'!$R$36</f>
        <v>0.26947241595468752</v>
      </c>
      <c r="O214" s="1142">
        <f>SUM(ArchetypeDemand!Q6:Q46)*'SHWLP-Att'!$R$36</f>
        <v>0.10180273714610132</v>
      </c>
      <c r="P214" s="1142">
        <f>SUM(ArchetypeDemand!R6:R46)*'SHWLP-Att'!$R$36</f>
        <v>0.12193548123056856</v>
      </c>
      <c r="Q214" s="1142">
        <f>SUM(ArchetypeDemand!S6:S46)*'SHWLP-Att'!$R$36</f>
        <v>0.18279588780533729</v>
      </c>
      <c r="R214" s="1142">
        <f>SUM(ArchetypeDemand!T6:T46)*'SHWLP-Att'!$R$36</f>
        <v>0.23033880395627779</v>
      </c>
      <c r="S214" s="1142">
        <f>SUM(ArchetypeDemand!U6:U46)*'SHWLP-Att'!$R$36</f>
        <v>0.15031894577873592</v>
      </c>
      <c r="T214" s="1142">
        <f>SUM(ArchetypeDemand!V6:V46)*'SHWLP-Att'!$R$36</f>
        <v>0.90920110736724447</v>
      </c>
      <c r="U214" s="1142">
        <f>SUM(ArchetypeDemand!W6:W46)*'SHWLP-Att'!$R$36</f>
        <v>0.155963339087174</v>
      </c>
      <c r="V214" s="1142">
        <f>SUM(ArchetypeDemand!X6:X46)*'SHWLP-Att'!$R$36</f>
        <v>0.31513360089910314</v>
      </c>
      <c r="W214" s="1142">
        <f>SUM(ArchetypeDemand!Y6:Y46)*'SHWLP-Att'!$R$36</f>
        <v>0.21827761955867878</v>
      </c>
      <c r="X214" s="1142">
        <f>SUM(ArchetypeDemand!Z6:Z46)*'SHWLP-Att'!$R$36</f>
        <v>0.21643822185237915</v>
      </c>
      <c r="Y214" s="1142">
        <f>SUM(ArchetypeDemand!AA6:AA46)*'SHWLP-Att'!$R$36</f>
        <v>0.27430532011873238</v>
      </c>
      <c r="Z214" s="1142">
        <f>SUM(ArchetypeDemand!AB6:AB46)*'SHWLP-Att'!$R$36</f>
        <v>2.7220079449734379E-2</v>
      </c>
      <c r="AA214" s="1142">
        <f>SUM(ArchetypeDemand!AC6:AC46)*'SHWLP-Att'!$R$36</f>
        <v>0.12447579516216577</v>
      </c>
      <c r="AB214" s="1142">
        <f>SUM(ArchetypeDemand!AD6:AD46)*'SHWLP-Att'!$R$36</f>
        <v>5.3413469708583926E-2</v>
      </c>
      <c r="AC214" s="1142">
        <f>SUM(ArchetypeDemand!AE6:AE46)*'SHWLP-Att'!$R$36</f>
        <v>8.8383545735274807E-2</v>
      </c>
      <c r="AD214" s="1142">
        <f>SUM(ArchetypeDemand!AF6:AF46)*'SHWLP-Att'!$R$36</f>
        <v>7.6624826766343565E-2</v>
      </c>
      <c r="AE214" s="1142">
        <f>SUM(ArchetypeDemand!AG6:AG46)*'SHWLP-Att'!$R$36</f>
        <v>0.15790094022851245</v>
      </c>
      <c r="AF214" s="1142">
        <f>SUM(ArchetypeDemand!AH6:AH46)*'SHWLP-Att'!$R$36</f>
        <v>6.5809938486997177E-2</v>
      </c>
    </row>
    <row r="215" spans="3:32" ht="15">
      <c r="C215" s="1137" t="s">
        <v>1125</v>
      </c>
      <c r="D215" s="1137"/>
      <c r="E215" s="1137"/>
      <c r="F215" s="1137"/>
      <c r="G215" s="1137"/>
      <c r="H215" s="1137"/>
      <c r="I215" s="1137"/>
      <c r="J215" s="1137"/>
      <c r="K215" s="1137"/>
      <c r="L215" s="1137"/>
      <c r="M215" s="1137"/>
      <c r="N215" s="1137"/>
      <c r="O215" s="1137"/>
      <c r="P215" s="1137"/>
      <c r="Q215" s="1137"/>
      <c r="R215" s="1137"/>
      <c r="S215" s="1137"/>
      <c r="T215" s="1137"/>
      <c r="U215" s="1137"/>
      <c r="V215" s="1137"/>
      <c r="W215" s="1137"/>
      <c r="X215" s="1137"/>
      <c r="Y215" s="1137"/>
      <c r="Z215" s="1137"/>
      <c r="AA215" s="1137"/>
      <c r="AB215" s="1137"/>
      <c r="AC215" s="1137"/>
      <c r="AD215" s="1137"/>
      <c r="AE215" s="1137"/>
      <c r="AF215" s="1137"/>
    </row>
    <row r="216" spans="3:32">
      <c r="C216" s="1145" t="s">
        <v>1141</v>
      </c>
      <c r="D216" s="1134" t="s">
        <v>1094</v>
      </c>
      <c r="E216" s="1134" t="s">
        <v>405</v>
      </c>
      <c r="F216" s="1134" t="s">
        <v>1096</v>
      </c>
      <c r="G216" s="1134">
        <f>SUMIFS(INDEX(ArchetypeDemand!$I$6:$AH$50,,MATCH($G$166,ArchetypeDemand!$I$4:$AH$4,0)),ArchetypeDemand!$F$6:$F$50,$F216)*'SHWLP-Att'!$R$11</f>
        <v>8.1449368730556221E-2</v>
      </c>
      <c r="H216" s="1134">
        <f>SUMIFS(INDEX(ArchetypeDemand!$I$6:$AH$50,,MATCH(H$166,ArchetypeDemand!$I$4:$AH$4,0)),ArchetypeDemand!$F$6:$F$50,$F216)*'SHWLP-Att'!$R$11</f>
        <v>3.1014179311386272</v>
      </c>
      <c r="I216" s="1134">
        <f>SUMIFS(INDEX(ArchetypeDemand!$I$6:$AH$50,,MATCH(I$166,ArchetypeDemand!$I$4:$AH$4,0)),ArchetypeDemand!$F$6:$F$50,$F216)*'SHWLP-Att'!$R$11</f>
        <v>0.62538784062489527</v>
      </c>
      <c r="J216" s="1134">
        <f>SUMIFS(INDEX(ArchetypeDemand!$I$6:$AH$50,,MATCH(J$166,ArchetypeDemand!$I$4:$AH$4,0)),ArchetypeDemand!$F$6:$F$50,$F216)*'SHWLP-Att'!$R$11</f>
        <v>9.7146598935050552E-2</v>
      </c>
      <c r="K216" s="1134">
        <f>SUMIFS(INDEX(ArchetypeDemand!$I$6:$AH$50,,MATCH(K$166,ArchetypeDemand!$I$4:$AH$4,0)),ArchetypeDemand!$F$6:$F$50,$F216)*'SHWLP-Att'!$R$11</f>
        <v>9.3004934821572252E-2</v>
      </c>
      <c r="L216" s="1134">
        <f>SUMIFS(INDEX(ArchetypeDemand!$I$6:$AH$50,,MATCH(L$166,ArchetypeDemand!$I$4:$AH$4,0)),ArchetypeDemand!$F$6:$F$50,$F216)*'SHWLP-Att'!$R$11</f>
        <v>3.6797274042836767E-2</v>
      </c>
      <c r="M216" s="1134">
        <f>SUMIFS(INDEX(ArchetypeDemand!$I$6:$AH$50,,MATCH(M$166,ArchetypeDemand!$I$4:$AH$4,0)),ArchetypeDemand!$F$6:$F$50,$F216)*'SHWLP-Att'!$R$11</f>
        <v>0.30433474458253229</v>
      </c>
      <c r="N216" s="1134">
        <f>SUMIFS(INDEX(ArchetypeDemand!$I$6:$AH$50,,MATCH(N$166,ArchetypeDemand!$I$4:$AH$4,0)),ArchetypeDemand!$F$6:$F$50,$F216)*'SHWLP-Att'!$R$11</f>
        <v>0.55097252497698423</v>
      </c>
      <c r="O216" s="1134">
        <f>SUMIFS(INDEX(ArchetypeDemand!$I$6:$AH$50,,MATCH(O$166,ArchetypeDemand!$I$4:$AH$4,0)),ArchetypeDemand!$F$6:$F$50,$F216)*'SHWLP-Att'!$R$11</f>
        <v>4.2926063547878208E-2</v>
      </c>
      <c r="P216" s="1134">
        <f>SUMIFS(INDEX(ArchetypeDemand!$I$6:$AH$50,,MATCH(P$166,ArchetypeDemand!$I$4:$AH$4,0)),ArchetypeDemand!$F$6:$F$50,$F216)*'SHWLP-Att'!$R$11</f>
        <v>7.6228034624181026E-2</v>
      </c>
      <c r="Q216" s="1134">
        <f>SUMIFS(INDEX(ArchetypeDemand!$I$6:$AH$50,,MATCH(Q$166,ArchetypeDemand!$I$4:$AH$4,0)),ArchetypeDemand!$F$6:$F$50,$F216)*'SHWLP-Att'!$R$11</f>
        <v>0.11936295014793477</v>
      </c>
      <c r="R216" s="1134">
        <f>SUMIFS(INDEX(ArchetypeDemand!$I$6:$AH$50,,MATCH(R$166,ArchetypeDemand!$I$4:$AH$4,0)),ArchetypeDemand!$F$6:$F$50,$F216)*'SHWLP-Att'!$R$11</f>
        <v>0.30508887843152949</v>
      </c>
      <c r="S216" s="1134">
        <f>SUMIFS(INDEX(ArchetypeDemand!$I$6:$AH$50,,MATCH(S$166,ArchetypeDemand!$I$4:$AH$4,0)),ArchetypeDemand!$F$6:$F$50,$F216)*'SHWLP-Att'!$R$11</f>
        <v>8.8212168387781509E-2</v>
      </c>
      <c r="T216" s="1134">
        <f>SUMIFS(INDEX(ArchetypeDemand!$I$6:$AH$50,,MATCH(T$166,ArchetypeDemand!$I$4:$AH$4,0)),ArchetypeDemand!$F$6:$F$50,$F216)*'SHWLP-Att'!$R$11</f>
        <v>1.0700724887568189</v>
      </c>
      <c r="U216" s="1134">
        <f>SUMIFS(INDEX(ArchetypeDemand!$I$6:$AH$50,,MATCH(U$166,ArchetypeDemand!$I$4:$AH$4,0)),ArchetypeDemand!$F$6:$F$50,$F216)*'SHWLP-Att'!$R$11</f>
        <v>0.11664191637302633</v>
      </c>
      <c r="V216" s="1134">
        <f>SUMIFS(INDEX(ArchetypeDemand!$I$6:$AH$50,,MATCH(V$166,ArchetypeDemand!$I$4:$AH$4,0)),ArchetypeDemand!$F$6:$F$50,$F216)*'SHWLP-Att'!$R$11</f>
        <v>0.2297149787878032</v>
      </c>
      <c r="W216" s="1134">
        <f>SUMIFS(INDEX(ArchetypeDemand!$I$6:$AH$50,,MATCH(W$166,ArchetypeDemand!$I$4:$AH$4,0)),ArchetypeDemand!$F$6:$F$50,$F216)*'SHWLP-Att'!$R$11</f>
        <v>9.9403104697667624E-2</v>
      </c>
      <c r="X216" s="1134">
        <f>SUMIFS(INDEX(ArchetypeDemand!$I$6:$AH$50,,MATCH(X$166,ArchetypeDemand!$I$4:$AH$4,0)),ArchetypeDemand!$F$6:$F$50,$F216)*'SHWLP-Att'!$R$11</f>
        <v>0.19328248937771775</v>
      </c>
      <c r="Y216" s="1134">
        <f>SUMIFS(INDEX(ArchetypeDemand!$I$6:$AH$50,,MATCH(Y$166,ArchetypeDemand!$I$4:$AH$4,0)),ArchetypeDemand!$F$6:$F$50,$F216)*'SHWLP-Att'!$R$11</f>
        <v>0.18727382552428493</v>
      </c>
      <c r="Z216" s="1134">
        <f>SUMIFS(INDEX(ArchetypeDemand!$I$6:$AH$50,,MATCH(Z$166,ArchetypeDemand!$I$4:$AH$4,0)),ArchetypeDemand!$F$6:$F$50,$F216)*'SHWLP-Att'!$R$11</f>
        <v>1.4759092265562069E-2</v>
      </c>
      <c r="AA216" s="1134">
        <f>SUMIFS(INDEX(ArchetypeDemand!$I$6:$AH$50,,MATCH(AA$166,ArchetypeDemand!$I$4:$AH$4,0)),ArchetypeDemand!$F$6:$F$50,$F216)*'SHWLP-Att'!$R$11</f>
        <v>7.5034033715084977E-2</v>
      </c>
      <c r="AB216" s="1134">
        <f>SUMIFS(INDEX(ArchetypeDemand!$I$6:$AH$50,,MATCH(AB$166,ArchetypeDemand!$I$4:$AH$4,0)),ArchetypeDemand!$F$6:$F$50,$F216)*'SHWLP-Att'!$R$11</f>
        <v>1.8982936779748757E-2</v>
      </c>
      <c r="AC216" s="1134">
        <f>SUMIFS(INDEX(ArchetypeDemand!$I$6:$AH$50,,MATCH(AC$166,ArchetypeDemand!$I$4:$AH$4,0)),ArchetypeDemand!$F$6:$F$50,$F216)*'SHWLP-Att'!$R$11</f>
        <v>5.9221479790576542E-2</v>
      </c>
      <c r="AD216" s="1134">
        <f>SUMIFS(INDEX(ArchetypeDemand!$I$6:$AH$50,,MATCH(AD$166,ArchetypeDemand!$I$4:$AH$4,0)),ArchetypeDemand!$F$6:$F$50,$F216)*'SHWLP-Att'!$R$11</f>
        <v>6.6586552778793759E-2</v>
      </c>
      <c r="AE216" s="1134">
        <f>SUMIFS(INDEX(ArchetypeDemand!$I$6:$AH$50,,MATCH(AE$166,ArchetypeDemand!$I$4:$AH$4,0)),ArchetypeDemand!$F$6:$F$50,$F216)*'SHWLP-Att'!$R$11</f>
        <v>8.1874199643143089E-2</v>
      </c>
      <c r="AF216" s="1134">
        <f>SUMIFS(INDEX(ArchetypeDemand!$I$6:$AH$50,,MATCH(AF$166,ArchetypeDemand!$I$4:$AH$4,0)),ArchetypeDemand!$F$6:$F$50,$F216)*'SHWLP-Att'!$R$11</f>
        <v>6.2167462179813338E-2</v>
      </c>
    </row>
    <row r="217" spans="3:32">
      <c r="C217" s="1136" t="s">
        <v>1141</v>
      </c>
      <c r="D217" s="1136" t="s">
        <v>1094</v>
      </c>
      <c r="E217" s="1136" t="s">
        <v>405</v>
      </c>
      <c r="F217" s="1136" t="s">
        <v>1097</v>
      </c>
      <c r="G217" s="1136">
        <f>SUMIFS(INDEX(ArchetypeDemand!$I$6:$AH$50,,MATCH($G$166,ArchetypeDemand!$I$4:$AH$4,0)),ArchetypeDemand!$F$6:$F$50,$F217)*'SHWLP-Att'!$R$11</f>
        <v>0.21630368169352832</v>
      </c>
      <c r="H217" s="1136">
        <f>SUMIFS(INDEX(ArchetypeDemand!$I$6:$AH$50,,MATCH(H$166,ArchetypeDemand!$I$4:$AH$4,0)),ArchetypeDemand!$F$6:$F$50,$F217)*'SHWLP-Att'!$R$11</f>
        <v>5.4169887404597628</v>
      </c>
      <c r="I217" s="1136">
        <f>SUMIFS(INDEX(ArchetypeDemand!$I$6:$AH$50,,MATCH(I$166,ArchetypeDemand!$I$4:$AH$4,0)),ArchetypeDemand!$F$6:$F$50,$F217)*'SHWLP-Att'!$R$11</f>
        <v>0.77746620876417205</v>
      </c>
      <c r="J217" s="1136">
        <f>SUMIFS(INDEX(ArchetypeDemand!$I$6:$AH$50,,MATCH(J$166,ArchetypeDemand!$I$4:$AH$4,0)),ArchetypeDemand!$F$6:$F$50,$F217)*'SHWLP-Att'!$R$11</f>
        <v>0.27662966332667643</v>
      </c>
      <c r="K217" s="1136">
        <f>SUMIFS(INDEX(ArchetypeDemand!$I$6:$AH$50,,MATCH(K$166,ArchetypeDemand!$I$4:$AH$4,0)),ArchetypeDemand!$F$6:$F$50,$F217)*'SHWLP-Att'!$R$11</f>
        <v>0.27521856576307346</v>
      </c>
      <c r="L217" s="1136">
        <f>SUMIFS(INDEX(ArchetypeDemand!$I$6:$AH$50,,MATCH(L$166,ArchetypeDemand!$I$4:$AH$4,0)),ArchetypeDemand!$F$6:$F$50,$F217)*'SHWLP-Att'!$R$11</f>
        <v>0.10543454641143034</v>
      </c>
      <c r="M217" s="1136">
        <f>SUMIFS(INDEX(ArchetypeDemand!$I$6:$AH$50,,MATCH(M$166,ArchetypeDemand!$I$4:$AH$4,0)),ArchetypeDemand!$F$6:$F$50,$F217)*'SHWLP-Att'!$R$11</f>
        <v>0.58686535846751542</v>
      </c>
      <c r="N217" s="1136">
        <f>SUMIFS(INDEX(ArchetypeDemand!$I$6:$AH$50,,MATCH(N$166,ArchetypeDemand!$I$4:$AH$4,0)),ArchetypeDemand!$F$6:$F$50,$F217)*'SHWLP-Att'!$R$11</f>
        <v>0.61472084237315339</v>
      </c>
      <c r="O217" s="1136">
        <f>SUMIFS(INDEX(ArchetypeDemand!$I$6:$AH$50,,MATCH(O$166,ArchetypeDemand!$I$4:$AH$4,0)),ArchetypeDemand!$F$6:$F$50,$F217)*'SHWLP-Att'!$R$11</f>
        <v>0.20127954236028486</v>
      </c>
      <c r="P217" s="1136">
        <f>SUMIFS(INDEX(ArchetypeDemand!$I$6:$AH$50,,MATCH(P$166,ArchetypeDemand!$I$4:$AH$4,0)),ArchetypeDemand!$F$6:$F$50,$F217)*'SHWLP-Att'!$R$11</f>
        <v>0.27714758927885813</v>
      </c>
      <c r="Q217" s="1136">
        <f>SUMIFS(INDEX(ArchetypeDemand!$I$6:$AH$50,,MATCH(Q$166,ArchetypeDemand!$I$4:$AH$4,0)),ArchetypeDemand!$F$6:$F$50,$F217)*'SHWLP-Att'!$R$11</f>
        <v>0.37956786028736761</v>
      </c>
      <c r="R217" s="1136">
        <f>SUMIFS(INDEX(ArchetypeDemand!$I$6:$AH$50,,MATCH(R$166,ArchetypeDemand!$I$4:$AH$4,0)),ArchetypeDemand!$F$6:$F$50,$F217)*'SHWLP-Att'!$R$11</f>
        <v>0.43187938831820016</v>
      </c>
      <c r="S217" s="1136">
        <f>SUMIFS(INDEX(ArchetypeDemand!$I$6:$AH$50,,MATCH(S$166,ArchetypeDemand!$I$4:$AH$4,0)),ArchetypeDemand!$F$6:$F$50,$F217)*'SHWLP-Att'!$R$11</f>
        <v>0.3111718477813572</v>
      </c>
      <c r="T217" s="1136">
        <f>SUMIFS(INDEX(ArchetypeDemand!$I$6:$AH$50,,MATCH(T$166,ArchetypeDemand!$I$4:$AH$4,0)),ArchetypeDemand!$F$6:$F$50,$F217)*'SHWLP-Att'!$R$11</f>
        <v>2.0562381716453242</v>
      </c>
      <c r="U217" s="1136">
        <f>SUMIFS(INDEX(ArchetypeDemand!$I$6:$AH$50,,MATCH(U$166,ArchetypeDemand!$I$4:$AH$4,0)),ArchetypeDemand!$F$6:$F$50,$F217)*'SHWLP-Att'!$R$11</f>
        <v>0.31603712042035903</v>
      </c>
      <c r="V217" s="1136">
        <f>SUMIFS(INDEX(ArchetypeDemand!$I$6:$AH$50,,MATCH(V$166,ArchetypeDemand!$I$4:$AH$4,0)),ArchetypeDemand!$F$6:$F$50,$F217)*'SHWLP-Att'!$R$11</f>
        <v>0.71160650611190879</v>
      </c>
      <c r="W217" s="1136">
        <f>SUMIFS(INDEX(ArchetypeDemand!$I$6:$AH$50,,MATCH(W$166,ArchetypeDemand!$I$4:$AH$4,0)),ArchetypeDemand!$F$6:$F$50,$F217)*'SHWLP-Att'!$R$11</f>
        <v>0.45052942530158085</v>
      </c>
      <c r="X217" s="1136">
        <f>SUMIFS(INDEX(ArchetypeDemand!$I$6:$AH$50,,MATCH(X$166,ArchetypeDemand!$I$4:$AH$4,0)),ArchetypeDemand!$F$6:$F$50,$F217)*'SHWLP-Att'!$R$11</f>
        <v>0.46743677006378587</v>
      </c>
      <c r="Y217" s="1136">
        <f>SUMIFS(INDEX(ArchetypeDemand!$I$6:$AH$50,,MATCH(Y$166,ArchetypeDemand!$I$4:$AH$4,0)),ArchetypeDemand!$F$6:$F$50,$F217)*'SHWLP-Att'!$R$11</f>
        <v>0.65515726019041698</v>
      </c>
      <c r="Z217" s="1136">
        <f>SUMIFS(INDEX(ArchetypeDemand!$I$6:$AH$50,,MATCH(Z$166,ArchetypeDemand!$I$4:$AH$4,0)),ArchetypeDemand!$F$6:$F$50,$F217)*'SHWLP-Att'!$R$11</f>
        <v>6.9467073692236855E-2</v>
      </c>
      <c r="AA217" s="1136">
        <f>SUMIFS(INDEX(ArchetypeDemand!$I$6:$AH$50,,MATCH(AA$166,ArchetypeDemand!$I$4:$AH$4,0)),ArchetypeDemand!$F$6:$F$50,$F217)*'SHWLP-Att'!$R$11</f>
        <v>0.28487120491257772</v>
      </c>
      <c r="AB217" s="1136">
        <f>SUMIFS(INDEX(ArchetypeDemand!$I$6:$AH$50,,MATCH(AB$166,ArchetypeDemand!$I$4:$AH$4,0)),ArchetypeDemand!$F$6:$F$50,$F217)*'SHWLP-Att'!$R$11</f>
        <v>0.15028928395075192</v>
      </c>
      <c r="AC217" s="1136">
        <f>SUMIFS(INDEX(ArchetypeDemand!$I$6:$AH$50,,MATCH(AC$166,ArchetypeDemand!$I$4:$AH$4,0)),ArchetypeDemand!$F$6:$F$50,$F217)*'SHWLP-Att'!$R$11</f>
        <v>0.18956270719568721</v>
      </c>
      <c r="AD217" s="1136">
        <f>SUMIFS(INDEX(ArchetypeDemand!$I$6:$AH$50,,MATCH(AD$166,ArchetypeDemand!$I$4:$AH$4,0)),ArchetypeDemand!$F$6:$F$50,$F217)*'SHWLP-Att'!$R$11</f>
        <v>0.20564149729489786</v>
      </c>
      <c r="AE217" s="1136">
        <f>SUMIFS(INDEX(ArchetypeDemand!$I$6:$AH$50,,MATCH(AE$166,ArchetypeDemand!$I$4:$AH$4,0)),ArchetypeDemand!$F$6:$F$50,$F217)*'SHWLP-Att'!$R$11</f>
        <v>0.41939121070988894</v>
      </c>
      <c r="AF217" s="1136">
        <f>SUMIFS(INDEX(ArchetypeDemand!$I$6:$AH$50,,MATCH(AF$166,ArchetypeDemand!$I$4:$AH$4,0)),ArchetypeDemand!$F$6:$F$50,$F217)*'SHWLP-Att'!$R$11</f>
        <v>0.13693812239247491</v>
      </c>
    </row>
    <row r="218" spans="3:32">
      <c r="C218" s="1134" t="s">
        <v>1141</v>
      </c>
      <c r="D218" s="1134" t="s">
        <v>1094</v>
      </c>
      <c r="E218" s="1134" t="s">
        <v>405</v>
      </c>
      <c r="F218" s="1134" t="s">
        <v>1098</v>
      </c>
      <c r="G218" s="1134">
        <f>SUMIFS(INDEX(ArchetypeDemand!$I$6:$AH$50,,MATCH($G$166,ArchetypeDemand!$I$4:$AH$4,0)),ArchetypeDemand!$F$6:$F$50,$F218)*'SHWLP-Att'!$R$11</f>
        <v>0.11349655391186586</v>
      </c>
      <c r="H218" s="1134">
        <f>SUMIFS(INDEX(ArchetypeDemand!$I$6:$AH$50,,MATCH(H$166,ArchetypeDemand!$I$4:$AH$4,0)),ArchetypeDemand!$F$6:$F$50,$F218)*'SHWLP-Att'!$R$11</f>
        <v>3.9692945543518179</v>
      </c>
      <c r="I218" s="1134">
        <f>SUMIFS(INDEX(ArchetypeDemand!$I$6:$AH$50,,MATCH(I$166,ArchetypeDemand!$I$4:$AH$4,0)),ArchetypeDemand!$F$6:$F$50,$F218)*'SHWLP-Att'!$R$11</f>
        <v>0.43692069273391432</v>
      </c>
      <c r="J218" s="1134">
        <f>SUMIFS(INDEX(ArchetypeDemand!$I$6:$AH$50,,MATCH(J$166,ArchetypeDemand!$I$4:$AH$4,0)),ArchetypeDemand!$F$6:$F$50,$F218)*'SHWLP-Att'!$R$11</f>
        <v>0.1611907915709041</v>
      </c>
      <c r="K218" s="1134">
        <f>SUMIFS(INDEX(ArchetypeDemand!$I$6:$AH$50,,MATCH(K$166,ArchetypeDemand!$I$4:$AH$4,0)),ArchetypeDemand!$F$6:$F$50,$F218)*'SHWLP-Att'!$R$11</f>
        <v>0.10200135870935856</v>
      </c>
      <c r="L218" s="1134">
        <f>SUMIFS(INDEX(ArchetypeDemand!$I$6:$AH$50,,MATCH(L$166,ArchetypeDemand!$I$4:$AH$4,0)),ArchetypeDemand!$F$6:$F$50,$F218)*'SHWLP-Att'!$R$11</f>
        <v>6.5139938271329287E-2</v>
      </c>
      <c r="M218" s="1134">
        <f>SUMIFS(INDEX(ArchetypeDemand!$I$6:$AH$50,,MATCH(M$166,ArchetypeDemand!$I$4:$AH$4,0)),ArchetypeDemand!$F$6:$F$50,$F218)*'SHWLP-Att'!$R$11</f>
        <v>0.23292791111381764</v>
      </c>
      <c r="N218" s="1134">
        <f>SUMIFS(INDEX(ArchetypeDemand!$I$6:$AH$50,,MATCH(N$166,ArchetypeDemand!$I$4:$AH$4,0)),ArchetypeDemand!$F$6:$F$50,$F218)*'SHWLP-Att'!$R$11</f>
        <v>0.18374073530274473</v>
      </c>
      <c r="O218" s="1134">
        <f>SUMIFS(INDEX(ArchetypeDemand!$I$6:$AH$50,,MATCH(O$166,ArchetypeDemand!$I$4:$AH$4,0)),ArchetypeDemand!$F$6:$F$50,$F218)*'SHWLP-Att'!$R$11</f>
        <v>9.4925697215438684E-2</v>
      </c>
      <c r="P218" s="1134">
        <f>SUMIFS(INDEX(ArchetypeDemand!$I$6:$AH$50,,MATCH(P$166,ArchetypeDemand!$I$4:$AH$4,0)),ArchetypeDemand!$F$6:$F$50,$F218)*'SHWLP-Att'!$R$11</f>
        <v>0.15484320943668628</v>
      </c>
      <c r="Q218" s="1134">
        <f>SUMIFS(INDEX(ArchetypeDemand!$I$6:$AH$50,,MATCH(Q$166,ArchetypeDemand!$I$4:$AH$4,0)),ArchetypeDemand!$F$6:$F$50,$F218)*'SHWLP-Att'!$R$11</f>
        <v>0.2745097075950873</v>
      </c>
      <c r="R218" s="1134">
        <f>SUMIFS(INDEX(ArchetypeDemand!$I$6:$AH$50,,MATCH(R$166,ArchetypeDemand!$I$4:$AH$4,0)),ArchetypeDemand!$F$6:$F$50,$F218)*'SHWLP-Att'!$R$11</f>
        <v>0.26320586742368984</v>
      </c>
      <c r="S218" s="1134">
        <f>SUMIFS(INDEX(ArchetypeDemand!$I$6:$AH$50,,MATCH(S$166,ArchetypeDemand!$I$4:$AH$4,0)),ArchetypeDemand!$F$6:$F$50,$F218)*'SHWLP-Att'!$R$11</f>
        <v>0.24214085332059421</v>
      </c>
      <c r="T218" s="1134">
        <f>SUMIFS(INDEX(ArchetypeDemand!$I$6:$AH$50,,MATCH(T$166,ArchetypeDemand!$I$4:$AH$4,0)),ArchetypeDemand!$F$6:$F$50,$F218)*'SHWLP-Att'!$R$11</f>
        <v>0.93838350027999284</v>
      </c>
      <c r="U218" s="1134">
        <f>SUMIFS(INDEX(ArchetypeDemand!$I$6:$AH$50,,MATCH(U$166,ArchetypeDemand!$I$4:$AH$4,0)),ArchetypeDemand!$F$6:$F$50,$F218)*'SHWLP-Att'!$R$11</f>
        <v>0.21876303428730179</v>
      </c>
      <c r="V218" s="1134">
        <f>SUMIFS(INDEX(ArchetypeDemand!$I$6:$AH$50,,MATCH(V$166,ArchetypeDemand!$I$4:$AH$4,0)),ArchetypeDemand!$F$6:$F$50,$F218)*'SHWLP-Att'!$R$11</f>
        <v>0.4409741599981894</v>
      </c>
      <c r="W218" s="1134">
        <f>SUMIFS(INDEX(ArchetypeDemand!$I$6:$AH$50,,MATCH(W$166,ArchetypeDemand!$I$4:$AH$4,0)),ArchetypeDemand!$F$6:$F$50,$F218)*'SHWLP-Att'!$R$11</f>
        <v>0.29686261010697435</v>
      </c>
      <c r="X218" s="1134">
        <f>SUMIFS(INDEX(ArchetypeDemand!$I$6:$AH$50,,MATCH(X$166,ArchetypeDemand!$I$4:$AH$4,0)),ArchetypeDemand!$F$6:$F$50,$F218)*'SHWLP-Att'!$R$11</f>
        <v>0.30286669042428127</v>
      </c>
      <c r="Y218" s="1134">
        <f>SUMIFS(INDEX(ArchetypeDemand!$I$6:$AH$50,,MATCH(Y$166,ArchetypeDemand!$I$4:$AH$4,0)),ArchetypeDemand!$F$6:$F$50,$F218)*'SHWLP-Att'!$R$11</f>
        <v>0.36640753123943426</v>
      </c>
      <c r="Z218" s="1134">
        <f>SUMIFS(INDEX(ArchetypeDemand!$I$6:$AH$50,,MATCH(Z$166,ArchetypeDemand!$I$4:$AH$4,0)),ArchetypeDemand!$F$6:$F$50,$F218)*'SHWLP-Att'!$R$11</f>
        <v>2.5544582767318965E-2</v>
      </c>
      <c r="AA218" s="1134">
        <f>SUMIFS(INDEX(ArchetypeDemand!$I$6:$AH$50,,MATCH(AA$166,ArchetypeDemand!$I$4:$AH$4,0)),ArchetypeDemand!$F$6:$F$50,$F218)*'SHWLP-Att'!$R$11</f>
        <v>0.17150680183925926</v>
      </c>
      <c r="AB218" s="1134">
        <f>SUMIFS(INDEX(ArchetypeDemand!$I$6:$AH$50,,MATCH(AB$166,ArchetypeDemand!$I$4:$AH$4,0)),ArchetypeDemand!$F$6:$F$50,$F218)*'SHWLP-Att'!$R$11</f>
        <v>5.0724775426935646E-2</v>
      </c>
      <c r="AC218" s="1134">
        <f>SUMIFS(INDEX(ArchetypeDemand!$I$6:$AH$50,,MATCH(AC$166,ArchetypeDemand!$I$4:$AH$4,0)),ArchetypeDemand!$F$6:$F$50,$F218)*'SHWLP-Att'!$R$11</f>
        <v>0.11519391097605851</v>
      </c>
      <c r="AD218" s="1134">
        <f>SUMIFS(INDEX(ArchetypeDemand!$I$6:$AH$50,,MATCH(AD$166,ArchetypeDemand!$I$4:$AH$4,0)),ArchetypeDemand!$F$6:$F$50,$F218)*'SHWLP-Att'!$R$11</f>
        <v>7.0491166766931679E-2</v>
      </c>
      <c r="AE218" s="1134">
        <f>SUMIFS(INDEX(ArchetypeDemand!$I$6:$AH$50,,MATCH(AE$166,ArchetypeDemand!$I$4:$AH$4,0)),ArchetypeDemand!$F$6:$F$50,$F218)*'SHWLP-Att'!$R$11</f>
        <v>0.1909711603167483</v>
      </c>
      <c r="AF218" s="1134">
        <f>SUMIFS(INDEX(ArchetypeDemand!$I$6:$AH$50,,MATCH(AF$166,ArchetypeDemand!$I$4:$AH$4,0)),ArchetypeDemand!$F$6:$F$50,$F218)*'SHWLP-Att'!$R$11</f>
        <v>9.1849941187763531E-2</v>
      </c>
    </row>
    <row r="219" spans="3:32">
      <c r="C219" s="1136" t="s">
        <v>1141</v>
      </c>
      <c r="D219" s="1136" t="s">
        <v>1094</v>
      </c>
      <c r="E219" s="1136" t="s">
        <v>405</v>
      </c>
      <c r="F219" s="1136" t="s">
        <v>1099</v>
      </c>
      <c r="G219" s="1136">
        <f>SUMIFS(INDEX(ArchetypeDemand!$I$6:$AH$50,,MATCH($G$166,ArchetypeDemand!$I$4:$AH$4,0)),ArchetypeDemand!$F$6:$F$50,$F219)*'SHWLP-Att'!$R$11</f>
        <v>4.0242545431354103E-2</v>
      </c>
      <c r="H219" s="1136">
        <f>SUMIFS(INDEX(ArchetypeDemand!$I$6:$AH$50,,MATCH($H$166,ArchetypeDemand!$I$4:$AH$4,0)),ArchetypeDemand!$F$6:$F$50,$F219)*'SHWLP-Att'!$R$11</f>
        <v>2.0621118172902939</v>
      </c>
      <c r="I219" s="1136">
        <f>SUMIFS(INDEX(ArchetypeDemand!$I$6:$AH$50,,MATCH(I$166,ArchetypeDemand!$I$4:$AH$4,0)),ArchetypeDemand!$F$6:$F$50,$F219)*'SHWLP-Att'!$R$11</f>
        <v>0.13625798976677955</v>
      </c>
      <c r="J219" s="1136">
        <f>SUMIFS(INDEX(ArchetypeDemand!$I$6:$AH$50,,MATCH(J$166,ArchetypeDemand!$I$4:$AH$4,0)),ArchetypeDemand!$F$6:$F$50,$F219)*'SHWLP-Att'!$R$11</f>
        <v>7.5300034695737719E-2</v>
      </c>
      <c r="K219" s="1136">
        <f>SUMIFS(INDEX(ArchetypeDemand!$I$6:$AH$50,,MATCH(K$166,ArchetypeDemand!$I$4:$AH$4,0)),ArchetypeDemand!$F$6:$F$50,$F219)*'SHWLP-Att'!$R$11</f>
        <v>7.9983873448312676E-2</v>
      </c>
      <c r="L219" s="1136">
        <f>SUMIFS(INDEX(ArchetypeDemand!$I$6:$AH$50,,MATCH(L$166,ArchetypeDemand!$I$4:$AH$4,0)),ArchetypeDemand!$F$6:$F$50,$F219)*'SHWLP-Att'!$R$11</f>
        <v>2.6742609886703839E-2</v>
      </c>
      <c r="M219" s="1136">
        <f>SUMIFS(INDEX(ArchetypeDemand!$I$6:$AH$50,,MATCH(M$166,ArchetypeDemand!$I$4:$AH$4,0)),ArchetypeDemand!$F$6:$F$50,$F219)*'SHWLP-Att'!$R$11</f>
        <v>9.3647788439469679E-2</v>
      </c>
      <c r="N219" s="1136">
        <f>SUMIFS(INDEX(ArchetypeDemand!$I$6:$AH$50,,MATCH(N$166,ArchetypeDemand!$I$4:$AH$4,0)),ArchetypeDemand!$F$6:$F$50,$F219)*'SHWLP-Att'!$R$11</f>
        <v>6.4343033226420723E-2</v>
      </c>
      <c r="O219" s="1136">
        <f>SUMIFS(INDEX(ArchetypeDemand!$I$6:$AH$50,,MATCH(O$166,ArchetypeDemand!$I$4:$AH$4,0)),ArchetypeDemand!$F$6:$F$50,$F219)*'SHWLP-Att'!$R$11</f>
        <v>0.11191348467807141</v>
      </c>
      <c r="P219" s="1136">
        <f>SUMIFS(INDEX(ArchetypeDemand!$I$6:$AH$50,,MATCH(P$166,ArchetypeDemand!$I$4:$AH$4,0)),ArchetypeDemand!$F$6:$F$50,$F219)*'SHWLP-Att'!$R$11</f>
        <v>7.6428413698743133E-2</v>
      </c>
      <c r="Q219" s="1136">
        <f>SUMIFS(INDEX(ArchetypeDemand!$I$6:$AH$50,,MATCH(Q$166,ArchetypeDemand!$I$4:$AH$4,0)),ArchetypeDemand!$F$6:$F$50,$F219)*'SHWLP-Att'!$R$11</f>
        <v>0.12009233661203757</v>
      </c>
      <c r="R219" s="1136">
        <f>SUMIFS(INDEX(ArchetypeDemand!$I$6:$AH$50,,MATCH(R$166,ArchetypeDemand!$I$4:$AH$4,0)),ArchetypeDemand!$F$6:$F$50,$F219)*'SHWLP-Att'!$R$11</f>
        <v>0.14151661418781752</v>
      </c>
      <c r="S219" s="1136">
        <f>SUMIFS(INDEX(ArchetypeDemand!$I$6:$AH$50,,MATCH(S$166,ArchetypeDemand!$I$4:$AH$4,0)),ArchetypeDemand!$F$6:$F$50,$F219)*'SHWLP-Att'!$R$11</f>
        <v>0.10425632196837602</v>
      </c>
      <c r="T219" s="1136">
        <f>SUMIFS(INDEX(ArchetypeDemand!$I$6:$AH$50,,MATCH(T$166,ArchetypeDemand!$I$4:$AH$4,0)),ArchetypeDemand!$F$6:$F$50,$F219)*'SHWLP-Att'!$R$11</f>
        <v>0.46379076790689272</v>
      </c>
      <c r="U219" s="1136">
        <f>SUMIFS(INDEX(ArchetypeDemand!$I$6:$AH$50,,MATCH(U$166,ArchetypeDemand!$I$4:$AH$4,0)),ArchetypeDemand!$F$6:$F$50,$F219)*'SHWLP-Att'!$R$11</f>
        <v>0.11162056260451411</v>
      </c>
      <c r="V219" s="1136">
        <f>SUMIFS(INDEX(ArchetypeDemand!$I$6:$AH$50,,MATCH(V$166,ArchetypeDemand!$I$4:$AH$4,0)),ArchetypeDemand!$F$6:$F$50,$F219)*'SHWLP-Att'!$R$11</f>
        <v>0.18501411297956089</v>
      </c>
      <c r="W219" s="1136">
        <f>SUMIFS(INDEX(ArchetypeDemand!$I$6:$AH$50,,MATCH(W$166,ArchetypeDemand!$I$4:$AH$4,0)),ArchetypeDemand!$F$6:$F$50,$F219)*'SHWLP-Att'!$R$11</f>
        <v>0.16707706924028043</v>
      </c>
      <c r="X219" s="1136">
        <f>SUMIFS(INDEX(ArchetypeDemand!$I$6:$AH$50,,MATCH(X$166,ArchetypeDemand!$I$4:$AH$4,0)),ArchetypeDemand!$F$6:$F$50,$F219)*'SHWLP-Att'!$R$11</f>
        <v>0.11394793818314236</v>
      </c>
      <c r="Y219" s="1136">
        <f>SUMIFS(INDEX(ArchetypeDemand!$I$6:$AH$50,,MATCH(Y$166,ArchetypeDemand!$I$4:$AH$4,0)),ArchetypeDemand!$F$6:$F$50,$F219)*'SHWLP-Att'!$R$11</f>
        <v>0.15505817539804631</v>
      </c>
      <c r="Z219" s="1136">
        <f>SUMIFS(INDEX(ArchetypeDemand!$I$6:$AH$50,,MATCH(Z$166,ArchetypeDemand!$I$4:$AH$4,0)),ArchetypeDemand!$F$6:$F$50,$F219)*'SHWLP-Att'!$R$11</f>
        <v>1.6036321403928015E-2</v>
      </c>
      <c r="AA219" s="1136">
        <f>SUMIFS(INDEX(ArchetypeDemand!$I$6:$AH$50,,MATCH(AA$166,ArchetypeDemand!$I$4:$AH$4,0)),ArchetypeDemand!$F$6:$F$50,$F219)*'SHWLP-Att'!$R$11</f>
        <v>6.575312371856018E-2</v>
      </c>
      <c r="AB219" s="1136">
        <f>SUMIFS(INDEX(ArchetypeDemand!$I$6:$AH$50,,MATCH(AB$166,ArchetypeDemand!$I$4:$AH$4,0)),ArchetypeDemand!$F$6:$F$50,$F219)*'SHWLP-Att'!$R$11</f>
        <v>3.5473069301944861E-2</v>
      </c>
      <c r="AC219" s="1136">
        <f>SUMIFS(INDEX(ArchetypeDemand!$I$6:$AH$50,,MATCH(AC$166,ArchetypeDemand!$I$4:$AH$4,0)),ArchetypeDemand!$F$6:$F$50,$F219)*'SHWLP-Att'!$R$11</f>
        <v>6.2260345349986181E-2</v>
      </c>
      <c r="AD219" s="1136">
        <f>SUMIFS(INDEX(ArchetypeDemand!$I$6:$AH$50,,MATCH(AD$166,ArchetypeDemand!$I$4:$AH$4,0)),ArchetypeDemand!$F$6:$F$50,$F219)*'SHWLP-Att'!$R$11</f>
        <v>3.7274106168125751E-2</v>
      </c>
      <c r="AE219" s="1136">
        <f>SUMIFS(INDEX(ArchetypeDemand!$I$6:$AH$50,,MATCH(AE$166,ArchetypeDemand!$I$4:$AH$4,0)),ArchetypeDemand!$F$6:$F$50,$F219)*'SHWLP-Att'!$R$11</f>
        <v>8.5168956314513641E-2</v>
      </c>
      <c r="AF219" s="1136">
        <f>SUMIFS(INDEX(ArchetypeDemand!$I$6:$AH$50,,MATCH(AF$166,ArchetypeDemand!$I$4:$AH$4,0)),ArchetypeDemand!$F$6:$F$50,$F219)*'SHWLP-Att'!$R$11</f>
        <v>3.6129612450063464E-2</v>
      </c>
    </row>
    <row r="220" spans="3:32">
      <c r="C220" s="1134" t="s">
        <v>1141</v>
      </c>
      <c r="D220" s="1134" t="s">
        <v>1094</v>
      </c>
      <c r="E220" s="1134" t="s">
        <v>405</v>
      </c>
      <c r="F220" s="1134" t="s">
        <v>1100</v>
      </c>
      <c r="G220" s="1134">
        <f>SUMIFS(INDEX(ArchetypeDemand!$I$6:$AH$50,,MATCH($G$166,ArchetypeDemand!$I$4:$AH$4,0)),ArchetypeDemand!$F$6:$F$50,$F220)*'SHWLP-Att'!$R$11</f>
        <v>2.027847015876828E-2</v>
      </c>
      <c r="H220" s="1134">
        <f>SUMIFS(INDEX(ArchetypeDemand!$I$6:$AH$50,,MATCH($H$166,ArchetypeDemand!$I$4:$AH$4,0)),ArchetypeDemand!$F$6:$F$50,$F220)*'SHWLP-Att'!$R$11</f>
        <v>0.95457047424224473</v>
      </c>
      <c r="I220" s="1134">
        <f>SUMIFS(INDEX(ArchetypeDemand!$I$6:$AH$50,,MATCH(I$166,ArchetypeDemand!$I$4:$AH$4,0)),ArchetypeDemand!$F$6:$F$50,$F220)*'SHWLP-Att'!$R$11</f>
        <v>4.8137859158482704E-2</v>
      </c>
      <c r="J220" s="1134">
        <f>SUMIFS(INDEX(ArchetypeDemand!$I$6:$AH$50,,MATCH(J$166,ArchetypeDemand!$I$4:$AH$4,0)),ArchetypeDemand!$F$6:$F$50,$F220)*'SHWLP-Att'!$R$11</f>
        <v>3.4313939861348834E-2</v>
      </c>
      <c r="K220" s="1134">
        <f>SUMIFS(INDEX(ArchetypeDemand!$I$6:$AH$50,,MATCH(K$166,ArchetypeDemand!$I$4:$AH$4,0)),ArchetypeDemand!$F$6:$F$50,$F220)*'SHWLP-Att'!$R$11</f>
        <v>3.6046325427376E-2</v>
      </c>
      <c r="L220" s="1134">
        <f>SUMIFS(INDEX(ArchetypeDemand!$I$6:$AH$50,,MATCH(L$166,ArchetypeDemand!$I$4:$AH$4,0)),ArchetypeDemand!$F$6:$F$50,$F220)*'SHWLP-Att'!$R$11</f>
        <v>1.2648531703170734E-2</v>
      </c>
      <c r="M220" s="1134">
        <f>SUMIFS(INDEX(ArchetypeDemand!$I$6:$AH$50,,MATCH(M$166,ArchetypeDemand!$I$4:$AH$4,0)),ArchetypeDemand!$F$6:$F$50,$F220)*'SHWLP-Att'!$R$11</f>
        <v>4.2190049834181446E-2</v>
      </c>
      <c r="N220" s="1134">
        <f>SUMIFS(INDEX(ArchetypeDemand!$I$6:$AH$50,,MATCH(N$166,ArchetypeDemand!$I$4:$AH$4,0)),ArchetypeDemand!$F$6:$F$50,$F220)*'SHWLP-Att'!$R$11</f>
        <v>3.1580438880159253E-2</v>
      </c>
      <c r="O220" s="1134">
        <f>SUMIFS(INDEX(ArchetypeDemand!$I$6:$AH$50,,MATCH(O$166,ArchetypeDemand!$I$4:$AH$4,0)),ArchetypeDemand!$F$6:$F$50,$F220)*'SHWLP-Att'!$R$11</f>
        <v>5.4052051017467795E-2</v>
      </c>
      <c r="P220" s="1134">
        <f>SUMIFS(INDEX(ArchetypeDemand!$I$6:$AH$50,,MATCH(P$166,ArchetypeDemand!$I$4:$AH$4,0)),ArchetypeDemand!$F$6:$F$50,$F220)*'SHWLP-Att'!$R$11</f>
        <v>3.4525211633714414E-2</v>
      </c>
      <c r="Q220" s="1134">
        <f>SUMIFS(INDEX(ArchetypeDemand!$I$6:$AH$50,,MATCH(Q$166,ArchetypeDemand!$I$4:$AH$4,0)),ArchetypeDemand!$F$6:$F$50,$F220)*'SHWLP-Att'!$R$11</f>
        <v>4.8996948798727236E-2</v>
      </c>
      <c r="R220" s="1134">
        <f>SUMIFS(INDEX(ArchetypeDemand!$I$6:$AH$50,,MATCH(R$166,ArchetypeDemand!$I$4:$AH$4,0)),ArchetypeDemand!$F$6:$F$50,$F220)*'SHWLP-Att'!$R$11</f>
        <v>5.6944932402269201E-2</v>
      </c>
      <c r="S220" s="1134">
        <f>SUMIFS(INDEX(ArchetypeDemand!$I$6:$AH$50,,MATCH(S$166,ArchetypeDemand!$I$4:$AH$4,0)),ArchetypeDemand!$F$6:$F$50,$F220)*'SHWLP-Att'!$R$11</f>
        <v>3.8863207678424418E-2</v>
      </c>
      <c r="T220" s="1134">
        <f>SUMIFS(INDEX(ArchetypeDemand!$I$6:$AH$50,,MATCH(T$166,ArchetypeDemand!$I$4:$AH$4,0)),ArchetypeDemand!$F$6:$F$50,$F220)*'SHWLP-Att'!$R$11</f>
        <v>0.20424631894361236</v>
      </c>
      <c r="U220" s="1134">
        <f>SUMIFS(INDEX(ArchetypeDemand!$I$6:$AH$50,,MATCH(U$166,ArchetypeDemand!$I$4:$AH$4,0)),ArchetypeDemand!$F$6:$F$50,$F220)*'SHWLP-Att'!$R$11</f>
        <v>4.279064658538579E-2</v>
      </c>
      <c r="V220" s="1134">
        <f>SUMIFS(INDEX(ArchetypeDemand!$I$6:$AH$50,,MATCH(V$166,ArchetypeDemand!$I$4:$AH$4,0)),ArchetypeDemand!$F$6:$F$50,$F220)*'SHWLP-Att'!$R$11</f>
        <v>7.6313848342149632E-2</v>
      </c>
      <c r="W220" s="1134">
        <f>SUMIFS(INDEX(ArchetypeDemand!$I$6:$AH$50,,MATCH(W$166,ArchetypeDemand!$I$4:$AH$4,0)),ArchetypeDemand!$F$6:$F$50,$F220)*'SHWLP-Att'!$R$11</f>
        <v>8.06452263842585E-2</v>
      </c>
      <c r="X220" s="1134">
        <f>SUMIFS(INDEX(ArchetypeDemand!$I$6:$AH$50,,MATCH(X$166,ArchetypeDemand!$I$4:$AH$4,0)),ArchetypeDemand!$F$6:$F$50,$F220)*'SHWLP-Att'!$R$11</f>
        <v>5.0333422018398188E-2</v>
      </c>
      <c r="Y220" s="1134">
        <f>SUMIFS(INDEX(ArchetypeDemand!$I$6:$AH$50,,MATCH(Y$166,ArchetypeDemand!$I$4:$AH$4,0)),ArchetypeDemand!$F$6:$F$50,$F220)*'SHWLP-Att'!$R$11</f>
        <v>7.0106546375320336E-2</v>
      </c>
      <c r="Z220" s="1134">
        <f>SUMIFS(INDEX(ArchetypeDemand!$I$6:$AH$50,,MATCH(Z$166,ArchetypeDemand!$I$4:$AH$4,0)),ArchetypeDemand!$F$6:$F$50,$F220)*'SHWLP-Att'!$R$11</f>
        <v>1.1920805291415518E-2</v>
      </c>
      <c r="AA220" s="1134">
        <f>SUMIFS(INDEX(ArchetypeDemand!$I$6:$AH$50,,MATCH(AA$166,ArchetypeDemand!$I$4:$AH$4,0)),ArchetypeDemand!$F$6:$F$50,$F220)*'SHWLP-Att'!$R$11</f>
        <v>3.4779243097434936E-2</v>
      </c>
      <c r="AB220" s="1134">
        <f>SUMIFS(INDEX(ArchetypeDemand!$I$6:$AH$50,,MATCH(AB$166,ArchetypeDemand!$I$4:$AH$4,0)),ArchetypeDemand!$F$6:$F$50,$F220)*'SHWLP-Att'!$R$11</f>
        <v>1.8764739558275182E-2</v>
      </c>
      <c r="AC220" s="1134">
        <f>SUMIFS(INDEX(ArchetypeDemand!$I$6:$AH$50,,MATCH(AC$166,ArchetypeDemand!$I$4:$AH$4,0)),ArchetypeDemand!$F$6:$F$50,$F220)*'SHWLP-Att'!$R$11</f>
        <v>2.6016806598285945E-2</v>
      </c>
      <c r="AD220" s="1134">
        <f>SUMIFS(INDEX(ArchetypeDemand!$I$6:$AH$50,,MATCH(AD$166,ArchetypeDemand!$I$4:$AH$4,0)),ArchetypeDemand!$F$6:$F$50,$F220)*'SHWLP-Att'!$R$11</f>
        <v>1.6735312973444213E-2</v>
      </c>
      <c r="AE220" s="1134">
        <f>SUMIFS(INDEX(ArchetypeDemand!$I$6:$AH$50,,MATCH(AE$166,ArchetypeDemand!$I$4:$AH$4,0)),ArchetypeDemand!$F$6:$F$50,$F220)*'SHWLP-Att'!$R$11</f>
        <v>3.8448739083286311E-2</v>
      </c>
      <c r="AF220" s="1134">
        <f>SUMIFS(INDEX(ArchetypeDemand!$I$6:$AH$50,,MATCH(AF$166,ArchetypeDemand!$I$4:$AH$4,0)),ArchetypeDemand!$F$6:$F$50,$F220)*'SHWLP-Att'!$R$11</f>
        <v>1.6046667109973694E-2</v>
      </c>
    </row>
    <row r="221" spans="3:32" ht="13.5" thickBot="1">
      <c r="C221" s="1138" t="s">
        <v>1141</v>
      </c>
      <c r="D221" s="1138" t="s">
        <v>1094</v>
      </c>
      <c r="E221" s="1138" t="s">
        <v>405</v>
      </c>
      <c r="F221" s="1138" t="s">
        <v>1101</v>
      </c>
      <c r="G221" s="1138">
        <f>SUMIFS(INDEX(ArchetypeDemand!$I$6:$AH$50,,MATCH($G$166,ArchetypeDemand!$I$4:$AH$4,0)),ArchetypeDemand!$F$6:$F$50,$F221)*'SHWLP-Att'!$R$11</f>
        <v>1.9020890614038461E-2</v>
      </c>
      <c r="H221" s="1138">
        <f>SUMIFS(INDEX(ArchetypeDemand!$I$6:$AH$50,,MATCH($H$166,ArchetypeDemand!$I$4:$AH$4,0)),ArchetypeDemand!$F$6:$F$50,$F221)*'SHWLP-Att'!$R$11</f>
        <v>0.80966282894277042</v>
      </c>
      <c r="I221" s="1138">
        <f>SUMIFS(INDEX(ArchetypeDemand!$I$6:$AH$50,,MATCH(I$166,ArchetypeDemand!$I$4:$AH$4,0)),ArchetypeDemand!$F$6:$F$50,$F221)*'SHWLP-Att'!$R$11</f>
        <v>5.1917277852743748E-2</v>
      </c>
      <c r="J221" s="1138">
        <f>SUMIFS(INDEX(ArchetypeDemand!$I$6:$AH$50,,MATCH(J$166,ArchetypeDemand!$I$4:$AH$4,0)),ArchetypeDemand!$F$6:$F$50,$F221)*'SHWLP-Att'!$R$11</f>
        <v>3.6220269853645987E-2</v>
      </c>
      <c r="K221" s="1138">
        <f>SUMIFS(INDEX(ArchetypeDemand!$I$6:$AH$50,,MATCH(K$166,ArchetypeDemand!$I$4:$AH$4,0)),ArchetypeDemand!$F$6:$F$50,$F221)*'SHWLP-Att'!$R$11</f>
        <v>4.023549297704402E-2</v>
      </c>
      <c r="L221" s="1138">
        <f>SUMIFS(INDEX(ArchetypeDemand!$I$6:$AH$50,,MATCH(L$166,ArchetypeDemand!$I$4:$AH$4,0)),ArchetypeDemand!$F$6:$F$50,$F221)*'SHWLP-Att'!$R$11</f>
        <v>1.1564371842898958E-2</v>
      </c>
      <c r="M221" s="1138">
        <f>SUMIFS(INDEX(ArchetypeDemand!$I$6:$AH$50,,MATCH(M$166,ArchetypeDemand!$I$4:$AH$4,0)),ArchetypeDemand!$F$6:$F$50,$F221)*'SHWLP-Att'!$R$11</f>
        <v>6.2049382915124594E-2</v>
      </c>
      <c r="N221" s="1138">
        <f>SUMIFS(INDEX(ArchetypeDemand!$I$6:$AH$50,,MATCH(N$166,ArchetypeDemand!$I$4:$AH$4,0)),ArchetypeDemand!$F$6:$F$50,$F221)*'SHWLP-Att'!$R$11</f>
        <v>2.9807205681005925E-2</v>
      </c>
      <c r="O221" s="1138">
        <f>SUMIFS(INDEX(ArchetypeDemand!$I$6:$AH$50,,MATCH(O$166,ArchetypeDemand!$I$4:$AH$4,0)),ArchetypeDemand!$F$6:$F$50,$F221)*'SHWLP-Att'!$R$11</f>
        <v>5.2198837839726044E-2</v>
      </c>
      <c r="P221" s="1138">
        <f>SUMIFS(INDEX(ArchetypeDemand!$I$6:$AH$50,,MATCH(P$166,ArchetypeDemand!$I$4:$AH$4,0)),ArchetypeDemand!$F$6:$F$50,$F221)*'SHWLP-Att'!$R$11</f>
        <v>4.8335296287200173E-2</v>
      </c>
      <c r="Q221" s="1138">
        <f>SUMIFS(INDEX(ArchetypeDemand!$I$6:$AH$50,,MATCH(Q$166,ArchetypeDemand!$I$4:$AH$4,0)),ArchetypeDemand!$F$6:$F$50,$F221)*'SHWLP-Att'!$R$11</f>
        <v>5.8144253472796462E-2</v>
      </c>
      <c r="R221" s="1138">
        <f>SUMIFS(INDEX(ArchetypeDemand!$I$6:$AH$50,,MATCH(R$166,ArchetypeDemand!$I$4:$AH$4,0)),ArchetypeDemand!$F$6:$F$50,$F221)*'SHWLP-Att'!$R$11</f>
        <v>6.2301138915353937E-2</v>
      </c>
      <c r="S221" s="1138">
        <f>SUMIFS(INDEX(ArchetypeDemand!$I$6:$AH$50,,MATCH(S$166,ArchetypeDemand!$I$4:$AH$4,0)),ArchetypeDemand!$F$6:$F$50,$F221)*'SHWLP-Att'!$R$11</f>
        <v>3.8242106185846864E-2</v>
      </c>
      <c r="T221" s="1138">
        <f>SUMIFS(INDEX(ArchetypeDemand!$I$6:$AH$50,,MATCH(T$166,ArchetypeDemand!$I$4:$AH$4,0)),ArchetypeDemand!$F$6:$F$50,$F221)*'SHWLP-Att'!$R$11</f>
        <v>0.24448115906544962</v>
      </c>
      <c r="U221" s="1138">
        <f>SUMIFS(INDEX(ArchetypeDemand!$I$6:$AH$50,,MATCH(U$166,ArchetypeDemand!$I$4:$AH$4,0)),ArchetypeDemand!$F$6:$F$50,$F221)*'SHWLP-Att'!$R$11</f>
        <v>4.7932158384405017E-2</v>
      </c>
      <c r="V221" s="1138">
        <f>SUMIFS(INDEX(ArchetypeDemand!$I$6:$AH$50,,MATCH(V$166,ArchetypeDemand!$I$4:$AH$4,0)),ArchetypeDemand!$F$6:$F$50,$F221)*'SHWLP-Att'!$R$11</f>
        <v>8.1502832168462269E-2</v>
      </c>
      <c r="W221" s="1138">
        <f>SUMIFS(INDEX(ArchetypeDemand!$I$6:$AH$50,,MATCH(W$166,ArchetypeDemand!$I$4:$AH$4,0)),ArchetypeDemand!$F$6:$F$50,$F221)*'SHWLP-Att'!$R$11</f>
        <v>0.10039320323234002</v>
      </c>
      <c r="X221" s="1138">
        <f>SUMIFS(INDEX(ArchetypeDemand!$I$6:$AH$50,,MATCH(X$166,ArchetypeDemand!$I$4:$AH$4,0)),ArchetypeDemand!$F$6:$F$50,$F221)*'SHWLP-Att'!$R$11</f>
        <v>5.6973969091571181E-2</v>
      </c>
      <c r="Y221" s="1138">
        <f>SUMIFS(INDEX(ArchetypeDemand!$I$6:$AH$50,,MATCH(Y$166,ArchetypeDemand!$I$4:$AH$4,0)),ArchetypeDemand!$F$6:$F$50,$F221)*'SHWLP-Att'!$R$11</f>
        <v>6.7618064313038462E-2</v>
      </c>
      <c r="Z221" s="1138">
        <f>SUMIFS(INDEX(ArchetypeDemand!$I$6:$AH$50,,MATCH(Z$166,ArchetypeDemand!$I$4:$AH$4,0)),ArchetypeDemand!$F$6:$F$50,$F221)*'SHWLP-Att'!$R$11</f>
        <v>1.1282190722232542E-2</v>
      </c>
      <c r="AA221" s="1138">
        <f>SUMIFS(INDEX(ArchetypeDemand!$I$6:$AH$50,,MATCH(AA$166,ArchetypeDemand!$I$4:$AH$4,0)),ArchetypeDemand!$F$6:$F$50,$F221)*'SHWLP-Att'!$R$11</f>
        <v>4.9469712192025762E-2</v>
      </c>
      <c r="AB221" s="1138">
        <f>SUMIFS(INDEX(ArchetypeDemand!$I$6:$AH$50,,MATCH(AB$166,ArchetypeDemand!$I$4:$AH$4,0)),ArchetypeDemand!$F$6:$F$50,$F221)*'SHWLP-Att'!$R$11</f>
        <v>1.8164953362348579E-2</v>
      </c>
      <c r="AC221" s="1138">
        <f>SUMIFS(INDEX(ArchetypeDemand!$I$6:$AH$50,,MATCH(AC$166,ArchetypeDemand!$I$4:$AH$4,0)),ArchetypeDemand!$F$6:$F$50,$F221)*'SHWLP-Att'!$R$11</f>
        <v>3.1580148889743316E-2</v>
      </c>
      <c r="AD221" s="1138">
        <f>SUMIFS(INDEX(ArchetypeDemand!$I$6:$AH$50,,MATCH(AD$166,ArchetypeDemand!$I$4:$AH$4,0)),ArchetypeDemand!$F$6:$F$50,$F221)*'SHWLP-Att'!$R$11</f>
        <v>2.2736359544729766E-2</v>
      </c>
      <c r="AE221" s="1138">
        <f>SUMIFS(INDEX(ArchetypeDemand!$I$6:$AH$50,,MATCH(AE$166,ArchetypeDemand!$I$4:$AH$4,0)),ArchetypeDemand!$F$6:$F$50,$F221)*'SHWLP-Att'!$R$11</f>
        <v>4.8538124516489103E-2</v>
      </c>
      <c r="AF221" s="1138">
        <f>SUMIFS(INDEX(ArchetypeDemand!$I$6:$AH$50,,MATCH(AF$166,ArchetypeDemand!$I$4:$AH$4,0)),ArchetypeDemand!$F$6:$F$50,$F221)*'SHWLP-Att'!$R$11</f>
        <v>1.7129571025370695E-2</v>
      </c>
    </row>
    <row r="222" spans="3:32" ht="13.5" thickBot="1">
      <c r="C222" s="1141" t="s">
        <v>1142</v>
      </c>
      <c r="D222" s="1141" t="s">
        <v>1094</v>
      </c>
      <c r="E222" s="1141" t="s">
        <v>405</v>
      </c>
      <c r="F222" s="1141" t="s">
        <v>930</v>
      </c>
      <c r="G222" s="1129">
        <f>SUM(ArchetypeDemand!I6:I46)*'SHWLP-Att'!$R$37</f>
        <v>0.47653707299936554</v>
      </c>
      <c r="H222" s="1142">
        <f>SUM(ArchetypeDemand!J6:J46)*'SHWLP-Att'!$R$37</f>
        <v>15.840224877048351</v>
      </c>
      <c r="I222" s="1142">
        <f>SUM(ArchetypeDemand!K6:K46)*'SHWLP-Att'!$R$37</f>
        <v>2.015790442762174</v>
      </c>
      <c r="J222" s="1142">
        <f>SUM(ArchetypeDemand!L6:L46)*'SHWLP-Att'!$R$37</f>
        <v>0.66102825943755994</v>
      </c>
      <c r="K222" s="1142">
        <f>SUM(ArchetypeDemand!M6:M46)*'SHWLP-Att'!$R$37</f>
        <v>0.60829490138629017</v>
      </c>
      <c r="L222" s="1142">
        <f>SUM(ArchetypeDemand!N6:N46)*'SHWLP-Att'!$R$37</f>
        <v>0.25082447333856073</v>
      </c>
      <c r="M222" s="1142">
        <f>SUM(ArchetypeDemand!O6:O46)*'SHWLP-Att'!$R$37</f>
        <v>1.2836189240971545</v>
      </c>
      <c r="N222" s="1142">
        <f>SUM(ArchetypeDemand!P6:P46)*'SHWLP-Att'!$R$37</f>
        <v>1.4323204284630759</v>
      </c>
      <c r="O222" s="1142">
        <f>SUM(ArchetypeDemand!Q6:Q46)*'SHWLP-Att'!$R$37</f>
        <v>0.54110970717068407</v>
      </c>
      <c r="P222" s="1142">
        <f>SUM(ArchetypeDemand!R6:R46)*'SHWLP-Att'!$R$37</f>
        <v>0.64812081081570627</v>
      </c>
      <c r="Q222" s="1142">
        <f>SUM(ArchetypeDemand!S6:S46)*'SHWLP-Att'!$R$37</f>
        <v>0.97161070610898881</v>
      </c>
      <c r="R222" s="1142">
        <f>SUM(ArchetypeDemand!T6:T46)*'SHWLP-Att'!$R$37</f>
        <v>1.2243144561030135</v>
      </c>
      <c r="S222" s="1142">
        <f>SUM(ArchetypeDemand!U6:U46)*'SHWLP-Att'!$R$37</f>
        <v>0.79898677592336953</v>
      </c>
      <c r="T222" s="1142">
        <f>SUM(ArchetypeDemand!V6:V46)*'SHWLP-Att'!$R$37</f>
        <v>4.832655376060214</v>
      </c>
      <c r="U222" s="1142">
        <f>SUM(ArchetypeDemand!W6:W46)*'SHWLP-Att'!$R$37</f>
        <v>0.82898828763028787</v>
      </c>
      <c r="V222" s="1142">
        <f>SUM(ArchetypeDemand!X6:X46)*'SHWLP-Att'!$R$37</f>
        <v>1.675022256596441</v>
      </c>
      <c r="W222" s="1142">
        <f>SUM(ArchetypeDemand!Y6:Y46)*'SHWLP-Att'!$R$37</f>
        <v>1.1602059248348406</v>
      </c>
      <c r="X222" s="1142">
        <f>SUM(ArchetypeDemand!Z6:Z46)*'SHWLP-Att'!$R$37</f>
        <v>1.1504290172375744</v>
      </c>
      <c r="Y222" s="1142">
        <f>SUM(ArchetypeDemand!AA6:AA46)*'SHWLP-Att'!$R$37</f>
        <v>1.458008650904848</v>
      </c>
      <c r="Z222" s="1142">
        <f>SUM(ArchetypeDemand!AB6:AB46)*'SHWLP-Att'!$R$37</f>
        <v>0.14468225151029346</v>
      </c>
      <c r="AA222" s="1142">
        <f>SUM(ArchetypeDemand!AC6:AC46)*'SHWLP-Att'!$R$37</f>
        <v>0.66162328202800225</v>
      </c>
      <c r="AB222" s="1142">
        <f>SUM(ArchetypeDemand!AD6:AD46)*'SHWLP-Att'!$R$37</f>
        <v>0.28390736598273203</v>
      </c>
      <c r="AC222" s="1142">
        <f>SUM(ArchetypeDemand!AE6:AE46)*'SHWLP-Att'!$R$37</f>
        <v>0.46978299299443588</v>
      </c>
      <c r="AD222" s="1142">
        <f>SUM(ArchetypeDemand!AF6:AF46)*'SHWLP-Att'!$R$37</f>
        <v>0.40728214914335858</v>
      </c>
      <c r="AE222" s="1142">
        <f>SUM(ArchetypeDemand!AG6:AG46)*'SHWLP-Att'!$R$37</f>
        <v>0.8392871736484363</v>
      </c>
      <c r="AF222" s="1142">
        <f>SUM(ArchetypeDemand!AH6:AH46)*'SHWLP-Att'!$R$37</f>
        <v>0.34979802647657526</v>
      </c>
    </row>
    <row r="223" spans="3:32" ht="15">
      <c r="C223" s="1137" t="s">
        <v>1143</v>
      </c>
      <c r="D223" s="1137"/>
      <c r="E223" s="1137"/>
      <c r="F223" s="1137"/>
      <c r="G223" s="1137"/>
      <c r="H223" s="1137"/>
      <c r="I223" s="1137"/>
      <c r="J223" s="1137"/>
      <c r="K223" s="1137"/>
      <c r="L223" s="1137"/>
      <c r="M223" s="1137"/>
      <c r="N223" s="1137"/>
      <c r="O223" s="1137"/>
      <c r="P223" s="1137"/>
      <c r="Q223" s="1137"/>
      <c r="R223" s="1137"/>
      <c r="S223" s="1137"/>
      <c r="T223" s="1137"/>
      <c r="U223" s="1137"/>
      <c r="V223" s="1137"/>
      <c r="W223" s="1137"/>
      <c r="X223" s="1137"/>
      <c r="Y223" s="1137"/>
      <c r="Z223" s="1137"/>
      <c r="AA223" s="1137"/>
      <c r="AB223" s="1137"/>
      <c r="AC223" s="1137"/>
      <c r="AD223" s="1137"/>
      <c r="AE223" s="1137"/>
      <c r="AF223" s="1137"/>
    </row>
    <row r="224" spans="3:32">
      <c r="C224" s="1145" t="s">
        <v>1144</v>
      </c>
      <c r="D224" s="1134" t="s">
        <v>1094</v>
      </c>
      <c r="E224" s="1134" t="s">
        <v>405</v>
      </c>
      <c r="F224" s="1134" t="s">
        <v>1096</v>
      </c>
      <c r="G224" s="1134">
        <f>SUMIFS(INDEX(ArchetypeDemand!$I$6:$AH$50,,MATCH($G$166,ArchetypeDemand!$I$4:$AH$4,0)),ArchetypeDemand!$F$6:$F$50,$F224)*'SHWLP-Att'!$R$12</f>
        <v>4.3857352393376417E-2</v>
      </c>
      <c r="H224" s="1134">
        <f>SUMIFS(INDEX(ArchetypeDemand!$I$6:$AH$50,,MATCH(H$166,ArchetypeDemand!$I$4:$AH$4,0)),ArchetypeDemand!$F$6:$F$50,$F224)*'SHWLP-Att'!$R$12</f>
        <v>1.6699942706131066</v>
      </c>
      <c r="I224" s="1134">
        <f>SUMIFS(INDEX(ArchetypeDemand!$I$6:$AH$50,,MATCH(I$166,ArchetypeDemand!$I$4:$AH$4,0)),ArchetypeDemand!$F$6:$F$50,$F224)*'SHWLP-Att'!$R$12</f>
        <v>0.33674729879802046</v>
      </c>
      <c r="J224" s="1134">
        <f>SUMIFS(INDEX(ArchetypeDemand!$I$6:$AH$50,,MATCH(J$166,ArchetypeDemand!$I$4:$AH$4,0)),ArchetypeDemand!$F$6:$F$50,$F224)*'SHWLP-Att'!$R$12</f>
        <v>5.2309707118873366E-2</v>
      </c>
      <c r="K224" s="1134">
        <f>SUMIFS(INDEX(ArchetypeDemand!$I$6:$AH$50,,MATCH(K$166,ArchetypeDemand!$I$4:$AH$4,0)),ArchetypeDemand!$F$6:$F$50,$F224)*'SHWLP-Att'!$R$12</f>
        <v>5.00795802885389E-2</v>
      </c>
      <c r="L224" s="1134">
        <f>SUMIFS(INDEX(ArchetypeDemand!$I$6:$AH$50,,MATCH(L$166,ArchetypeDemand!$I$4:$AH$4,0)),ArchetypeDemand!$F$6:$F$50,$F224)*'SHWLP-Att'!$R$12</f>
        <v>1.9813916792296719E-2</v>
      </c>
      <c r="M224" s="1134">
        <f>SUMIFS(INDEX(ArchetypeDemand!$I$6:$AH$50,,MATCH(M$166,ArchetypeDemand!$I$4:$AH$4,0)),ArchetypeDemand!$F$6:$F$50,$F224)*'SHWLP-Att'!$R$12</f>
        <v>0.16387255477520965</v>
      </c>
      <c r="N224" s="1134">
        <f>SUMIFS(INDEX(ArchetypeDemand!$I$6:$AH$50,,MATCH(N$166,ArchetypeDemand!$I$4:$AH$4,0)),ArchetypeDemand!$F$6:$F$50,$F224)*'SHWLP-Att'!$R$12</f>
        <v>0.29667751344914534</v>
      </c>
      <c r="O224" s="1134">
        <f>SUMIFS(INDEX(ArchetypeDemand!$I$6:$AH$50,,MATCH(O$166,ArchetypeDemand!$I$4:$AH$4,0)),ArchetypeDemand!$F$6:$F$50,$F224)*'SHWLP-Att'!$R$12</f>
        <v>2.3114034218088261E-2</v>
      </c>
      <c r="P224" s="1134">
        <f>SUMIFS(INDEX(ArchetypeDemand!$I$6:$AH$50,,MATCH(P$166,ArchetypeDemand!$I$4:$AH$4,0)),ArchetypeDemand!$F$6:$F$50,$F224)*'SHWLP-Att'!$R$12</f>
        <v>4.1045864797635931E-2</v>
      </c>
      <c r="Q224" s="1134">
        <f>SUMIFS(INDEX(ArchetypeDemand!$I$6:$AH$50,,MATCH(Q$166,ArchetypeDemand!$I$4:$AH$4,0)),ArchetypeDemand!$F$6:$F$50,$F224)*'SHWLP-Att'!$R$12</f>
        <v>6.4272357771964855E-2</v>
      </c>
      <c r="R224" s="1134">
        <f>SUMIFS(INDEX(ArchetypeDemand!$I$6:$AH$50,,MATCH(R$166,ArchetypeDemand!$I$4:$AH$4,0)),ArchetypeDemand!$F$6:$F$50,$F224)*'SHWLP-Att'!$R$12</f>
        <v>0.16427862684774663</v>
      </c>
      <c r="S224" s="1134">
        <f>SUMIFS(INDEX(ArchetypeDemand!$I$6:$AH$50,,MATCH(S$166,ArchetypeDemand!$I$4:$AH$4,0)),ArchetypeDemand!$F$6:$F$50,$F224)*'SHWLP-Att'!$R$12</f>
        <v>4.7498859901113112E-2</v>
      </c>
      <c r="T224" s="1134">
        <f>SUMIFS(INDEX(ArchetypeDemand!$I$6:$AH$50,,MATCH(T$166,ArchetypeDemand!$I$4:$AH$4,0)),ArchetypeDemand!$F$6:$F$50,$F224)*'SHWLP-Att'!$R$12</f>
        <v>0.57619287856136392</v>
      </c>
      <c r="U224" s="1134">
        <f>SUMIFS(INDEX(ArchetypeDemand!$I$6:$AH$50,,MATCH(U$166,ArchetypeDemand!$I$4:$AH$4,0)),ArchetypeDemand!$F$6:$F$50,$F224)*'SHWLP-Att'!$R$12</f>
        <v>6.2807185739321855E-2</v>
      </c>
      <c r="V224" s="1134">
        <f>SUMIFS(INDEX(ArchetypeDemand!$I$6:$AH$50,,MATCH(V$166,ArchetypeDemand!$I$4:$AH$4,0)),ArchetypeDemand!$F$6:$F$50,$F224)*'SHWLP-Att'!$R$12</f>
        <v>0.12369268088574016</v>
      </c>
      <c r="W224" s="1134">
        <f>SUMIFS(INDEX(ArchetypeDemand!$I$6:$AH$50,,MATCH(W$166,ArchetypeDemand!$I$4:$AH$4,0)),ArchetypeDemand!$F$6:$F$50,$F224)*'SHWLP-Att'!$R$12</f>
        <v>5.3524748683359477E-2</v>
      </c>
      <c r="X224" s="1134">
        <f>SUMIFS(INDEX(ArchetypeDemand!$I$6:$AH$50,,MATCH(X$166,ArchetypeDemand!$I$4:$AH$4,0)),ArchetypeDemand!$F$6:$F$50,$F224)*'SHWLP-Att'!$R$12</f>
        <v>0.10407518658800184</v>
      </c>
      <c r="Y224" s="1134">
        <f>SUMIFS(INDEX(ArchetypeDemand!$I$6:$AH$50,,MATCH(Y$166,ArchetypeDemand!$I$4:$AH$4,0)),ArchetypeDemand!$F$6:$F$50,$F224)*'SHWLP-Att'!$R$12</f>
        <v>0.10083975220538417</v>
      </c>
      <c r="Z224" s="1134">
        <f>SUMIFS(INDEX(ArchetypeDemand!$I$6:$AH$50,,MATCH(Z$166,ArchetypeDemand!$I$4:$AH$4,0)),ArchetypeDemand!$F$6:$F$50,$F224)*'SHWLP-Att'!$R$12</f>
        <v>7.9472035276103425E-3</v>
      </c>
      <c r="AA224" s="1134">
        <f>SUMIFS(INDEX(ArchetypeDemand!$I$6:$AH$50,,MATCH(AA$166,ArchetypeDemand!$I$4:$AH$4,0)),ArchetypeDemand!$F$6:$F$50,$F224)*'SHWLP-Att'!$R$12</f>
        <v>4.0402941231199592E-2</v>
      </c>
      <c r="AB224" s="1134">
        <f>SUMIFS(INDEX(ArchetypeDemand!$I$6:$AH$50,,MATCH(AB$166,ArchetypeDemand!$I$4:$AH$4,0)),ArchetypeDemand!$F$6:$F$50,$F224)*'SHWLP-Att'!$R$12</f>
        <v>1.0221581342941636E-2</v>
      </c>
      <c r="AC224" s="1134">
        <f>SUMIFS(INDEX(ArchetypeDemand!$I$6:$AH$50,,MATCH(AC$166,ArchetypeDemand!$I$4:$AH$4,0)),ArchetypeDemand!$F$6:$F$50,$F224)*'SHWLP-Att'!$R$12</f>
        <v>3.1888489118002745E-2</v>
      </c>
      <c r="AD224" s="1134">
        <f>SUMIFS(INDEX(ArchetypeDemand!$I$6:$AH$50,,MATCH(AD$166,ArchetypeDemand!$I$4:$AH$4,0)),ArchetypeDemand!$F$6:$F$50,$F224)*'SHWLP-Att'!$R$12</f>
        <v>3.5854297650119708E-2</v>
      </c>
      <c r="AE224" s="1134">
        <f>SUMIFS(INDEX(ArchetypeDemand!$I$6:$AH$50,,MATCH(AE$166,ArchetypeDemand!$I$4:$AH$4,0)),ArchetypeDemand!$F$6:$F$50,$F224)*'SHWLP-Att'!$R$12</f>
        <v>4.4086107500153959E-2</v>
      </c>
      <c r="AF224" s="1134">
        <f>SUMIFS(INDEX(ArchetypeDemand!$I$6:$AH$50,,MATCH(AF$166,ArchetypeDemand!$I$4:$AH$4,0)),ArchetypeDemand!$F$6:$F$50,$F224)*'SHWLP-Att'!$R$12</f>
        <v>3.3474787327591793E-2</v>
      </c>
    </row>
    <row r="225" spans="3:32">
      <c r="C225" s="1136" t="s">
        <v>1144</v>
      </c>
      <c r="D225" s="1136" t="s">
        <v>1094</v>
      </c>
      <c r="E225" s="1136" t="s">
        <v>405</v>
      </c>
      <c r="F225" s="1136" t="s">
        <v>1097</v>
      </c>
      <c r="G225" s="1136">
        <f>SUMIFS(INDEX(ArchetypeDemand!$I$6:$AH$50,,MATCH($G$166,ArchetypeDemand!$I$4:$AH$4,0)),ArchetypeDemand!$F$6:$F$50,$F225)*'SHWLP-Att'!$R$12</f>
        <v>0.11647121321959214</v>
      </c>
      <c r="H225" s="1136">
        <f>SUMIFS(INDEX(ArchetypeDemand!$I$6:$AH$50,,MATCH(H$166,ArchetypeDemand!$I$4:$AH$4,0)),ArchetypeDemand!$F$6:$F$50,$F225)*'SHWLP-Att'!$R$12</f>
        <v>2.9168400910167946</v>
      </c>
      <c r="I225" s="1136">
        <f>SUMIFS(INDEX(ArchetypeDemand!$I$6:$AH$50,,MATCH(I$166,ArchetypeDemand!$I$4:$AH$4,0)),ArchetypeDemand!$F$6:$F$50,$F225)*'SHWLP-Att'!$R$12</f>
        <v>0.41863565087301563</v>
      </c>
      <c r="J225" s="1136">
        <f>SUMIFS(INDEX(ArchetypeDemand!$I$6:$AH$50,,MATCH(J$166,ArchetypeDemand!$I$4:$AH$4,0)),ArchetypeDemand!$F$6:$F$50,$F225)*'SHWLP-Att'!$R$12</f>
        <v>0.14895443409897957</v>
      </c>
      <c r="K225" s="1136">
        <f>SUMIFS(INDEX(ArchetypeDemand!$I$6:$AH$50,,MATCH(K$166,ArchetypeDemand!$I$4:$AH$4,0)),ArchetypeDemand!$F$6:$F$50,$F225)*'SHWLP-Att'!$R$12</f>
        <v>0.14819461233396261</v>
      </c>
      <c r="L225" s="1136">
        <f>SUMIFS(INDEX(ArchetypeDemand!$I$6:$AH$50,,MATCH(L$166,ArchetypeDemand!$I$4:$AH$4,0)),ArchetypeDemand!$F$6:$F$50,$F225)*'SHWLP-Att'!$R$12</f>
        <v>5.677244806769325E-2</v>
      </c>
      <c r="M225" s="1136">
        <f>SUMIFS(INDEX(ArchetypeDemand!$I$6:$AH$50,,MATCH(M$166,ArchetypeDemand!$I$4:$AH$4,0)),ArchetypeDemand!$F$6:$F$50,$F225)*'SHWLP-Att'!$R$12</f>
        <v>0.31600442379020055</v>
      </c>
      <c r="N225" s="1136">
        <f>SUMIFS(INDEX(ArchetypeDemand!$I$6:$AH$50,,MATCH(N$166,ArchetypeDemand!$I$4:$AH$4,0)),ArchetypeDemand!$F$6:$F$50,$F225)*'SHWLP-Att'!$R$12</f>
        <v>0.33100353050862097</v>
      </c>
      <c r="O225" s="1136">
        <f>SUMIFS(INDEX(ArchetypeDemand!$I$6:$AH$50,,MATCH(O$166,ArchetypeDemand!$I$4:$AH$4,0)),ArchetypeDemand!$F$6:$F$50,$F225)*'SHWLP-Att'!$R$12</f>
        <v>0.10838129204015336</v>
      </c>
      <c r="P225" s="1136">
        <f>SUMIFS(INDEX(ArchetypeDemand!$I$6:$AH$50,,MATCH(P$166,ArchetypeDemand!$I$4:$AH$4,0)),ArchetypeDemand!$F$6:$F$50,$F225)*'SHWLP-Att'!$R$12</f>
        <v>0.1492333173040005</v>
      </c>
      <c r="Q225" s="1136">
        <f>SUMIFS(INDEX(ArchetypeDemand!$I$6:$AH$50,,MATCH(Q$166,ArchetypeDemand!$I$4:$AH$4,0)),ArchetypeDemand!$F$6:$F$50,$F225)*'SHWLP-Att'!$R$12</f>
        <v>0.20438269400089018</v>
      </c>
      <c r="R225" s="1136">
        <f>SUMIFS(INDEX(ArchetypeDemand!$I$6:$AH$50,,MATCH(R$166,ArchetypeDemand!$I$4:$AH$4,0)),ArchetypeDemand!$F$6:$F$50,$F225)*'SHWLP-Att'!$R$12</f>
        <v>0.23255043986364618</v>
      </c>
      <c r="S225" s="1136">
        <f>SUMIFS(INDEX(ArchetypeDemand!$I$6:$AH$50,,MATCH(S$166,ArchetypeDemand!$I$4:$AH$4,0)),ArchetypeDemand!$F$6:$F$50,$F225)*'SHWLP-Att'!$R$12</f>
        <v>0.16755407188226923</v>
      </c>
      <c r="T225" s="1136">
        <f>SUMIFS(INDEX(ArchetypeDemand!$I$6:$AH$50,,MATCH(T$166,ArchetypeDemand!$I$4:$AH$4,0)),ArchetypeDemand!$F$6:$F$50,$F225)*'SHWLP-Att'!$R$12</f>
        <v>1.107205169347482</v>
      </c>
      <c r="U225" s="1136">
        <f>SUMIFS(INDEX(ArchetypeDemand!$I$6:$AH$50,,MATCH(U$166,ArchetypeDemand!$I$4:$AH$4,0)),ArchetypeDemand!$F$6:$F$50,$F225)*'SHWLP-Att'!$R$12</f>
        <v>0.17017383407250097</v>
      </c>
      <c r="V225" s="1136">
        <f>SUMIFS(INDEX(ArchetypeDemand!$I$6:$AH$50,,MATCH(V$166,ArchetypeDemand!$I$4:$AH$4,0)),ArchetypeDemand!$F$6:$F$50,$F225)*'SHWLP-Att'!$R$12</f>
        <v>0.38317273406025854</v>
      </c>
      <c r="W225" s="1136">
        <f>SUMIFS(INDEX(ArchetypeDemand!$I$6:$AH$50,,MATCH(W$166,ArchetypeDemand!$I$4:$AH$4,0)),ArchetypeDemand!$F$6:$F$50,$F225)*'SHWLP-Att'!$R$12</f>
        <v>0.24259276747008193</v>
      </c>
      <c r="X225" s="1136">
        <f>SUMIFS(INDEX(ArchetypeDemand!$I$6:$AH$50,,MATCH(X$166,ArchetypeDemand!$I$4:$AH$4,0)),ArchetypeDemand!$F$6:$F$50,$F225)*'SHWLP-Att'!$R$12</f>
        <v>0.25169672234203849</v>
      </c>
      <c r="Y225" s="1136">
        <f>SUMIFS(INDEX(ArchetypeDemand!$I$6:$AH$50,,MATCH(Y$166,ArchetypeDemand!$I$4:$AH$4,0)),ArchetypeDemand!$F$6:$F$50,$F225)*'SHWLP-Att'!$R$12</f>
        <v>0.35277698625637832</v>
      </c>
      <c r="Z225" s="1136">
        <f>SUMIFS(INDEX(ArchetypeDemand!$I$6:$AH$50,,MATCH(Z$166,ArchetypeDemand!$I$4:$AH$4,0)),ArchetypeDemand!$F$6:$F$50,$F225)*'SHWLP-Att'!$R$12</f>
        <v>3.7405347372742911E-2</v>
      </c>
      <c r="AA225" s="1136">
        <f>SUMIFS(INDEX(ArchetypeDemand!$I$6:$AH$50,,MATCH(AA$166,ArchetypeDemand!$I$4:$AH$4,0)),ArchetypeDemand!$F$6:$F$50,$F225)*'SHWLP-Att'!$R$12</f>
        <v>0.15339218726061873</v>
      </c>
      <c r="AB225" s="1136">
        <f>SUMIFS(INDEX(ArchetypeDemand!$I$6:$AH$50,,MATCH(AB$166,ArchetypeDemand!$I$4:$AH$4,0)),ArchetypeDemand!$F$6:$F$50,$F225)*'SHWLP-Att'!$R$12</f>
        <v>8.0924999050404858E-2</v>
      </c>
      <c r="AC225" s="1136">
        <f>SUMIFS(INDEX(ArchetypeDemand!$I$6:$AH$50,,MATCH(AC$166,ArchetypeDemand!$I$4:$AH$4,0)),ArchetypeDemand!$F$6:$F$50,$F225)*'SHWLP-Att'!$R$12</f>
        <v>0.10207222695152386</v>
      </c>
      <c r="AD225" s="1136">
        <f>SUMIFS(INDEX(ArchetypeDemand!$I$6:$AH$50,,MATCH(AD$166,ArchetypeDemand!$I$4:$AH$4,0)),ArchetypeDemand!$F$6:$F$50,$F225)*'SHWLP-Att'!$R$12</f>
        <v>0.11073003700494498</v>
      </c>
      <c r="AE225" s="1136">
        <f>SUMIFS(INDEX(ArchetypeDemand!$I$6:$AH$50,,MATCH(AE$166,ArchetypeDemand!$I$4:$AH$4,0)),ArchetypeDemand!$F$6:$F$50,$F225)*'SHWLP-Att'!$R$12</f>
        <v>0.22582603653609401</v>
      </c>
      <c r="AF225" s="1136">
        <f>SUMIFS(INDEX(ArchetypeDemand!$I$6:$AH$50,,MATCH(AF$166,ArchetypeDemand!$I$4:$AH$4,0)),ArchetypeDemand!$F$6:$F$50,$F225)*'SHWLP-Att'!$R$12</f>
        <v>7.3735912057486475E-2</v>
      </c>
    </row>
    <row r="226" spans="3:32">
      <c r="C226" s="1134" t="s">
        <v>1144</v>
      </c>
      <c r="D226" s="1134" t="s">
        <v>1094</v>
      </c>
      <c r="E226" s="1134" t="s">
        <v>405</v>
      </c>
      <c r="F226" s="1134" t="s">
        <v>1098</v>
      </c>
      <c r="G226" s="1134">
        <f>SUMIFS(INDEX(ArchetypeDemand!$I$6:$AH$50,,MATCH($G$166,ArchetypeDemand!$I$4:$AH$4,0)),ArchetypeDemand!$F$6:$F$50,$F226)*'SHWLP-Att'!$R$12</f>
        <v>6.1113529029466221E-2</v>
      </c>
      <c r="H226" s="1134">
        <f>SUMIFS(INDEX(ArchetypeDemand!$I$6:$AH$50,,MATCH(H$166,ArchetypeDemand!$I$4:$AH$4,0)),ArchetypeDemand!$F$6:$F$50,$F226)*'SHWLP-Att'!$R$12</f>
        <v>2.137312452343286</v>
      </c>
      <c r="I226" s="1134">
        <f>SUMIFS(INDEX(ArchetypeDemand!$I$6:$AH$50,,MATCH(I$166,ArchetypeDemand!$I$4:$AH$4,0)),ArchetypeDemand!$F$6:$F$50,$F226)*'SHWLP-Att'!$R$12</f>
        <v>0.23526498839518459</v>
      </c>
      <c r="J226" s="1134">
        <f>SUMIFS(INDEX(ArchetypeDemand!$I$6:$AH$50,,MATCH(J$166,ArchetypeDemand!$I$4:$AH$4,0)),ArchetypeDemand!$F$6:$F$50,$F226)*'SHWLP-Att'!$R$12</f>
        <v>8.6795041615102195E-2</v>
      </c>
      <c r="K226" s="1134">
        <f>SUMIFS(INDEX(ArchetypeDemand!$I$6:$AH$50,,MATCH(K$166,ArchetypeDemand!$I$4:$AH$4,0)),ArchetypeDemand!$F$6:$F$50,$F226)*'SHWLP-Att'!$R$12</f>
        <v>5.4923808535808444E-2</v>
      </c>
      <c r="L226" s="1134">
        <f>SUMIFS(INDEX(ArchetypeDemand!$I$6:$AH$50,,MATCH(L$166,ArchetypeDemand!$I$4:$AH$4,0)),ArchetypeDemand!$F$6:$F$50,$F226)*'SHWLP-Att'!$R$12</f>
        <v>3.507535137686961E-2</v>
      </c>
      <c r="M226" s="1134">
        <f>SUMIFS(INDEX(ArchetypeDemand!$I$6:$AH$50,,MATCH(M$166,ArchetypeDemand!$I$4:$AH$4,0)),ArchetypeDemand!$F$6:$F$50,$F226)*'SHWLP-Att'!$R$12</f>
        <v>0.1254227213689787</v>
      </c>
      <c r="N226" s="1134">
        <f>SUMIFS(INDEX(ArchetypeDemand!$I$6:$AH$50,,MATCH(N$166,ArchetypeDemand!$I$4:$AH$4,0)),ArchetypeDemand!$F$6:$F$50,$F226)*'SHWLP-Att'!$R$12</f>
        <v>9.893731900917023E-2</v>
      </c>
      <c r="O226" s="1134">
        <f>SUMIFS(INDEX(ArchetypeDemand!$I$6:$AH$50,,MATCH(O$166,ArchetypeDemand!$I$4:$AH$4,0)),ArchetypeDemand!$F$6:$F$50,$F226)*'SHWLP-Att'!$R$12</f>
        <v>5.1113836962159286E-2</v>
      </c>
      <c r="P226" s="1134">
        <f>SUMIFS(INDEX(ArchetypeDemand!$I$6:$AH$50,,MATCH(P$166,ArchetypeDemand!$I$4:$AH$4,0)),ArchetypeDemand!$F$6:$F$50,$F226)*'SHWLP-Att'!$R$12</f>
        <v>8.3377112773600284E-2</v>
      </c>
      <c r="Q226" s="1134">
        <f>SUMIFS(INDEX(ArchetypeDemand!$I$6:$AH$50,,MATCH(Q$166,ArchetypeDemand!$I$4:$AH$4,0)),ArchetypeDemand!$F$6:$F$50,$F226)*'SHWLP-Att'!$R$12</f>
        <v>0.14781291947427777</v>
      </c>
      <c r="R226" s="1134">
        <f>SUMIFS(INDEX(ArchetypeDemand!$I$6:$AH$50,,MATCH(R$166,ArchetypeDemand!$I$4:$AH$4,0)),ArchetypeDemand!$F$6:$F$50,$F226)*'SHWLP-Att'!$R$12</f>
        <v>0.14172623630506373</v>
      </c>
      <c r="S226" s="1134">
        <f>SUMIFS(INDEX(ArchetypeDemand!$I$6:$AH$50,,MATCH(S$166,ArchetypeDemand!$I$4:$AH$4,0)),ArchetypeDemand!$F$6:$F$50,$F226)*'SHWLP-Att'!$R$12</f>
        <v>0.13038353640339684</v>
      </c>
      <c r="T226" s="1134">
        <f>SUMIFS(INDEX(ArchetypeDemand!$I$6:$AH$50,,MATCH(T$166,ArchetypeDemand!$I$4:$AH$4,0)),ArchetypeDemand!$F$6:$F$50,$F226)*'SHWLP-Att'!$R$12</f>
        <v>0.50528342322768827</v>
      </c>
      <c r="U226" s="1134">
        <f>SUMIFS(INDEX(ArchetypeDemand!$I$6:$AH$50,,MATCH(U$166,ArchetypeDemand!$I$4:$AH$4,0)),ArchetypeDemand!$F$6:$F$50,$F226)*'SHWLP-Att'!$R$12</f>
        <v>0.11779548000085478</v>
      </c>
      <c r="V226" s="1134">
        <f>SUMIFS(INDEX(ArchetypeDemand!$I$6:$AH$50,,MATCH(V$166,ArchetypeDemand!$I$4:$AH$4,0)),ArchetypeDemand!$F$6:$F$50,$F226)*'SHWLP-Att'!$R$12</f>
        <v>0.23744762461440963</v>
      </c>
      <c r="W226" s="1134">
        <f>SUMIFS(INDEX(ArchetypeDemand!$I$6:$AH$50,,MATCH(W$166,ArchetypeDemand!$I$4:$AH$4,0)),ArchetypeDemand!$F$6:$F$50,$F226)*'SHWLP-Att'!$R$12</f>
        <v>0.15984909774990924</v>
      </c>
      <c r="X226" s="1134">
        <f>SUMIFS(INDEX(ArchetypeDemand!$I$6:$AH$50,,MATCH(X$166,ArchetypeDemand!$I$4:$AH$4,0)),ArchetypeDemand!$F$6:$F$50,$F226)*'SHWLP-Att'!$R$12</f>
        <v>0.16308206407461295</v>
      </c>
      <c r="Y226" s="1134">
        <f>SUMIFS(INDEX(ArchetypeDemand!$I$6:$AH$50,,MATCH(Y$166,ArchetypeDemand!$I$4:$AH$4,0)),ArchetypeDemand!$F$6:$F$50,$F226)*'SHWLP-Att'!$R$12</f>
        <v>0.19729636297507996</v>
      </c>
      <c r="Z226" s="1134">
        <f>SUMIFS(INDEX(ArchetypeDemand!$I$6:$AH$50,,MATCH(Z$166,ArchetypeDemand!$I$4:$AH$4,0)),ArchetypeDemand!$F$6:$F$50,$F226)*'SHWLP-Att'!$R$12</f>
        <v>1.375477533624867E-2</v>
      </c>
      <c r="AA226" s="1134">
        <f>SUMIFS(INDEX(ArchetypeDemand!$I$6:$AH$50,,MATCH(AA$166,ArchetypeDemand!$I$4:$AH$4,0)),ArchetypeDemand!$F$6:$F$50,$F226)*'SHWLP-Att'!$R$12</f>
        <v>9.2349816374985738E-2</v>
      </c>
      <c r="AB226" s="1134">
        <f>SUMIFS(INDEX(ArchetypeDemand!$I$6:$AH$50,,MATCH(AB$166,ArchetypeDemand!$I$4:$AH$4,0)),ArchetypeDemand!$F$6:$F$50,$F226)*'SHWLP-Att'!$R$12</f>
        <v>2.7313340614503804E-2</v>
      </c>
      <c r="AC226" s="1134">
        <f>SUMIFS(INDEX(ArchetypeDemand!$I$6:$AH$50,,MATCH(AC$166,ArchetypeDemand!$I$4:$AH$4,0)),ArchetypeDemand!$F$6:$F$50,$F226)*'SHWLP-Att'!$R$12</f>
        <v>6.2027490525569953E-2</v>
      </c>
      <c r="AD226" s="1134">
        <f>SUMIFS(INDEX(ArchetypeDemand!$I$6:$AH$50,,MATCH(AD$166,ArchetypeDemand!$I$4:$AH$4,0)),ArchetypeDemand!$F$6:$F$50,$F226)*'SHWLP-Att'!$R$12</f>
        <v>3.7956782105270898E-2</v>
      </c>
      <c r="AE226" s="1134">
        <f>SUMIFS(INDEX(ArchetypeDemand!$I$6:$AH$50,,MATCH(AE$166,ArchetypeDemand!$I$4:$AH$4,0)),ArchetypeDemand!$F$6:$F$50,$F226)*'SHWLP-Att'!$R$12</f>
        <v>0.10283062478594136</v>
      </c>
      <c r="AF226" s="1134">
        <f>SUMIFS(INDEX(ArchetypeDemand!$I$6:$AH$50,,MATCH(AF$166,ArchetypeDemand!$I$4:$AH$4,0)),ArchetypeDemand!$F$6:$F$50,$F226)*'SHWLP-Att'!$R$12</f>
        <v>4.9457660639564971E-2</v>
      </c>
    </row>
    <row r="227" spans="3:32">
      <c r="C227" s="1136" t="s">
        <v>1144</v>
      </c>
      <c r="D227" s="1136" t="s">
        <v>1094</v>
      </c>
      <c r="E227" s="1136" t="s">
        <v>405</v>
      </c>
      <c r="F227" s="1136" t="s">
        <v>1099</v>
      </c>
      <c r="G227" s="1136">
        <f>SUMIFS(INDEX(ArchetypeDemand!$I$6:$AH$50,,MATCH($G$166,ArchetypeDemand!$I$4:$AH$4,0)),ArchetypeDemand!$F$6:$F$50,$F227)*'SHWLP-Att'!$R$12</f>
        <v>2.166906292457528E-2</v>
      </c>
      <c r="H227" s="1136">
        <f>SUMIFS(INDEX(ArchetypeDemand!$I$6:$AH$50,,MATCH($H$166,ArchetypeDemand!$I$4:$AH$4,0)),ArchetypeDemand!$F$6:$F$50,$F227)*'SHWLP-Att'!$R$12</f>
        <v>1.1103679016178503</v>
      </c>
      <c r="I227" s="1136">
        <f>SUMIFS(INDEX(ArchetypeDemand!$I$6:$AH$50,,MATCH(I$166,ArchetypeDemand!$I$4:$AH$4,0)),ArchetypeDemand!$F$6:$F$50,$F227)*'SHWLP-Att'!$R$12</f>
        <v>7.3369686797496669E-2</v>
      </c>
      <c r="J227" s="1136">
        <f>SUMIFS(INDEX(ArchetypeDemand!$I$6:$AH$50,,MATCH(J$166,ArchetypeDemand!$I$4:$AH$4,0)),ArchetypeDemand!$F$6:$F$50,$F227)*'SHWLP-Att'!$R$12</f>
        <v>4.0546172528474145E-2</v>
      </c>
      <c r="K227" s="1136">
        <f>SUMIFS(INDEX(ArchetypeDemand!$I$6:$AH$50,,MATCH(K$166,ArchetypeDemand!$I$4:$AH$4,0)),ArchetypeDemand!$F$6:$F$50,$F227)*'SHWLP-Att'!$R$12</f>
        <v>4.3068239549091433E-2</v>
      </c>
      <c r="L227" s="1136">
        <f>SUMIFS(INDEX(ArchetypeDemand!$I$6:$AH$50,,MATCH(L$166,ArchetypeDemand!$I$4:$AH$4,0)),ArchetypeDemand!$F$6:$F$50,$F227)*'SHWLP-Att'!$R$12</f>
        <v>1.4399866862071295E-2</v>
      </c>
      <c r="M227" s="1136">
        <f>SUMIFS(INDEX(ArchetypeDemand!$I$6:$AH$50,,MATCH(M$166,ArchetypeDemand!$I$4:$AH$4,0)),ArchetypeDemand!$F$6:$F$50,$F227)*'SHWLP-Att'!$R$12</f>
        <v>5.0425732236637509E-2</v>
      </c>
      <c r="N227" s="1136">
        <f>SUMIFS(INDEX(ArchetypeDemand!$I$6:$AH$50,,MATCH(N$166,ArchetypeDemand!$I$4:$AH$4,0)),ArchetypeDemand!$F$6:$F$50,$F227)*'SHWLP-Att'!$R$12</f>
        <v>3.464624866038038E-2</v>
      </c>
      <c r="O227" s="1136">
        <f>SUMIFS(INDEX(ArchetypeDemand!$I$6:$AH$50,,MATCH(O$166,ArchetypeDemand!$I$4:$AH$4,0)),ArchetypeDemand!$F$6:$F$50,$F227)*'SHWLP-Att'!$R$12</f>
        <v>6.0261107134346133E-2</v>
      </c>
      <c r="P227" s="1136">
        <f>SUMIFS(INDEX(ArchetypeDemand!$I$6:$AH$50,,MATCH(P$166,ArchetypeDemand!$I$4:$AH$4,0)),ArchetypeDemand!$F$6:$F$50,$F227)*'SHWLP-Att'!$R$12</f>
        <v>4.1153761222400137E-2</v>
      </c>
      <c r="Q227" s="1136">
        <f>SUMIFS(INDEX(ArchetypeDemand!$I$6:$AH$50,,MATCH(Q$166,ArchetypeDemand!$I$4:$AH$4,0)),ArchetypeDemand!$F$6:$F$50,$F227)*'SHWLP-Att'!$R$12</f>
        <v>6.4665104329558673E-2</v>
      </c>
      <c r="R227" s="1136">
        <f>SUMIFS(INDEX(ArchetypeDemand!$I$6:$AH$50,,MATCH(R$166,ArchetypeDemand!$I$4:$AH$4,0)),ArchetypeDemand!$F$6:$F$50,$F227)*'SHWLP-Att'!$R$12</f>
        <v>7.6201253793440199E-2</v>
      </c>
      <c r="S227" s="1136">
        <f>SUMIFS(INDEX(ArchetypeDemand!$I$6:$AH$50,,MATCH(S$166,ArchetypeDemand!$I$4:$AH$4,0)),ArchetypeDemand!$F$6:$F$50,$F227)*'SHWLP-Att'!$R$12</f>
        <v>5.6138019521433227E-2</v>
      </c>
      <c r="T227" s="1136">
        <f>SUMIFS(INDEX(ArchetypeDemand!$I$6:$AH$50,,MATCH(T$166,ArchetypeDemand!$I$4:$AH$4,0)),ArchetypeDemand!$F$6:$F$50,$F227)*'SHWLP-Att'!$R$12</f>
        <v>0.24973349041140372</v>
      </c>
      <c r="U227" s="1136">
        <f>SUMIFS(INDEX(ArchetypeDemand!$I$6:$AH$50,,MATCH(U$166,ArchetypeDemand!$I$4:$AH$4,0)),ArchetypeDemand!$F$6:$F$50,$F227)*'SHWLP-Att'!$R$12</f>
        <v>6.0103379863969124E-2</v>
      </c>
      <c r="V227" s="1136">
        <f>SUMIFS(INDEX(ArchetypeDemand!$I$6:$AH$50,,MATCH(V$166,ArchetypeDemand!$I$4:$AH$4,0)),ArchetypeDemand!$F$6:$F$50,$F227)*'SHWLP-Att'!$R$12</f>
        <v>9.9622983912071236E-2</v>
      </c>
      <c r="W227" s="1136">
        <f>SUMIFS(INDEX(ArchetypeDemand!$I$6:$AH$50,,MATCH(W$166,ArchetypeDemand!$I$4:$AH$4,0)),ArchetypeDemand!$F$6:$F$50,$F227)*'SHWLP-Att'!$R$12</f>
        <v>8.9964575744766365E-2</v>
      </c>
      <c r="X227" s="1136">
        <f>SUMIFS(INDEX(ArchetypeDemand!$I$6:$AH$50,,MATCH(X$166,ArchetypeDemand!$I$4:$AH$4,0)),ArchetypeDemand!$F$6:$F$50,$F227)*'SHWLP-Att'!$R$12</f>
        <v>6.1356582098615102E-2</v>
      </c>
      <c r="Y227" s="1136">
        <f>SUMIFS(INDEX(ArchetypeDemand!$I$6:$AH$50,,MATCH(Y$166,ArchetypeDemand!$I$4:$AH$4,0)),ArchetypeDemand!$F$6:$F$50,$F227)*'SHWLP-Att'!$R$12</f>
        <v>8.3492863675871068E-2</v>
      </c>
      <c r="Z227" s="1136">
        <f>SUMIFS(INDEX(ArchetypeDemand!$I$6:$AH$50,,MATCH(Z$166,ArchetypeDemand!$I$4:$AH$4,0)),ArchetypeDemand!$F$6:$F$50,$F227)*'SHWLP-Att'!$R$12</f>
        <v>8.6349422944227757E-3</v>
      </c>
      <c r="AA227" s="1136">
        <f>SUMIFS(INDEX(ArchetypeDemand!$I$6:$AH$50,,MATCH(AA$166,ArchetypeDemand!$I$4:$AH$4,0)),ArchetypeDemand!$F$6:$F$50,$F227)*'SHWLP-Att'!$R$12</f>
        <v>3.5405528156147781E-2</v>
      </c>
      <c r="AB227" s="1136">
        <f>SUMIFS(INDEX(ArchetypeDemand!$I$6:$AH$50,,MATCH(AB$166,ArchetypeDemand!$I$4:$AH$4,0)),ArchetypeDemand!$F$6:$F$50,$F227)*'SHWLP-Att'!$R$12</f>
        <v>1.9100883470277996E-2</v>
      </c>
      <c r="AC227" s="1136">
        <f>SUMIFS(INDEX(ArchetypeDemand!$I$6:$AH$50,,MATCH(AC$166,ArchetypeDemand!$I$4:$AH$4,0)),ArchetypeDemand!$F$6:$F$50,$F227)*'SHWLP-Att'!$R$12</f>
        <v>3.3524801342300244E-2</v>
      </c>
      <c r="AD227" s="1136">
        <f>SUMIFS(INDEX(ArchetypeDemand!$I$6:$AH$50,,MATCH(AD$166,ArchetypeDemand!$I$4:$AH$4,0)),ArchetypeDemand!$F$6:$F$50,$F227)*'SHWLP-Att'!$R$12</f>
        <v>2.0070672552067709E-2</v>
      </c>
      <c r="AE227" s="1136">
        <f>SUMIFS(INDEX(ArchetypeDemand!$I$6:$AH$50,,MATCH(AE$166,ArchetypeDemand!$I$4:$AH$4,0)),ArchetypeDemand!$F$6:$F$50,$F227)*'SHWLP-Att'!$R$12</f>
        <v>4.5860207246276569E-2</v>
      </c>
      <c r="AF227" s="1136">
        <f>SUMIFS(INDEX(ArchetypeDemand!$I$6:$AH$50,,MATCH(AF$166,ArchetypeDemand!$I$4:$AH$4,0)),ArchetypeDemand!$F$6:$F$50,$F227)*'SHWLP-Att'!$R$12</f>
        <v>1.9454406703880323E-2</v>
      </c>
    </row>
    <row r="228" spans="3:32">
      <c r="C228" s="1134" t="s">
        <v>1144</v>
      </c>
      <c r="D228" s="1134" t="s">
        <v>1094</v>
      </c>
      <c r="E228" s="1134" t="s">
        <v>405</v>
      </c>
      <c r="F228" s="1134" t="s">
        <v>1100</v>
      </c>
      <c r="G228" s="1134">
        <f>SUMIFS(INDEX(ArchetypeDemand!$I$6:$AH$50,,MATCH($G$166,ArchetypeDemand!$I$4:$AH$4,0)),ArchetypeDemand!$F$6:$F$50,$F228)*'SHWLP-Att'!$R$12</f>
        <v>1.0919176239336763E-2</v>
      </c>
      <c r="H228" s="1134">
        <f>SUMIFS(INDEX(ArchetypeDemand!$I$6:$AH$50,,MATCH($H$166,ArchetypeDemand!$I$4:$AH$4,0)),ArchetypeDemand!$F$6:$F$50,$F228)*'SHWLP-Att'!$R$12</f>
        <v>0.51399948613043933</v>
      </c>
      <c r="I228" s="1134">
        <f>SUMIFS(INDEX(ArchetypeDemand!$I$6:$AH$50,,MATCH(I$166,ArchetypeDemand!$I$4:$AH$4,0)),ArchetypeDemand!$F$6:$F$50,$F228)*'SHWLP-Att'!$R$12</f>
        <v>2.592038570072145E-2</v>
      </c>
      <c r="J228" s="1134">
        <f>SUMIFS(INDEX(ArchetypeDemand!$I$6:$AH$50,,MATCH(J$166,ArchetypeDemand!$I$4:$AH$4,0)),ArchetypeDemand!$F$6:$F$50,$F228)*'SHWLP-Att'!$R$12</f>
        <v>1.84767368484186E-2</v>
      </c>
      <c r="K228" s="1134">
        <f>SUMIFS(INDEX(ArchetypeDemand!$I$6:$AH$50,,MATCH(K$166,ArchetypeDemand!$I$4:$AH$4,0)),ArchetypeDemand!$F$6:$F$50,$F228)*'SHWLP-Att'!$R$12</f>
        <v>1.9409559845510151E-2</v>
      </c>
      <c r="L228" s="1134">
        <f>SUMIFS(INDEX(ArchetypeDemand!$I$6:$AH$50,,MATCH(L$166,ArchetypeDemand!$I$4:$AH$4,0)),ArchetypeDemand!$F$6:$F$50,$F228)*'SHWLP-Att'!$R$12</f>
        <v>6.8107478401688553E-3</v>
      </c>
      <c r="M228" s="1134">
        <f>SUMIFS(INDEX(ArchetypeDemand!$I$6:$AH$50,,MATCH(M$166,ArchetypeDemand!$I$4:$AH$4,0)),ArchetypeDemand!$F$6:$F$50,$F228)*'SHWLP-Att'!$R$12</f>
        <v>2.2717719141482309E-2</v>
      </c>
      <c r="N228" s="1134">
        <f>SUMIFS(INDEX(ArchetypeDemand!$I$6:$AH$50,,MATCH(N$166,ArchetypeDemand!$I$4:$AH$4,0)),ArchetypeDemand!$F$6:$F$50,$F228)*'SHWLP-Att'!$R$12</f>
        <v>1.7004851704701132E-2</v>
      </c>
      <c r="O228" s="1134">
        <f>SUMIFS(INDEX(ArchetypeDemand!$I$6:$AH$50,,MATCH(O$166,ArchetypeDemand!$I$4:$AH$4,0)),ArchetypeDemand!$F$6:$F$50,$F228)*'SHWLP-Att'!$R$12</f>
        <v>2.9104950547867266E-2</v>
      </c>
      <c r="P228" s="1134">
        <f>SUMIFS(INDEX(ArchetypeDemand!$I$6:$AH$50,,MATCH(P$166,ArchetypeDemand!$I$4:$AH$4,0)),ArchetypeDemand!$F$6:$F$50,$F228)*'SHWLP-Att'!$R$12</f>
        <v>1.8590498572000062E-2</v>
      </c>
      <c r="Q228" s="1134">
        <f>SUMIFS(INDEX(ArchetypeDemand!$I$6:$AH$50,,MATCH(Q$166,ArchetypeDemand!$I$4:$AH$4,0)),ArchetypeDemand!$F$6:$F$50,$F228)*'SHWLP-Att'!$R$12</f>
        <v>2.638297243008389E-2</v>
      </c>
      <c r="R228" s="1134">
        <f>SUMIFS(INDEX(ArchetypeDemand!$I$6:$AH$50,,MATCH(R$166,ArchetypeDemand!$I$4:$AH$4,0)),ArchetypeDemand!$F$6:$F$50,$F228)*'SHWLP-Att'!$R$12</f>
        <v>3.0662655908914177E-2</v>
      </c>
      <c r="S228" s="1134">
        <f>SUMIFS(INDEX(ArchetypeDemand!$I$6:$AH$50,,MATCH(S$166,ArchetypeDemand!$I$4:$AH$4,0)),ArchetypeDemand!$F$6:$F$50,$F228)*'SHWLP-Att'!$R$12</f>
        <v>2.0926342596074683E-2</v>
      </c>
      <c r="T228" s="1134">
        <f>SUMIFS(INDEX(ArchetypeDemand!$I$6:$AH$50,,MATCH(T$166,ArchetypeDemand!$I$4:$AH$4,0)),ArchetypeDemand!$F$6:$F$50,$F228)*'SHWLP-Att'!$R$12</f>
        <v>0.10997878712348357</v>
      </c>
      <c r="U228" s="1134">
        <f>SUMIFS(INDEX(ArchetypeDemand!$I$6:$AH$50,,MATCH(U$166,ArchetypeDemand!$I$4:$AH$4,0)),ArchetypeDemand!$F$6:$F$50,$F228)*'SHWLP-Att'!$R$12</f>
        <v>2.3041117392130807E-2</v>
      </c>
      <c r="V228" s="1134">
        <f>SUMIFS(INDEX(ArchetypeDemand!$I$6:$AH$50,,MATCH(V$166,ArchetypeDemand!$I$4:$AH$4,0)),ArchetypeDemand!$F$6:$F$50,$F228)*'SHWLP-Att'!$R$12</f>
        <v>4.1092072184234406E-2</v>
      </c>
      <c r="W228" s="1134">
        <f>SUMIFS(INDEX(ArchetypeDemand!$I$6:$AH$50,,MATCH(W$166,ArchetypeDemand!$I$4:$AH$4,0)),ArchetypeDemand!$F$6:$F$50,$F228)*'SHWLP-Att'!$R$12</f>
        <v>4.3424352668446881E-2</v>
      </c>
      <c r="X228" s="1134">
        <f>SUMIFS(INDEX(ArchetypeDemand!$I$6:$AH$50,,MATCH(X$166,ArchetypeDemand!$I$4:$AH$4,0)),ArchetypeDemand!$F$6:$F$50,$F228)*'SHWLP-Att'!$R$12</f>
        <v>2.7102611856060554E-2</v>
      </c>
      <c r="Y228" s="1134">
        <f>SUMIFS(INDEX(ArchetypeDemand!$I$6:$AH$50,,MATCH(Y$166,ArchetypeDemand!$I$4:$AH$4,0)),ArchetypeDemand!$F$6:$F$50,$F228)*'SHWLP-Att'!$R$12</f>
        <v>3.7749678817480169E-2</v>
      </c>
      <c r="Z228" s="1134">
        <f>SUMIFS(INDEX(ArchetypeDemand!$I$6:$AH$50,,MATCH(Z$166,ArchetypeDemand!$I$4:$AH$4,0)),ArchetypeDemand!$F$6:$F$50,$F228)*'SHWLP-Att'!$R$12</f>
        <v>6.418895156916047E-3</v>
      </c>
      <c r="AA228" s="1134">
        <f>SUMIFS(INDEX(ArchetypeDemand!$I$6:$AH$50,,MATCH(AA$166,ArchetypeDemand!$I$4:$AH$4,0)),ArchetypeDemand!$F$6:$F$50,$F228)*'SHWLP-Att'!$R$12</f>
        <v>1.8727284744772654E-2</v>
      </c>
      <c r="AB228" s="1134">
        <f>SUMIFS(INDEX(ArchetypeDemand!$I$6:$AH$50,,MATCH(AB$166,ArchetypeDemand!$I$4:$AH$4,0)),ArchetypeDemand!$F$6:$F$50,$F228)*'SHWLP-Att'!$R$12</f>
        <v>1.010409053137894E-2</v>
      </c>
      <c r="AC228" s="1134">
        <f>SUMIFS(INDEX(ArchetypeDemand!$I$6:$AH$50,,MATCH(AC$166,ArchetypeDemand!$I$4:$AH$4,0)),ArchetypeDemand!$F$6:$F$50,$F228)*'SHWLP-Att'!$R$12</f>
        <v>1.4009049706769352E-2</v>
      </c>
      <c r="AD228" s="1134">
        <f>SUMIFS(INDEX(ArchetypeDemand!$I$6:$AH$50,,MATCH(AD$166,ArchetypeDemand!$I$4:$AH$4,0)),ArchetypeDemand!$F$6:$F$50,$F228)*'SHWLP-Att'!$R$12</f>
        <v>9.0113223703161133E-3</v>
      </c>
      <c r="AE228" s="1134">
        <f>SUMIFS(INDEX(ArchetypeDemand!$I$6:$AH$50,,MATCH(AE$166,ArchetypeDemand!$I$4:$AH$4,0)),ArchetypeDemand!$F$6:$F$50,$F228)*'SHWLP-Att'!$R$12</f>
        <v>2.0703167198692626E-2</v>
      </c>
      <c r="AF228" s="1134">
        <f>SUMIFS(INDEX(ArchetypeDemand!$I$6:$AH$50,,MATCH(AF$166,ArchetypeDemand!$I$4:$AH$4,0)),ArchetypeDemand!$F$6:$F$50,$F228)*'SHWLP-Att'!$R$12</f>
        <v>8.6405130592166028E-3</v>
      </c>
    </row>
    <row r="229" spans="3:32" ht="13.5" thickBot="1">
      <c r="C229" s="1138" t="s">
        <v>1144</v>
      </c>
      <c r="D229" s="1138" t="s">
        <v>1094</v>
      </c>
      <c r="E229" s="1138" t="s">
        <v>405</v>
      </c>
      <c r="F229" s="1138" t="s">
        <v>1101</v>
      </c>
      <c r="G229" s="1138">
        <f>SUMIFS(INDEX(ArchetypeDemand!$I$6:$AH$50,,MATCH($G$166,ArchetypeDemand!$I$4:$AH$4,0)),ArchetypeDemand!$F$6:$F$50,$F229)*'SHWLP-Att'!$R$12</f>
        <v>1.0242018022943786E-2</v>
      </c>
      <c r="H229" s="1138">
        <f>SUMIFS(INDEX(ArchetypeDemand!$I$6:$AH$50,,MATCH($H$166,ArchetypeDemand!$I$4:$AH$4,0)),ArchetypeDemand!$F$6:$F$50,$F229)*'SHWLP-Att'!$R$12</f>
        <v>0.43597229250764552</v>
      </c>
      <c r="I229" s="1138">
        <f>SUMIFS(INDEX(ArchetypeDemand!$I$6:$AH$50,,MATCH(I$166,ArchetypeDemand!$I$4:$AH$4,0)),ArchetypeDemand!$F$6:$F$50,$F229)*'SHWLP-Att'!$R$12</f>
        <v>2.7955457305323547E-2</v>
      </c>
      <c r="J229" s="1138">
        <f>SUMIFS(INDEX(ArchetypeDemand!$I$6:$AH$50,,MATCH(J$166,ArchetypeDemand!$I$4:$AH$4,0)),ArchetypeDemand!$F$6:$F$50,$F229)*'SHWLP-Att'!$R$12</f>
        <v>1.9503222228886299E-2</v>
      </c>
      <c r="K229" s="1138">
        <f>SUMIFS(INDEX(ArchetypeDemand!$I$6:$AH$50,,MATCH(K$166,ArchetypeDemand!$I$4:$AH$4,0)),ArchetypeDemand!$F$6:$F$50,$F229)*'SHWLP-Att'!$R$12</f>
        <v>2.1665265449177545E-2</v>
      </c>
      <c r="L229" s="1138">
        <f>SUMIFS(INDEX(ArchetypeDemand!$I$6:$AH$50,,MATCH(L$166,ArchetypeDemand!$I$4:$AH$4,0)),ArchetypeDemand!$F$6:$F$50,$F229)*'SHWLP-Att'!$R$12</f>
        <v>6.2269694538686681E-3</v>
      </c>
      <c r="M229" s="1138">
        <f>SUMIFS(INDEX(ArchetypeDemand!$I$6:$AH$50,,MATCH(M$166,ArchetypeDemand!$I$4:$AH$4,0)),ArchetypeDemand!$F$6:$F$50,$F229)*'SHWLP-Att'!$R$12</f>
        <v>3.3411206185067086E-2</v>
      </c>
      <c r="N229" s="1138">
        <f>SUMIFS(INDEX(ArchetypeDemand!$I$6:$AH$50,,MATCH(N$166,ArchetypeDemand!$I$4:$AH$4,0)),ArchetypeDemand!$F$6:$F$50,$F229)*'SHWLP-Att'!$R$12</f>
        <v>1.6050033828233955E-2</v>
      </c>
      <c r="O229" s="1138">
        <f>SUMIFS(INDEX(ArchetypeDemand!$I$6:$AH$50,,MATCH(O$166,ArchetypeDemand!$I$4:$AH$4,0)),ArchetypeDemand!$F$6:$F$50,$F229)*'SHWLP-Att'!$R$12</f>
        <v>2.8107066529083249E-2</v>
      </c>
      <c r="P229" s="1138">
        <f>SUMIFS(INDEX(ArchetypeDemand!$I$6:$AH$50,,MATCH(P$166,ArchetypeDemand!$I$4:$AH$4,0)),ArchetypeDemand!$F$6:$F$50,$F229)*'SHWLP-Att'!$R$12</f>
        <v>2.6026698000800087E-2</v>
      </c>
      <c r="Q229" s="1138">
        <f>SUMIFS(INDEX(ArchetypeDemand!$I$6:$AH$50,,MATCH(Q$166,ArchetypeDemand!$I$4:$AH$4,0)),ArchetypeDemand!$F$6:$F$50,$F229)*'SHWLP-Att'!$R$12</f>
        <v>3.1308444177659628E-2</v>
      </c>
      <c r="R229" s="1138">
        <f>SUMIFS(INDEX(ArchetypeDemand!$I$6:$AH$50,,MATCH(R$166,ArchetypeDemand!$I$4:$AH$4,0)),ArchetypeDemand!$F$6:$F$50,$F229)*'SHWLP-Att'!$R$12</f>
        <v>3.3546767108267497E-2</v>
      </c>
      <c r="S229" s="1138">
        <f>SUMIFS(INDEX(ArchetypeDemand!$I$6:$AH$50,,MATCH(S$166,ArchetypeDemand!$I$4:$AH$4,0)),ArchetypeDemand!$F$6:$F$50,$F229)*'SHWLP-Att'!$R$12</f>
        <v>2.0591903330840614E-2</v>
      </c>
      <c r="T229" s="1138">
        <f>SUMIFS(INDEX(ArchetypeDemand!$I$6:$AH$50,,MATCH(T$166,ArchetypeDemand!$I$4:$AH$4,0)),ArchetypeDemand!$F$6:$F$50,$F229)*'SHWLP-Att'!$R$12</f>
        <v>0.13164370103524209</v>
      </c>
      <c r="U229" s="1138">
        <f>SUMIFS(INDEX(ArchetypeDemand!$I$6:$AH$50,,MATCH(U$166,ArchetypeDemand!$I$4:$AH$4,0)),ArchetypeDemand!$F$6:$F$50,$F229)*'SHWLP-Att'!$R$12</f>
        <v>2.5809623745448849E-2</v>
      </c>
      <c r="V229" s="1138">
        <f>SUMIFS(INDEX(ArchetypeDemand!$I$6:$AH$50,,MATCH(V$166,ArchetypeDemand!$I$4:$AH$4,0)),ArchetypeDemand!$F$6:$F$50,$F229)*'SHWLP-Att'!$R$12</f>
        <v>4.3886140398402752E-2</v>
      </c>
      <c r="W229" s="1138">
        <f>SUMIFS(INDEX(ArchetypeDemand!$I$6:$AH$50,,MATCH(W$166,ArchetypeDemand!$I$4:$AH$4,0)),ArchetypeDemand!$F$6:$F$50,$F229)*'SHWLP-Att'!$R$12</f>
        <v>5.4057878663567697E-2</v>
      </c>
      <c r="X229" s="1138">
        <f>SUMIFS(INDEX(ArchetypeDemand!$I$6:$AH$50,,MATCH(X$166,ArchetypeDemand!$I$4:$AH$4,0)),ArchetypeDemand!$F$6:$F$50,$F229)*'SHWLP-Att'!$R$12</f>
        <v>3.0678291049307551E-2</v>
      </c>
      <c r="Y229" s="1138">
        <f>SUMIFS(INDEX(ArchetypeDemand!$I$6:$AH$50,,MATCH(Y$166,ArchetypeDemand!$I$4:$AH$4,0)),ArchetypeDemand!$F$6:$F$50,$F229)*'SHWLP-Att'!$R$12</f>
        <v>3.6409726937789932E-2</v>
      </c>
      <c r="Z229" s="1138">
        <f>SUMIFS(INDEX(ArchetypeDemand!$I$6:$AH$50,,MATCH(Z$166,ArchetypeDemand!$I$4:$AH$4,0)),ArchetypeDemand!$F$6:$F$50,$F229)*'SHWLP-Att'!$R$12</f>
        <v>6.0750257735098295E-3</v>
      </c>
      <c r="AA229" s="1138">
        <f>SUMIFS(INDEX(ArchetypeDemand!$I$6:$AH$50,,MATCH(AA$166,ArchetypeDemand!$I$4:$AH$4,0)),ArchetypeDemand!$F$6:$F$50,$F229)*'SHWLP-Att'!$R$12</f>
        <v>2.663753733416771E-2</v>
      </c>
      <c r="AB229" s="1138">
        <f>SUMIFS(INDEX(ArchetypeDemand!$I$6:$AH$50,,MATCH(AB$166,ArchetypeDemand!$I$4:$AH$4,0)),ArchetypeDemand!$F$6:$F$50,$F229)*'SHWLP-Att'!$R$12</f>
        <v>9.7811287335723088E-3</v>
      </c>
      <c r="AC229" s="1138">
        <f>SUMIFS(INDEX(ArchetypeDemand!$I$6:$AH$50,,MATCH(AC$166,ArchetypeDemand!$I$4:$AH$4,0)),ArchetypeDemand!$F$6:$F$50,$F229)*'SHWLP-Att'!$R$12</f>
        <v>1.700469555601563E-2</v>
      </c>
      <c r="AD229" s="1138">
        <f>SUMIFS(INDEX(ArchetypeDemand!$I$6:$AH$50,,MATCH(AD$166,ArchetypeDemand!$I$4:$AH$4,0)),ArchetypeDemand!$F$6:$F$50,$F229)*'SHWLP-Att'!$R$12</f>
        <v>1.2242655139469871E-2</v>
      </c>
      <c r="AE229" s="1138">
        <f>SUMIFS(INDEX(ArchetypeDemand!$I$6:$AH$50,,MATCH(AE$166,ArchetypeDemand!$I$4:$AH$4,0)),ArchetypeDemand!$F$6:$F$50,$F229)*'SHWLP-Att'!$R$12</f>
        <v>2.6135913201186436E-2</v>
      </c>
      <c r="AF229" s="1138">
        <f>SUMIFS(INDEX(ArchetypeDemand!$I$6:$AH$50,,MATCH(AF$166,ArchetypeDemand!$I$4:$AH$4,0)),ArchetypeDemand!$F$6:$F$50,$F229)*'SHWLP-Att'!$R$12</f>
        <v>9.2236151675072937E-3</v>
      </c>
    </row>
    <row r="230" spans="3:32" ht="13.5" thickBot="1">
      <c r="C230" s="1141" t="s">
        <v>1145</v>
      </c>
      <c r="D230" s="1141" t="s">
        <v>1094</v>
      </c>
      <c r="E230" s="1141" t="s">
        <v>405</v>
      </c>
      <c r="F230" s="1141" t="s">
        <v>930</v>
      </c>
      <c r="G230" s="1142">
        <f>SUM(ArchetypeDemand!I6:I46)*'SHWLP-Att'!$R$38</f>
        <v>0.25065136702676571</v>
      </c>
      <c r="H230" s="1142">
        <f>SUM(ArchetypeDemand!J6:J46)*'SHWLP-Att'!$R$38</f>
        <v>8.3317211700942266</v>
      </c>
      <c r="I230" s="1142">
        <f>SUM(ArchetypeDemand!K6:K46)*'SHWLP-Att'!$R$38</f>
        <v>1.0602755981558247</v>
      </c>
      <c r="J230" s="1142">
        <f>SUM(ArchetypeDemand!L6:L46)*'SHWLP-Att'!$R$38</f>
        <v>0.34769096941082805</v>
      </c>
      <c r="K230" s="1142">
        <f>SUM(ArchetypeDemand!M6:M46)*'SHWLP-Att'!$R$38</f>
        <v>0.31995401245117455</v>
      </c>
      <c r="L230" s="1142">
        <f>SUM(ArchetypeDemand!N6:N46)*'SHWLP-Att'!$R$38</f>
        <v>0.13192991833850984</v>
      </c>
      <c r="M230" s="1142">
        <f>SUM(ArchetypeDemand!O6:O46)*'SHWLP-Att'!$R$38</f>
        <v>0.67516433934785669</v>
      </c>
      <c r="N230" s="1142">
        <f>SUM(ArchetypeDemand!P6:P46)*'SHWLP-Att'!$R$38</f>
        <v>0.75337910470422265</v>
      </c>
      <c r="O230" s="1142">
        <f>SUM(ArchetypeDemand!Q6:Q46)*'SHWLP-Att'!$R$38</f>
        <v>0.2846156060012679</v>
      </c>
      <c r="P230" s="1142">
        <f>SUM(ArchetypeDemand!R6:R46)*'SHWLP-Att'!$R$38</f>
        <v>0.34090184464970025</v>
      </c>
      <c r="Q230" s="1142">
        <f>SUM(ArchetypeDemand!S6:S46)*'SHWLP-Att'!$R$38</f>
        <v>0.51105268719435681</v>
      </c>
      <c r="R230" s="1142">
        <f>SUM(ArchetypeDemand!T6:T46)*'SHWLP-Att'!$R$38</f>
        <v>0.64397107692240363</v>
      </c>
      <c r="S230" s="1142">
        <f>SUM(ArchetypeDemand!U6:U46)*'SHWLP-Att'!$R$38</f>
        <v>0.42025508395601224</v>
      </c>
      <c r="T230" s="1142">
        <f>SUM(ArchetypeDemand!V6:V46)*'SHWLP-Att'!$R$38</f>
        <v>2.541904386902452</v>
      </c>
      <c r="U230" s="1142">
        <f>SUM(ArchetypeDemand!W6:W46)*'SHWLP-Att'!$R$38</f>
        <v>0.43603543001571665</v>
      </c>
      <c r="V230" s="1142">
        <f>SUM(ArchetypeDemand!X6:X46)*'SHWLP-Att'!$R$38</f>
        <v>0.88103663325416626</v>
      </c>
      <c r="W230" s="1142">
        <f>SUM(ArchetypeDemand!Y6:Y46)*'SHWLP-Att'!$R$38</f>
        <v>0.61025094912771449</v>
      </c>
      <c r="X230" s="1142">
        <f>SUM(ArchetypeDemand!Z6:Z46)*'SHWLP-Att'!$R$38</f>
        <v>0.6051084420838766</v>
      </c>
      <c r="Y230" s="1142">
        <f>SUM(ArchetypeDemand!AA6:AA46)*'SHWLP-Att'!$R$38</f>
        <v>0.76689072517687862</v>
      </c>
      <c r="Z230" s="1142">
        <f>SUM(ArchetypeDemand!AB6:AB46)*'SHWLP-Att'!$R$38</f>
        <v>7.6100698519239188E-2</v>
      </c>
      <c r="AA230" s="1142">
        <f>SUM(ArchetypeDemand!AC6:AC46)*'SHWLP-Att'!$R$38</f>
        <v>0.34800394238639837</v>
      </c>
      <c r="AB230" s="1142">
        <f>SUM(ArchetypeDemand!AD6:AD46)*'SHWLP-Att'!$R$38</f>
        <v>0.14933102464545253</v>
      </c>
      <c r="AC230" s="1142">
        <f>SUM(ArchetypeDemand!AE6:AE46)*'SHWLP-Att'!$R$38</f>
        <v>0.24709882204723585</v>
      </c>
      <c r="AD230" s="1142">
        <f>SUM(ArchetypeDemand!AF6:AF46)*'SHWLP-Att'!$R$38</f>
        <v>0.21422431376817103</v>
      </c>
      <c r="AE230" s="1142">
        <f>SUM(ArchetypeDemand!AG6:AG46)*'SHWLP-Att'!$R$38</f>
        <v>0.44145248989534785</v>
      </c>
      <c r="AF230" s="1142">
        <f>SUM(ArchetypeDemand!AH6:AH46)*'SHWLP-Att'!$R$38</f>
        <v>0.18398852573582478</v>
      </c>
    </row>
    <row r="231" spans="3:32" ht="15">
      <c r="C231" s="1137" t="s">
        <v>1126</v>
      </c>
      <c r="D231" s="1137"/>
      <c r="E231" s="1137"/>
      <c r="F231" s="1137"/>
      <c r="G231" s="1137"/>
      <c r="H231" s="1137"/>
      <c r="I231" s="1137"/>
      <c r="J231" s="1137"/>
      <c r="K231" s="1137"/>
      <c r="L231" s="1137"/>
      <c r="M231" s="1137"/>
      <c r="N231" s="1137"/>
      <c r="O231" s="1137"/>
      <c r="P231" s="1137"/>
      <c r="Q231" s="1137"/>
      <c r="R231" s="1137"/>
      <c r="S231" s="1137"/>
      <c r="T231" s="1137"/>
      <c r="U231" s="1137"/>
      <c r="V231" s="1137"/>
      <c r="W231" s="1137"/>
      <c r="X231" s="1137"/>
      <c r="Y231" s="1137"/>
      <c r="Z231" s="1137"/>
      <c r="AA231" s="1137"/>
      <c r="AB231" s="1137"/>
      <c r="AC231" s="1137"/>
      <c r="AD231" s="1137"/>
      <c r="AE231" s="1137"/>
      <c r="AF231" s="1137"/>
    </row>
    <row r="232" spans="3:32">
      <c r="C232" s="1145" t="s">
        <v>1146</v>
      </c>
      <c r="D232" s="1134" t="s">
        <v>1094</v>
      </c>
      <c r="E232" s="1134" t="s">
        <v>406</v>
      </c>
      <c r="F232" s="1134" t="s">
        <v>1096</v>
      </c>
      <c r="G232" s="1134">
        <f>SUMIFS(INDEX(ArchetypeDemand!$I$6:$AH$50,,MATCH($G$166,ArchetypeDemand!$I$4:$AH$4,0)),ArchetypeDemand!$F$6:$F$50,$F232)*'SHWLP-Att'!$R$18</f>
        <v>2.2323392728864993E-3</v>
      </c>
      <c r="H232" s="1134">
        <f>SUMIFS(INDEX(ArchetypeDemand!$I$6:$AH$50,,MATCH(H$166,ArchetypeDemand!$I$4:$AH$4,0)),ArchetypeDemand!$F$6:$F$50,$F232)*'SHWLP-Att'!$R$18</f>
        <v>8.5002709747433458E-2</v>
      </c>
      <c r="I232" s="1134">
        <f>SUMIFS(INDEX(ArchetypeDemand!$I$6:$AH$50,,MATCH(I$166,ArchetypeDemand!$I$4:$AH$4,0)),ArchetypeDemand!$F$6:$F$50,$F232)*'SHWLP-Att'!$R$18</f>
        <v>1.7140437785724539E-2</v>
      </c>
      <c r="J232" s="1134">
        <f>SUMIFS(INDEX(ArchetypeDemand!$I$6:$AH$50,,MATCH(J$166,ArchetypeDemand!$I$4:$AH$4,0)),ArchetypeDemand!$F$6:$F$50,$F232)*'SHWLP-Att'!$R$18</f>
        <v>2.6625641353646146E-3</v>
      </c>
      <c r="K232" s="1134">
        <f>SUMIFS(INDEX(ArchetypeDemand!$I$6:$AH$50,,MATCH(K$166,ArchetypeDemand!$I$4:$AH$4,0)),ArchetypeDemand!$F$6:$F$50,$F232)*'SHWLP-Att'!$R$18</f>
        <v>2.5490506778667703E-3</v>
      </c>
      <c r="L232" s="1134">
        <f>SUMIFS(INDEX(ArchetypeDemand!$I$6:$AH$50,,MATCH(L$166,ArchetypeDemand!$I$4:$AH$4,0)),ArchetypeDemand!$F$6:$F$50,$F232)*'SHWLP-Att'!$R$18</f>
        <v>1.0085283810207686E-3</v>
      </c>
      <c r="M232" s="1134">
        <f>SUMIFS(INDEX(ArchetypeDemand!$I$6:$AH$50,,MATCH(M$166,ArchetypeDemand!$I$4:$AH$4,0)),ArchetypeDemand!$F$6:$F$50,$F232)*'SHWLP-Att'!$R$18</f>
        <v>8.3411131728095955E-3</v>
      </c>
      <c r="N232" s="1134">
        <f>SUMIFS(INDEX(ArchetypeDemand!$I$6:$AH$50,,MATCH(N$166,ArchetypeDemand!$I$4:$AH$4,0)),ArchetypeDemand!$F$6:$F$50,$F232)*'SHWLP-Att'!$R$18</f>
        <v>1.5100885678517648E-2</v>
      </c>
      <c r="O232" s="1134">
        <f>SUMIFS(INDEX(ArchetypeDemand!$I$6:$AH$50,,MATCH(O$166,ArchetypeDemand!$I$4:$AH$4,0)),ArchetypeDemand!$F$6:$F$50,$F232)*'SHWLP-Att'!$R$18</f>
        <v>1.176504360707225E-3</v>
      </c>
      <c r="P232" s="1134">
        <f>SUMIFS(INDEX(ArchetypeDemand!$I$6:$AH$50,,MATCH(P$166,ArchetypeDemand!$I$4:$AH$4,0)),ArchetypeDemand!$F$6:$F$50,$F232)*'SHWLP-Att'!$R$18</f>
        <v>2.0892345519514387E-3</v>
      </c>
      <c r="Q232" s="1134">
        <f>SUMIFS(INDEX(ArchetypeDemand!$I$6:$AH$50,,MATCH(Q$166,ArchetypeDemand!$I$4:$AH$4,0)),ArchetypeDemand!$F$6:$F$50,$F232)*'SHWLP-Att'!$R$18</f>
        <v>3.271463063443788E-3</v>
      </c>
      <c r="R232" s="1134">
        <f>SUMIFS(INDEX(ArchetypeDemand!$I$6:$AH$50,,MATCH(R$166,ArchetypeDemand!$I$4:$AH$4,0)),ArchetypeDemand!$F$6:$F$50,$F232)*'SHWLP-Att'!$R$18</f>
        <v>8.3617822416356385E-3</v>
      </c>
      <c r="S232" s="1134">
        <f>SUMIFS(INDEX(ArchetypeDemand!$I$6:$AH$50,,MATCH(S$166,ArchetypeDemand!$I$4:$AH$4,0)),ArchetypeDemand!$F$6:$F$50,$F232)*'SHWLP-Att'!$R$18</f>
        <v>2.4176920080246867E-3</v>
      </c>
      <c r="T232" s="1134">
        <f>SUMIFS(INDEX(ArchetypeDemand!$I$6:$AH$50,,MATCH(T$166,ArchetypeDemand!$I$4:$AH$4,0)),ArchetypeDemand!$F$6:$F$50,$F232)*'SHWLP-Att'!$R$18</f>
        <v>2.9328217992573395E-2</v>
      </c>
      <c r="U232" s="1134">
        <f>SUMIFS(INDEX(ArchetypeDemand!$I$6:$AH$50,,MATCH(U$166,ArchetypeDemand!$I$4:$AH$4,0)),ArchetypeDemand!$F$6:$F$50,$F232)*'SHWLP-Att'!$R$18</f>
        <v>3.1968858057774569E-3</v>
      </c>
      <c r="V232" s="1134">
        <f>SUMIFS(INDEX(ArchetypeDemand!$I$6:$AH$50,,MATCH(V$166,ArchetypeDemand!$I$4:$AH$4,0)),ArchetypeDemand!$F$6:$F$50,$F232)*'SHWLP-Att'!$R$18</f>
        <v>6.2959575587959284E-3</v>
      </c>
      <c r="W232" s="1134">
        <f>SUMIFS(INDEX(ArchetypeDemand!$I$6:$AH$50,,MATCH(W$166,ArchetypeDemand!$I$4:$AH$4,0)),ArchetypeDemand!$F$6:$F$50,$F232)*'SHWLP-Att'!$R$18</f>
        <v>2.7244097519960792E-3</v>
      </c>
      <c r="X232" s="1134">
        <f>SUMIFS(INDEX(ArchetypeDemand!$I$6:$AH$50,,MATCH(X$166,ArchetypeDemand!$I$4:$AH$4,0)),ArchetypeDemand!$F$6:$F$50,$F232)*'SHWLP-Att'!$R$18</f>
        <v>5.2974270829096995E-3</v>
      </c>
      <c r="Y232" s="1134">
        <f>SUMIFS(INDEX(ArchetypeDemand!$I$6:$AH$50,,MATCH(Y$166,ArchetypeDemand!$I$4:$AH$4,0)),ArchetypeDemand!$F$6:$F$50,$F232)*'SHWLP-Att'!$R$18</f>
        <v>5.1327434701739817E-3</v>
      </c>
      <c r="Z232" s="1134">
        <f>SUMIFS(INDEX(ArchetypeDemand!$I$6:$AH$50,,MATCH(Z$166,ArchetypeDemand!$I$4:$AH$4,0)),ArchetypeDemand!$F$6:$F$50,$F232)*'SHWLP-Att'!$R$18</f>
        <v>4.0451266609030454E-4</v>
      </c>
      <c r="AA232" s="1134">
        <f>SUMIFS(INDEX(ArchetypeDemand!$I$6:$AH$50,,MATCH(AA$166,ArchetypeDemand!$I$4:$AH$4,0)),ArchetypeDemand!$F$6:$F$50,$F232)*'SHWLP-Att'!$R$18</f>
        <v>2.0565097418911568E-3</v>
      </c>
      <c r="AB232" s="1134">
        <f>SUMIFS(INDEX(ArchetypeDemand!$I$6:$AH$50,,MATCH(AB$166,ArchetypeDemand!$I$4:$AH$4,0)),ArchetypeDemand!$F$6:$F$50,$F232)*'SHWLP-Att'!$R$18</f>
        <v>5.2027849876087472E-4</v>
      </c>
      <c r="AC232" s="1134">
        <f>SUMIFS(INDEX(ArchetypeDemand!$I$6:$AH$50,,MATCH(AC$166,ArchetypeDemand!$I$4:$AH$4,0)),ArchetypeDemand!$F$6:$F$50,$F232)*'SHWLP-Att'!$R$18</f>
        <v>1.6231241223280545E-3</v>
      </c>
      <c r="AD232" s="1134">
        <f>SUMIFS(INDEX(ArchetypeDemand!$I$6:$AH$50,,MATCH(AD$166,ArchetypeDemand!$I$4:$AH$4,0)),ArchetypeDemand!$F$6:$F$50,$F232)*'SHWLP-Att'!$R$18</f>
        <v>1.8249837798738685E-3</v>
      </c>
      <c r="AE232" s="1134">
        <f>SUMIFS(INDEX(ArchetypeDemand!$I$6:$AH$50,,MATCH(AE$166,ArchetypeDemand!$I$4:$AH$4,0)),ArchetypeDemand!$F$6:$F$50,$F232)*'SHWLP-Att'!$R$18</f>
        <v>2.2439829080095801E-3</v>
      </c>
      <c r="AF232" s="1134">
        <f>SUMIFS(INDEX(ArchetypeDemand!$I$6:$AH$50,,MATCH(AF$166,ArchetypeDemand!$I$4:$AH$4,0)),ArchetypeDemand!$F$6:$F$50,$F232)*'SHWLP-Att'!$R$18</f>
        <v>1.7038667025005402E-3</v>
      </c>
    </row>
    <row r="233" spans="3:32">
      <c r="C233" s="1136" t="s">
        <v>1146</v>
      </c>
      <c r="D233" s="1136" t="s">
        <v>1094</v>
      </c>
      <c r="E233" s="1136" t="s">
        <v>406</v>
      </c>
      <c r="F233" s="1136" t="s">
        <v>1097</v>
      </c>
      <c r="G233" s="1136">
        <f>SUMIFS(INDEX(ArchetypeDemand!$I$6:$AH$50,,MATCH($G$166,ArchetypeDemand!$I$4:$AH$4,0)),ArchetypeDemand!$F$6:$F$50,$F233)*'SHWLP-Att'!$R$18</f>
        <v>5.9283848486508242E-3</v>
      </c>
      <c r="H233" s="1136">
        <f>SUMIFS(INDEX(ArchetypeDemand!$I$6:$AH$50,,MATCH(H$166,ArchetypeDemand!$I$4:$AH$4,0)),ArchetypeDemand!$F$6:$F$50,$F233)*'SHWLP-Att'!$R$18</f>
        <v>0.14846716303125507</v>
      </c>
      <c r="I233" s="1136">
        <f>SUMIFS(INDEX(ArchetypeDemand!$I$6:$AH$50,,MATCH(I$166,ArchetypeDemand!$I$4:$AH$4,0)),ArchetypeDemand!$F$6:$F$50,$F233)*'SHWLP-Att'!$R$18</f>
        <v>2.1308554973678097E-2</v>
      </c>
      <c r="J233" s="1136">
        <f>SUMIFS(INDEX(ArchetypeDemand!$I$6:$AH$50,,MATCH(J$166,ArchetypeDemand!$I$4:$AH$4,0)),ArchetypeDemand!$F$6:$F$50,$F233)*'SHWLP-Att'!$R$18</f>
        <v>7.5817808181224038E-3</v>
      </c>
      <c r="K233" s="1136">
        <f>SUMIFS(INDEX(ArchetypeDemand!$I$6:$AH$50,,MATCH(K$166,ArchetypeDemand!$I$4:$AH$4,0)),ArchetypeDemand!$F$6:$F$50,$F233)*'SHWLP-Att'!$R$18</f>
        <v>7.5431058896582434E-3</v>
      </c>
      <c r="L233" s="1136">
        <f>SUMIFS(INDEX(ArchetypeDemand!$I$6:$AH$50,,MATCH(L$166,ArchetypeDemand!$I$4:$AH$4,0)),ArchetypeDemand!$F$6:$F$50,$F233)*'SHWLP-Att'!$R$18</f>
        <v>2.8897176533292318E-3</v>
      </c>
      <c r="M233" s="1136">
        <f>SUMIFS(INDEX(ArchetypeDemand!$I$6:$AH$50,,MATCH(M$166,ArchetypeDemand!$I$4:$AH$4,0)),ArchetypeDemand!$F$6:$F$50,$F233)*'SHWLP-Att'!$R$18</f>
        <v>1.6084625430769762E-2</v>
      </c>
      <c r="N233" s="1136">
        <f>SUMIFS(INDEX(ArchetypeDemand!$I$6:$AH$50,,MATCH(N$166,ArchetypeDemand!$I$4:$AH$4,0)),ArchetypeDemand!$F$6:$F$50,$F233)*'SHWLP-Att'!$R$18</f>
        <v>1.6848079975071036E-2</v>
      </c>
      <c r="O233" s="1136">
        <f>SUMIFS(INDEX(ArchetypeDemand!$I$6:$AH$50,,MATCH(O$166,ArchetypeDemand!$I$4:$AH$4,0)),ArchetypeDemand!$F$6:$F$50,$F233)*'SHWLP-Att'!$R$18</f>
        <v>5.5166078539650963E-3</v>
      </c>
      <c r="P233" s="1136">
        <f>SUMIFS(INDEX(ArchetypeDemand!$I$6:$AH$50,,MATCH(P$166,ArchetypeDemand!$I$4:$AH$4,0)),ArchetypeDemand!$F$6:$F$50,$F233)*'SHWLP-Att'!$R$18</f>
        <v>7.5959759734872921E-3</v>
      </c>
      <c r="Q233" s="1136">
        <f>SUMIFS(INDEX(ArchetypeDemand!$I$6:$AH$50,,MATCH(Q$166,ArchetypeDemand!$I$4:$AH$4,0)),ArchetypeDemand!$F$6:$F$50,$F233)*'SHWLP-Att'!$R$18</f>
        <v>1.0403079292707982E-2</v>
      </c>
      <c r="R233" s="1136">
        <f>SUMIFS(INDEX(ArchetypeDemand!$I$6:$AH$50,,MATCH(R$166,ArchetypeDemand!$I$4:$AH$4,0)),ArchetypeDemand!$F$6:$F$50,$F233)*'SHWLP-Att'!$R$18</f>
        <v>1.1836817580284431E-2</v>
      </c>
      <c r="S233" s="1136">
        <f>SUMIFS(INDEX(ArchetypeDemand!$I$6:$AH$50,,MATCH(S$166,ArchetypeDemand!$I$4:$AH$4,0)),ArchetypeDemand!$F$6:$F$50,$F233)*'SHWLP-Att'!$R$18</f>
        <v>8.528502396586219E-3</v>
      </c>
      <c r="T233" s="1136">
        <f>SUMIFS(INDEX(ArchetypeDemand!$I$6:$AH$50,,MATCH(T$166,ArchetypeDemand!$I$4:$AH$4,0)),ArchetypeDemand!$F$6:$F$50,$F233)*'SHWLP-Att'!$R$18</f>
        <v>5.6356744030235044E-2</v>
      </c>
      <c r="U233" s="1136">
        <f>SUMIFS(INDEX(ArchetypeDemand!$I$6:$AH$50,,MATCH(U$166,ArchetypeDemand!$I$4:$AH$4,0)),ArchetypeDemand!$F$6:$F$50,$F233)*'SHWLP-Att'!$R$18</f>
        <v>8.6618482942232289E-3</v>
      </c>
      <c r="V233" s="1136">
        <f>SUMIFS(INDEX(ArchetypeDemand!$I$6:$AH$50,,MATCH(V$166,ArchetypeDemand!$I$4:$AH$4,0)),ArchetypeDemand!$F$6:$F$50,$F233)*'SHWLP-Att'!$R$18</f>
        <v>1.9503492478747813E-2</v>
      </c>
      <c r="W233" s="1136">
        <f>SUMIFS(INDEX(ArchetypeDemand!$I$6:$AH$50,,MATCH(W$166,ArchetypeDemand!$I$4:$AH$4,0)),ArchetypeDemand!$F$6:$F$50,$F233)*'SHWLP-Att'!$R$18</f>
        <v>1.2347972063709757E-2</v>
      </c>
      <c r="X233" s="1136">
        <f>SUMIFS(INDEX(ArchetypeDemand!$I$6:$AH$50,,MATCH(X$166,ArchetypeDemand!$I$4:$AH$4,0)),ArchetypeDemand!$F$6:$F$50,$F233)*'SHWLP-Att'!$R$18</f>
        <v>1.2811363374178472E-2</v>
      </c>
      <c r="Y233" s="1136">
        <f>SUMIFS(INDEX(ArchetypeDemand!$I$6:$AH$50,,MATCH(Y$166,ArchetypeDemand!$I$4:$AH$4,0)),ArchetypeDemand!$F$6:$F$50,$F233)*'SHWLP-Att'!$R$18</f>
        <v>1.7956348890536069E-2</v>
      </c>
      <c r="Z233" s="1136">
        <f>SUMIFS(INDEX(ArchetypeDemand!$I$6:$AH$50,,MATCH(Z$166,ArchetypeDemand!$I$4:$AH$4,0)),ArchetypeDemand!$F$6:$F$50,$F233)*'SHWLP-Att'!$R$18</f>
        <v>1.9039322120308084E-3</v>
      </c>
      <c r="AA233" s="1136">
        <f>SUMIFS(INDEX(ArchetypeDemand!$I$6:$AH$50,,MATCH(AA$166,ArchetypeDemand!$I$4:$AH$4,0)),ArchetypeDemand!$F$6:$F$50,$F233)*'SHWLP-Att'!$R$18</f>
        <v>7.807662457698975E-3</v>
      </c>
      <c r="AB233" s="1136">
        <f>SUMIFS(INDEX(ArchetypeDemand!$I$6:$AH$50,,MATCH(AB$166,ArchetypeDemand!$I$4:$AH$4,0)),ArchetypeDemand!$F$6:$F$50,$F233)*'SHWLP-Att'!$R$18</f>
        <v>4.1190825182097516E-3</v>
      </c>
      <c r="AC233" s="1136">
        <f>SUMIFS(INDEX(ArchetypeDemand!$I$6:$AH$50,,MATCH(AC$166,ArchetypeDemand!$I$4:$AH$4,0)),ArchetypeDemand!$F$6:$F$50,$F233)*'SHWLP-Att'!$R$18</f>
        <v>5.1954764357659486E-3</v>
      </c>
      <c r="AD233" s="1136">
        <f>SUMIFS(INDEX(ArchetypeDemand!$I$6:$AH$50,,MATCH(AD$166,ArchetypeDemand!$I$4:$AH$4,0)),ArchetypeDemand!$F$6:$F$50,$F233)*'SHWLP-Att'!$R$18</f>
        <v>5.6361589746043482E-3</v>
      </c>
      <c r="AE233" s="1136">
        <f>SUMIFS(INDEX(ArchetypeDemand!$I$6:$AH$50,,MATCH(AE$166,ArchetypeDemand!$I$4:$AH$4,0)),ArchetypeDemand!$F$6:$F$50,$F233)*'SHWLP-Att'!$R$18</f>
        <v>1.1494545445382589E-2</v>
      </c>
      <c r="AF233" s="1136">
        <f>SUMIFS(INDEX(ArchetypeDemand!$I$6:$AH$50,,MATCH(AF$166,ArchetypeDemand!$I$4:$AH$4,0)),ArchetypeDemand!$F$6:$F$50,$F233)*'SHWLP-Att'!$R$18</f>
        <v>3.7531579843586623E-3</v>
      </c>
    </row>
    <row r="234" spans="3:32">
      <c r="C234" s="1134" t="s">
        <v>1146</v>
      </c>
      <c r="D234" s="1134" t="s">
        <v>1094</v>
      </c>
      <c r="E234" s="1134" t="s">
        <v>406</v>
      </c>
      <c r="F234" s="1134" t="s">
        <v>1098</v>
      </c>
      <c r="G234" s="1134">
        <f>SUMIFS(INDEX(ArchetypeDemand!$I$6:$AH$50,,MATCH($G$166,ArchetypeDemand!$I$4:$AH$4,0)),ArchetypeDemand!$F$6:$F$50,$F234)*'SHWLP-Att'!$R$18</f>
        <v>3.1106786778531213E-3</v>
      </c>
      <c r="H234" s="1134">
        <f>SUMIFS(INDEX(ArchetypeDemand!$I$6:$AH$50,,MATCH(H$166,ArchetypeDemand!$I$4:$AH$4,0)),ArchetypeDemand!$F$6:$F$50,$F234)*'SHWLP-Att'!$R$18</f>
        <v>0.10878920558177255</v>
      </c>
      <c r="I234" s="1134">
        <f>SUMIFS(INDEX(ArchetypeDemand!$I$6:$AH$50,,MATCH(I$166,ArchetypeDemand!$I$4:$AH$4,0)),ArchetypeDemand!$F$6:$F$50,$F234)*'SHWLP-Att'!$R$18</f>
        <v>1.1974988102771892E-2</v>
      </c>
      <c r="J234" s="1134">
        <f>SUMIFS(INDEX(ArchetypeDemand!$I$6:$AH$50,,MATCH(J$166,ArchetypeDemand!$I$4:$AH$4,0)),ArchetypeDemand!$F$6:$F$50,$F234)*'SHWLP-Att'!$R$18</f>
        <v>4.4178676895797464E-3</v>
      </c>
      <c r="K234" s="1134">
        <f>SUMIFS(INDEX(ArchetypeDemand!$I$6:$AH$50,,MATCH(K$166,ArchetypeDemand!$I$4:$AH$4,0)),ArchetypeDemand!$F$6:$F$50,$F234)*'SHWLP-Att'!$R$18</f>
        <v>2.7956218996361701E-3</v>
      </c>
      <c r="L234" s="1134">
        <f>SUMIFS(INDEX(ArchetypeDemand!$I$6:$AH$50,,MATCH(L$166,ArchetypeDemand!$I$4:$AH$4,0)),ArchetypeDemand!$F$6:$F$50,$F234)*'SHWLP-Att'!$R$18</f>
        <v>1.7853354139249153E-3</v>
      </c>
      <c r="M234" s="1134">
        <f>SUMIFS(INDEX(ArchetypeDemand!$I$6:$AH$50,,MATCH(M$166,ArchetypeDemand!$I$4:$AH$4,0)),ArchetypeDemand!$F$6:$F$50,$F234)*'SHWLP-Att'!$R$18</f>
        <v>6.3840166208153715E-3</v>
      </c>
      <c r="N234" s="1134">
        <f>SUMIFS(INDEX(ArchetypeDemand!$I$6:$AH$50,,MATCH(N$166,ArchetypeDemand!$I$4:$AH$4,0)),ArchetypeDemand!$F$6:$F$50,$F234)*'SHWLP-Att'!$R$18</f>
        <v>5.0359096189223317E-3</v>
      </c>
      <c r="O234" s="1134">
        <f>SUMIFS(INDEX(ArchetypeDemand!$I$6:$AH$50,,MATCH(O$166,ArchetypeDemand!$I$4:$AH$4,0)),ArchetypeDemand!$F$6:$F$50,$F234)*'SHWLP-Att'!$R$18</f>
        <v>2.6016943434045109E-3</v>
      </c>
      <c r="P234" s="1134">
        <f>SUMIFS(INDEX(ArchetypeDemand!$I$6:$AH$50,,MATCH(P$166,ArchetypeDemand!$I$4:$AH$4,0)),ArchetypeDemand!$F$6:$F$50,$F234)*'SHWLP-Att'!$R$18</f>
        <v>4.2438951087367576E-3</v>
      </c>
      <c r="Q234" s="1134">
        <f>SUMIFS(INDEX(ArchetypeDemand!$I$6:$AH$50,,MATCH(Q$166,ArchetypeDemand!$I$4:$AH$4,0)),ArchetypeDemand!$F$6:$F$50,$F234)*'SHWLP-Att'!$R$18</f>
        <v>7.5236777227864204E-3</v>
      </c>
      <c r="R234" s="1134">
        <f>SUMIFS(INDEX(ArchetypeDemand!$I$6:$AH$50,,MATCH(R$166,ArchetypeDemand!$I$4:$AH$4,0)),ArchetypeDemand!$F$6:$F$50,$F234)*'SHWLP-Att'!$R$18</f>
        <v>7.2138655444683826E-3</v>
      </c>
      <c r="S234" s="1134">
        <f>SUMIFS(INDEX(ArchetypeDemand!$I$6:$AH$50,,MATCH(S$166,ArchetypeDemand!$I$4:$AH$4,0)),ArchetypeDemand!$F$6:$F$50,$F234)*'SHWLP-Att'!$R$18</f>
        <v>6.6365221101465045E-3</v>
      </c>
      <c r="T234" s="1134">
        <f>SUMIFS(INDEX(ArchetypeDemand!$I$6:$AH$50,,MATCH(T$166,ArchetypeDemand!$I$4:$AH$4,0)),ArchetypeDemand!$F$6:$F$50,$F234)*'SHWLP-Att'!$R$18</f>
        <v>2.5718926657780881E-2</v>
      </c>
      <c r="U234" s="1134">
        <f>SUMIFS(INDEX(ArchetypeDemand!$I$6:$AH$50,,MATCH(U$166,ArchetypeDemand!$I$4:$AH$4,0)),ArchetypeDemand!$F$6:$F$50,$F234)*'SHWLP-Att'!$R$18</f>
        <v>5.9957900289060295E-3</v>
      </c>
      <c r="V234" s="1134">
        <f>SUMIFS(INDEX(ArchetypeDemand!$I$6:$AH$50,,MATCH(V$166,ArchetypeDemand!$I$4:$AH$4,0)),ArchetypeDemand!$F$6:$F$50,$F234)*'SHWLP-Att'!$R$18</f>
        <v>1.2086084288125215E-2</v>
      </c>
      <c r="W234" s="1134">
        <f>SUMIFS(INDEX(ArchetypeDemand!$I$6:$AH$50,,MATCH(W$166,ArchetypeDemand!$I$4:$AH$4,0)),ArchetypeDemand!$F$6:$F$50,$F234)*'SHWLP-Att'!$R$18</f>
        <v>8.1363192069133401E-3</v>
      </c>
      <c r="X234" s="1134">
        <f>SUMIFS(INDEX(ArchetypeDemand!$I$6:$AH$50,,MATCH(X$166,ArchetypeDemand!$I$4:$AH$4,0)),ArchetypeDemand!$F$6:$F$50,$F234)*'SHWLP-Att'!$R$18</f>
        <v>8.3008771954992087E-3</v>
      </c>
      <c r="Y234" s="1134">
        <f>SUMIFS(INDEX(ArchetypeDemand!$I$6:$AH$50,,MATCH(Y$166,ArchetypeDemand!$I$4:$AH$4,0)),ArchetypeDemand!$F$6:$F$50,$F234)*'SHWLP-Att'!$R$18</f>
        <v>1.0042385037667193E-2</v>
      </c>
      <c r="Z234" s="1134">
        <f>SUMIFS(INDEX(ArchetypeDemand!$I$6:$AH$50,,MATCH(Z$166,ArchetypeDemand!$I$4:$AH$4,0)),ArchetypeDemand!$F$6:$F$50,$F234)*'SHWLP-Att'!$R$18</f>
        <v>7.0011807592552705E-4</v>
      </c>
      <c r="AA234" s="1134">
        <f>SUMIFS(INDEX(ArchetypeDemand!$I$6:$AH$50,,MATCH(AA$166,ArchetypeDemand!$I$4:$AH$4,0)),ArchetypeDemand!$F$6:$F$50,$F234)*'SHWLP-Att'!$R$18</f>
        <v>4.7006057294254775E-3</v>
      </c>
      <c r="AB234" s="1134">
        <f>SUMIFS(INDEX(ArchetypeDemand!$I$6:$AH$50,,MATCH(AB$166,ArchetypeDemand!$I$4:$AH$4,0)),ArchetypeDemand!$F$6:$F$50,$F234)*'SHWLP-Att'!$R$18</f>
        <v>1.3902490597378408E-3</v>
      </c>
      <c r="AC234" s="1134">
        <f>SUMIFS(INDEX(ArchetypeDemand!$I$6:$AH$50,,MATCH(AC$166,ArchetypeDemand!$I$4:$AH$4,0)),ArchetypeDemand!$F$6:$F$50,$F234)*'SHWLP-Att'!$R$18</f>
        <v>3.1571993187563463E-3</v>
      </c>
      <c r="AD234" s="1134">
        <f>SUMIFS(INDEX(ArchetypeDemand!$I$6:$AH$50,,MATCH(AD$166,ArchetypeDemand!$I$4:$AH$4,0)),ArchetypeDemand!$F$6:$F$50,$F234)*'SHWLP-Att'!$R$18</f>
        <v>1.9320002403699242E-3</v>
      </c>
      <c r="AE234" s="1134">
        <f>SUMIFS(INDEX(ArchetypeDemand!$I$6:$AH$50,,MATCH(AE$166,ArchetypeDemand!$I$4:$AH$4,0)),ArchetypeDemand!$F$6:$F$50,$F234)*'SHWLP-Att'!$R$18</f>
        <v>5.2340788861614251E-3</v>
      </c>
      <c r="AF234" s="1134">
        <f>SUMIFS(INDEX(ArchetypeDemand!$I$6:$AH$50,,MATCH(AF$166,ArchetypeDemand!$I$4:$AH$4,0)),ArchetypeDemand!$F$6:$F$50,$F234)*'SHWLP-Att'!$R$18</f>
        <v>2.5173949672225963E-3</v>
      </c>
    </row>
    <row r="235" spans="3:32">
      <c r="C235" s="1136" t="s">
        <v>1146</v>
      </c>
      <c r="D235" s="1136" t="s">
        <v>1094</v>
      </c>
      <c r="E235" s="1136" t="s">
        <v>406</v>
      </c>
      <c r="F235" s="1136" t="s">
        <v>1099</v>
      </c>
      <c r="G235" s="1136">
        <f>SUMIFS(INDEX(ArchetypeDemand!$I$6:$AH$50,,MATCH($G$166,ArchetypeDemand!$I$4:$AH$4,0)),ArchetypeDemand!$F$6:$F$50,$F235)*'SHWLP-Att'!$R$18</f>
        <v>1.1029553206792231E-3</v>
      </c>
      <c r="H235" s="1136">
        <f>SUMIFS(INDEX(ArchetypeDemand!$I$6:$AH$50,,MATCH($H$166,ArchetypeDemand!$I$4:$AH$4,0)),ArchetypeDemand!$F$6:$F$50,$F235)*'SHWLP-Att'!$R$18</f>
        <v>5.6517727105397493E-2</v>
      </c>
      <c r="I235" s="1136">
        <f>SUMIFS(INDEX(ArchetypeDemand!$I$6:$AH$50,,MATCH(I$166,ArchetypeDemand!$I$4:$AH$4,0)),ArchetypeDemand!$F$6:$F$50,$F235)*'SHWLP-Att'!$R$18</f>
        <v>3.7345171183240365E-3</v>
      </c>
      <c r="J235" s="1136">
        <f>SUMIFS(INDEX(ArchetypeDemand!$I$6:$AH$50,,MATCH(J$166,ArchetypeDemand!$I$4:$AH$4,0)),ArchetypeDemand!$F$6:$F$50,$F235)*'SHWLP-Att'!$R$18</f>
        <v>2.0638002150402098E-3</v>
      </c>
      <c r="K235" s="1136">
        <f>SUMIFS(INDEX(ArchetypeDemand!$I$6:$AH$50,,MATCH(K$166,ArchetypeDemand!$I$4:$AH$4,0)),ArchetypeDemand!$F$6:$F$50,$F235)*'SHWLP-Att'!$R$18</f>
        <v>2.1921734284635107E-3</v>
      </c>
      <c r="L235" s="1136">
        <f>SUMIFS(INDEX(ArchetypeDemand!$I$6:$AH$50,,MATCH(L$166,ArchetypeDemand!$I$4:$AH$4,0)),ArchetypeDemand!$F$6:$F$50,$F235)*'SHWLP-Att'!$R$18</f>
        <v>7.3295323512035358E-4</v>
      </c>
      <c r="M235" s="1136">
        <f>SUMIFS(INDEX(ArchetypeDemand!$I$6:$AH$50,,MATCH(M$166,ArchetypeDemand!$I$4:$AH$4,0)),ArchetypeDemand!$F$6:$F$50,$F235)*'SHWLP-Att'!$R$18</f>
        <v>2.5666698123096286E-3</v>
      </c>
      <c r="N235" s="1136">
        <f>SUMIFS(INDEX(ArchetypeDemand!$I$6:$AH$50,,MATCH(N$166,ArchetypeDemand!$I$4:$AH$4,0)),ArchetypeDemand!$F$6:$F$50,$F235)*'SHWLP-Att'!$R$18</f>
        <v>1.7634940853027651E-3</v>
      </c>
      <c r="O235" s="1136">
        <f>SUMIFS(INDEX(ArchetypeDemand!$I$6:$AH$50,,MATCH(O$166,ArchetypeDemand!$I$4:$AH$4,0)),ArchetypeDemand!$F$6:$F$50,$F235)*'SHWLP-Att'!$R$18</f>
        <v>3.0672904026905674E-3</v>
      </c>
      <c r="P235" s="1136">
        <f>SUMIFS(INDEX(ArchetypeDemand!$I$6:$AH$50,,MATCH(P$166,ArchetypeDemand!$I$4:$AH$4,0)),ArchetypeDemand!$F$6:$F$50,$F235)*'SHWLP-Att'!$R$18</f>
        <v>2.0947264800606595E-3</v>
      </c>
      <c r="Q235" s="1136">
        <f>SUMIFS(INDEX(ArchetypeDemand!$I$6:$AH$50,,MATCH(Q$166,ArchetypeDemand!$I$4:$AH$4,0)),ArchetypeDemand!$F$6:$F$50,$F235)*'SHWLP-Att'!$R$18</f>
        <v>3.2914538635482665E-3</v>
      </c>
      <c r="R235" s="1136">
        <f>SUMIFS(INDEX(ArchetypeDemand!$I$6:$AH$50,,MATCH(R$166,ArchetypeDemand!$I$4:$AH$4,0)),ArchetypeDemand!$F$6:$F$50,$F235)*'SHWLP-Att'!$R$18</f>
        <v>3.8786438807459425E-3</v>
      </c>
      <c r="S235" s="1136">
        <f>SUMIFS(INDEX(ArchetypeDemand!$I$6:$AH$50,,MATCH(S$166,ArchetypeDemand!$I$4:$AH$4,0)),ArchetypeDemand!$F$6:$F$50,$F235)*'SHWLP-Att'!$R$18</f>
        <v>2.8574252398029104E-3</v>
      </c>
      <c r="T235" s="1136">
        <f>SUMIFS(INDEX(ArchetypeDemand!$I$6:$AH$50,,MATCH(T$166,ArchetypeDemand!$I$4:$AH$4,0)),ArchetypeDemand!$F$6:$F$50,$F235)*'SHWLP-Att'!$R$18</f>
        <v>1.271143486729481E-2</v>
      </c>
      <c r="U235" s="1136">
        <f>SUMIFS(INDEX(ArchetypeDemand!$I$6:$AH$50,,MATCH(U$166,ArchetypeDemand!$I$4:$AH$4,0)),ArchetypeDemand!$F$6:$F$50,$F235)*'SHWLP-Att'!$R$18</f>
        <v>3.0592620844986794E-3</v>
      </c>
      <c r="V235" s="1136">
        <f>SUMIFS(INDEX(ArchetypeDemand!$I$6:$AH$50,,MATCH(V$166,ArchetypeDemand!$I$4:$AH$4,0)),ArchetypeDemand!$F$6:$F$50,$F235)*'SHWLP-Att'!$R$18</f>
        <v>5.0708099630438113E-3</v>
      </c>
      <c r="W235" s="1136">
        <f>SUMIFS(INDEX(ArchetypeDemand!$I$6:$AH$50,,MATCH(W$166,ArchetypeDemand!$I$4:$AH$4,0)),ArchetypeDemand!$F$6:$F$50,$F235)*'SHWLP-Att'!$R$18</f>
        <v>4.5791969793859428E-3</v>
      </c>
      <c r="X235" s="1136">
        <f>SUMIFS(INDEX(ArchetypeDemand!$I$6:$AH$50,,MATCH(X$166,ArchetypeDemand!$I$4:$AH$4,0)),ArchetypeDemand!$F$6:$F$50,$F235)*'SHWLP-Att'!$R$18</f>
        <v>3.1230500792726605E-3</v>
      </c>
      <c r="Y235" s="1136">
        <f>SUMIFS(INDEX(ArchetypeDemand!$I$6:$AH$50,,MATCH(Y$166,ArchetypeDemand!$I$4:$AH$4,0)),ArchetypeDemand!$F$6:$F$50,$F235)*'SHWLP-Att'!$R$18</f>
        <v>4.2497868297575216E-3</v>
      </c>
      <c r="Z235" s="1136">
        <f>SUMIFS(INDEX(ArchetypeDemand!$I$6:$AH$50,,MATCH(Z$166,ArchetypeDemand!$I$4:$AH$4,0)),ArchetypeDemand!$F$6:$F$50,$F235)*'SHWLP-Att'!$R$18</f>
        <v>4.3951856988658087E-4</v>
      </c>
      <c r="AA235" s="1136">
        <f>SUMIFS(INDEX(ArchetypeDemand!$I$6:$AH$50,,MATCH(AA$166,ArchetypeDemand!$I$4:$AH$4,0)),ArchetypeDemand!$F$6:$F$50,$F235)*'SHWLP-Att'!$R$18</f>
        <v>1.802141412261677E-3</v>
      </c>
      <c r="AB235" s="1136">
        <f>SUMIFS(INDEX(ArchetypeDemand!$I$6:$AH$50,,MATCH(AB$166,ArchetypeDemand!$I$4:$AH$4,0)),ArchetypeDemand!$F$6:$F$50,$F235)*'SHWLP-Att'!$R$18</f>
        <v>9.722349843436927E-4</v>
      </c>
      <c r="AC235" s="1136">
        <f>SUMIFS(INDEX(ArchetypeDemand!$I$6:$AH$50,,MATCH(AC$166,ArchetypeDemand!$I$4:$AH$4,0)),ArchetypeDemand!$F$6:$F$50,$F235)*'SHWLP-Att'!$R$18</f>
        <v>1.7064124158903268E-3</v>
      </c>
      <c r="AD235" s="1136">
        <f>SUMIFS(INDEX(ArchetypeDemand!$I$6:$AH$50,,MATCH(AD$166,ArchetypeDemand!$I$4:$AH$4,0)),ArchetypeDemand!$F$6:$F$50,$F235)*'SHWLP-Att'!$R$18</f>
        <v>1.0215972494042407E-3</v>
      </c>
      <c r="AE235" s="1136">
        <f>SUMIFS(INDEX(ArchetypeDemand!$I$6:$AH$50,,MATCH(AE$166,ArchetypeDemand!$I$4:$AH$4,0)),ArchetypeDemand!$F$6:$F$50,$F235)*'SHWLP-Att'!$R$18</f>
        <v>2.3342845865460525E-3</v>
      </c>
      <c r="AF235" s="1136">
        <f>SUMIFS(INDEX(ArchetypeDemand!$I$6:$AH$50,,MATCH(AF$166,ArchetypeDemand!$I$4:$AH$4,0)),ArchetypeDemand!$F$6:$F$50,$F235)*'SHWLP-Att'!$R$18</f>
        <v>9.9022931722475126E-4</v>
      </c>
    </row>
    <row r="236" spans="3:32">
      <c r="C236" s="1134" t="s">
        <v>1146</v>
      </c>
      <c r="D236" s="1134" t="s">
        <v>1094</v>
      </c>
      <c r="E236" s="1134" t="s">
        <v>406</v>
      </c>
      <c r="F236" s="1134" t="s">
        <v>1100</v>
      </c>
      <c r="G236" s="1134">
        <f>SUMIFS(INDEX(ArchetypeDemand!$I$6:$AH$50,,MATCH($G$166,ArchetypeDemand!$I$4:$AH$4,0)),ArchetypeDemand!$F$6:$F$50,$F236)*'SHWLP-Att'!$R$18</f>
        <v>5.5578607956101474E-4</v>
      </c>
      <c r="H236" s="1134">
        <f>SUMIFS(INDEX(ArchetypeDemand!$I$6:$AH$50,,MATCH($H$166,ArchetypeDemand!$I$4:$AH$4,0)),ArchetypeDemand!$F$6:$F$50,$F236)*'SHWLP-Att'!$R$18</f>
        <v>2.6162574266698078E-2</v>
      </c>
      <c r="I236" s="1134">
        <f>SUMIFS(INDEX(ArchetypeDemand!$I$6:$AH$50,,MATCH(I$166,ArchetypeDemand!$I$4:$AH$4,0)),ArchetypeDemand!$F$6:$F$50,$F236)*'SHWLP-Att'!$R$18</f>
        <v>1.3193476534809005E-3</v>
      </c>
      <c r="J236" s="1134">
        <f>SUMIFS(INDEX(ArchetypeDemand!$I$6:$AH$50,,MATCH(J$166,ArchetypeDemand!$I$4:$AH$4,0)),ArchetypeDemand!$F$6:$F$50,$F236)*'SHWLP-Att'!$R$18</f>
        <v>9.404659207778173E-4</v>
      </c>
      <c r="K236" s="1134">
        <f>SUMIFS(INDEX(ArchetypeDemand!$I$6:$AH$50,,MATCH(K$166,ArchetypeDemand!$I$4:$AH$4,0)),ArchetypeDemand!$F$6:$F$50,$F236)*'SHWLP-Att'!$R$18</f>
        <v>9.8794661209683195E-4</v>
      </c>
      <c r="L236" s="1134">
        <f>SUMIFS(INDEX(ArchetypeDemand!$I$6:$AH$50,,MATCH(L$166,ArchetypeDemand!$I$4:$AH$4,0)),ArchetypeDemand!$F$6:$F$50,$F236)*'SHWLP-Att'!$R$18</f>
        <v>3.4666707066503209E-4</v>
      </c>
      <c r="M236" s="1134">
        <f>SUMIFS(INDEX(ArchetypeDemand!$I$6:$AH$50,,MATCH(M$166,ArchetypeDemand!$I$4:$AH$4,0)),ArchetypeDemand!$F$6:$F$50,$F236)*'SHWLP-Att'!$R$18</f>
        <v>1.1563319229820946E-3</v>
      </c>
      <c r="N236" s="1134">
        <f>SUMIFS(INDEX(ArchetypeDemand!$I$6:$AH$50,,MATCH(N$166,ArchetypeDemand!$I$4:$AH$4,0)),ArchetypeDemand!$F$6:$F$50,$F236)*'SHWLP-Att'!$R$18</f>
        <v>8.6554696575227592E-4</v>
      </c>
      <c r="O236" s="1134">
        <f>SUMIFS(INDEX(ArchetypeDemand!$I$6:$AH$50,,MATCH(O$166,ArchetypeDemand!$I$4:$AH$4,0)),ArchetypeDemand!$F$6:$F$50,$F236)*'SHWLP-Att'!$R$18</f>
        <v>1.4814420068192712E-3</v>
      </c>
      <c r="P236" s="1134">
        <f>SUMIFS(INDEX(ArchetypeDemand!$I$6:$AH$50,,MATCH(P$166,ArchetypeDemand!$I$4:$AH$4,0)),ArchetypeDemand!$F$6:$F$50,$F236)*'SHWLP-Att'!$R$18</f>
        <v>9.4625639260165944E-4</v>
      </c>
      <c r="Q236" s="1134">
        <f>SUMIFS(INDEX(ArchetypeDemand!$I$6:$AH$50,,MATCH(Q$166,ArchetypeDemand!$I$4:$AH$4,0)),ArchetypeDemand!$F$6:$F$50,$F236)*'SHWLP-Att'!$R$18</f>
        <v>1.3428933183858309E-3</v>
      </c>
      <c r="R236" s="1134">
        <f>SUMIFS(INDEX(ArchetypeDemand!$I$6:$AH$50,,MATCH(R$166,ArchetypeDemand!$I$4:$AH$4,0)),ArchetypeDemand!$F$6:$F$50,$F236)*'SHWLP-Att'!$R$18</f>
        <v>1.5607292109774509E-3</v>
      </c>
      <c r="S236" s="1134">
        <f>SUMIFS(INDEX(ArchetypeDemand!$I$6:$AH$50,,MATCH(S$166,ArchetypeDemand!$I$4:$AH$4,0)),ArchetypeDemand!$F$6:$F$50,$F236)*'SHWLP-Att'!$R$18</f>
        <v>1.0651508553478082E-3</v>
      </c>
      <c r="T236" s="1134">
        <f>SUMIFS(INDEX(ArchetypeDemand!$I$6:$AH$50,,MATCH(T$166,ArchetypeDemand!$I$4:$AH$4,0)),ArchetypeDemand!$F$6:$F$50,$F236)*'SHWLP-Att'!$R$18</f>
        <v>5.5979203550202139E-3</v>
      </c>
      <c r="U236" s="1134">
        <f>SUMIFS(INDEX(ArchetypeDemand!$I$6:$AH$50,,MATCH(U$166,ArchetypeDemand!$I$4:$AH$4,0)),ArchetypeDemand!$F$6:$F$50,$F236)*'SHWLP-Att'!$R$18</f>
        <v>1.1727928942060315E-3</v>
      </c>
      <c r="V236" s="1134">
        <f>SUMIFS(INDEX(ArchetypeDemand!$I$6:$AH$50,,MATCH(V$166,ArchetypeDemand!$I$4:$AH$4,0)),ArchetypeDemand!$F$6:$F$50,$F236)*'SHWLP-Att'!$R$18</f>
        <v>2.0915865079672974E-3</v>
      </c>
      <c r="W236" s="1134">
        <f>SUMIFS(INDEX(ArchetypeDemand!$I$6:$AH$50,,MATCH(W$166,ArchetypeDemand!$I$4:$AH$4,0)),ArchetypeDemand!$F$6:$F$50,$F236)*'SHWLP-Att'!$R$18</f>
        <v>2.2102995865315323E-3</v>
      </c>
      <c r="X236" s="1134">
        <f>SUMIFS(INDEX(ArchetypeDemand!$I$6:$AH$50,,MATCH(X$166,ArchetypeDemand!$I$4:$AH$4,0)),ArchetypeDemand!$F$6:$F$50,$F236)*'SHWLP-Att'!$R$18</f>
        <v>1.3795229657597985E-3</v>
      </c>
      <c r="Y236" s="1134">
        <f>SUMIFS(INDEX(ArchetypeDemand!$I$6:$AH$50,,MATCH(Y$166,ArchetypeDemand!$I$4:$AH$4,0)),ArchetypeDemand!$F$6:$F$50,$F236)*'SHWLP-Att'!$R$18</f>
        <v>1.9214586828510765E-3</v>
      </c>
      <c r="Z236" s="1134">
        <f>SUMIFS(INDEX(ArchetypeDemand!$I$6:$AH$50,,MATCH(Z$166,ArchetypeDemand!$I$4:$AH$4,0)),ArchetypeDemand!$F$6:$F$50,$F236)*'SHWLP-Att'!$R$18</f>
        <v>3.2672176876524599E-4</v>
      </c>
      <c r="AA236" s="1134">
        <f>SUMIFS(INDEX(ArchetypeDemand!$I$6:$AH$50,,MATCH(AA$166,ArchetypeDemand!$I$4:$AH$4,0)),ArchetypeDemand!$F$6:$F$50,$F236)*'SHWLP-Att'!$R$18</f>
        <v>9.5321880890826267E-4</v>
      </c>
      <c r="AB236" s="1134">
        <f>SUMIFS(INDEX(ArchetypeDemand!$I$6:$AH$50,,MATCH(AB$166,ArchetypeDemand!$I$4:$AH$4,0)),ArchetypeDemand!$F$6:$F$50,$F236)*'SHWLP-Att'!$R$18</f>
        <v>5.1429821635572148E-4</v>
      </c>
      <c r="AC236" s="1134">
        <f>SUMIFS(INDEX(ArchetypeDemand!$I$6:$AH$50,,MATCH(AC$166,ArchetypeDemand!$I$4:$AH$4,0)),ArchetypeDemand!$F$6:$F$50,$F236)*'SHWLP-Att'!$R$18</f>
        <v>7.1306064159411806E-4</v>
      </c>
      <c r="AD236" s="1134">
        <f>SUMIFS(INDEX(ArchetypeDemand!$I$6:$AH$50,,MATCH(AD$166,ArchetypeDemand!$I$4:$AH$4,0)),ArchetypeDemand!$F$6:$F$50,$F236)*'SHWLP-Att'!$R$18</f>
        <v>4.5867631605904681E-4</v>
      </c>
      <c r="AE236" s="1134">
        <f>SUMIFS(INDEX(ArchetypeDemand!$I$6:$AH$50,,MATCH(AE$166,ArchetypeDemand!$I$4:$AH$4,0)),ArchetypeDemand!$F$6:$F$50,$F236)*'SHWLP-Att'!$R$18</f>
        <v>1.0537912274375457E-3</v>
      </c>
      <c r="AF236" s="1134">
        <f>SUMIFS(INDEX(ArchetypeDemand!$I$6:$AH$50,,MATCH(AF$166,ArchetypeDemand!$I$4:$AH$4,0)),ArchetypeDemand!$F$6:$F$50,$F236)*'SHWLP-Att'!$R$18</f>
        <v>4.3980212181916748E-4</v>
      </c>
    </row>
    <row r="237" spans="3:32" ht="13.5" thickBot="1">
      <c r="C237" s="1138" t="s">
        <v>1146</v>
      </c>
      <c r="D237" s="1138" t="s">
        <v>1094</v>
      </c>
      <c r="E237" s="1138" t="s">
        <v>406</v>
      </c>
      <c r="F237" s="1138" t="s">
        <v>1101</v>
      </c>
      <c r="G237" s="1138">
        <f>SUMIFS(INDEX(ArchetypeDemand!$I$6:$AH$50,,MATCH($G$166,ArchetypeDemand!$I$4:$AH$4,0)),ArchetypeDemand!$F$6:$F$50,$F237)*'SHWLP-Att'!$R$18</f>
        <v>5.2131872578978905E-4</v>
      </c>
      <c r="H237" s="1138">
        <f>SUMIFS(INDEX(ArchetypeDemand!$I$6:$AH$50,,MATCH($H$166,ArchetypeDemand!$I$4:$AH$4,0)),ArchetypeDemand!$F$6:$F$50,$F237)*'SHWLP-Att'!$R$18</f>
        <v>2.2190990047136573E-2</v>
      </c>
      <c r="I237" s="1138">
        <f>SUMIFS(INDEX(ArchetypeDemand!$I$6:$AH$50,,MATCH(I$166,ArchetypeDemand!$I$4:$AH$4,0)),ArchetypeDemand!$F$6:$F$50,$F237)*'SHWLP-Att'!$R$18</f>
        <v>1.4229327998285745E-3</v>
      </c>
      <c r="J237" s="1138">
        <f>SUMIFS(INDEX(ArchetypeDemand!$I$6:$AH$50,,MATCH(J$166,ArchetypeDemand!$I$4:$AH$4,0)),ArchetypeDemand!$F$6:$F$50,$F237)*'SHWLP-Att'!$R$18</f>
        <v>9.9271402748769594E-4</v>
      </c>
      <c r="K237" s="1138">
        <f>SUMIFS(INDEX(ArchetypeDemand!$I$6:$AH$50,,MATCH(K$166,ArchetypeDemand!$I$4:$AH$4,0)),ArchetypeDemand!$F$6:$F$50,$F237)*'SHWLP-Att'!$R$18</f>
        <v>1.1027620291783557E-3</v>
      </c>
      <c r="L237" s="1138">
        <f>SUMIFS(INDEX(ArchetypeDemand!$I$6:$AH$50,,MATCH(L$166,ArchetypeDemand!$I$4:$AH$4,0)),ArchetypeDemand!$F$6:$F$50,$F237)*'SHWLP-Att'!$R$18</f>
        <v>3.1695275032231509E-4</v>
      </c>
      <c r="M237" s="1138">
        <f>SUMIFS(INDEX(ArchetypeDemand!$I$6:$AH$50,,MATCH(M$166,ArchetypeDemand!$I$4:$AH$4,0)),ArchetypeDemand!$F$6:$F$50,$F237)*'SHWLP-Att'!$R$18</f>
        <v>1.7006304222937502E-3</v>
      </c>
      <c r="N237" s="1138">
        <f>SUMIFS(INDEX(ArchetypeDemand!$I$6:$AH$50,,MATCH(N$166,ArchetypeDemand!$I$4:$AH$4,0)),ArchetypeDemand!$F$6:$F$50,$F237)*'SHWLP-Att'!$R$18</f>
        <v>8.1694673505495552E-4</v>
      </c>
      <c r="O237" s="1138">
        <f>SUMIFS(INDEX(ArchetypeDemand!$I$6:$AH$50,,MATCH(O$166,ArchetypeDemand!$I$4:$AH$4,0)),ArchetypeDemand!$F$6:$F$50,$F237)*'SHWLP-Att'!$R$18</f>
        <v>1.4306497094426105E-3</v>
      </c>
      <c r="P237" s="1138">
        <f>SUMIFS(INDEX(ArchetypeDemand!$I$6:$AH$50,,MATCH(P$166,ArchetypeDemand!$I$4:$AH$4,0)),ArchetypeDemand!$F$6:$F$50,$F237)*'SHWLP-Att'!$R$18</f>
        <v>1.3247589496423232E-3</v>
      </c>
      <c r="Q237" s="1138">
        <f>SUMIFS(INDEX(ArchetypeDemand!$I$6:$AH$50,,MATCH(Q$166,ArchetypeDemand!$I$4:$AH$4,0)),ArchetypeDemand!$F$6:$F$50,$F237)*'SHWLP-Att'!$R$18</f>
        <v>1.5935998343876219E-3</v>
      </c>
      <c r="R237" s="1138">
        <f>SUMIFS(INDEX(ArchetypeDemand!$I$6:$AH$50,,MATCH(R$166,ArchetypeDemand!$I$4:$AH$4,0)),ArchetypeDemand!$F$6:$F$50,$F237)*'SHWLP-Att'!$R$18</f>
        <v>1.7075304733961221E-3</v>
      </c>
      <c r="S237" s="1138">
        <f>SUMIFS(INDEX(ArchetypeDemand!$I$6:$AH$50,,MATCH(S$166,ArchetypeDemand!$I$4:$AH$4,0)),ArchetypeDemand!$F$6:$F$50,$F237)*'SHWLP-Att'!$R$18</f>
        <v>1.0481278964723866E-3</v>
      </c>
      <c r="T237" s="1138">
        <f>SUMIFS(INDEX(ArchetypeDemand!$I$6:$AH$50,,MATCH(T$166,ArchetypeDemand!$I$4:$AH$4,0)),ArchetypeDemand!$F$6:$F$50,$F237)*'SHWLP-Att'!$R$18</f>
        <v>6.7006644909436523E-3</v>
      </c>
      <c r="U237" s="1138">
        <f>SUMIFS(INDEX(ArchetypeDemand!$I$6:$AH$50,,MATCH(U$166,ArchetypeDemand!$I$4:$AH$4,0)),ArchetypeDemand!$F$6:$F$50,$F237)*'SHWLP-Att'!$R$18</f>
        <v>1.3137098698664462E-3</v>
      </c>
      <c r="V237" s="1138">
        <f>SUMIFS(INDEX(ArchetypeDemand!$I$6:$AH$50,,MATCH(V$166,ArchetypeDemand!$I$4:$AH$4,0)),ArchetypeDemand!$F$6:$F$50,$F237)*'SHWLP-Att'!$R$18</f>
        <v>2.2338045823660116E-3</v>
      </c>
      <c r="W237" s="1138">
        <f>SUMIFS(INDEX(ArchetypeDemand!$I$6:$AH$50,,MATCH(W$166,ArchetypeDemand!$I$4:$AH$4,0)),ArchetypeDemand!$F$6:$F$50,$F237)*'SHWLP-Att'!$R$18</f>
        <v>2.7515460684270671E-3</v>
      </c>
      <c r="X237" s="1138">
        <f>SUMIFS(INDEX(ArchetypeDemand!$I$6:$AH$50,,MATCH(X$166,ArchetypeDemand!$I$4:$AH$4,0)),ArchetypeDemand!$F$6:$F$50,$F237)*'SHWLP-Att'!$R$18</f>
        <v>1.5615250396363303E-3</v>
      </c>
      <c r="Y237" s="1138">
        <f>SUMIFS(INDEX(ArchetypeDemand!$I$6:$AH$50,,MATCH(Y$166,ArchetypeDemand!$I$4:$AH$4,0)),ArchetypeDemand!$F$6:$F$50,$F237)*'SHWLP-Att'!$R$18</f>
        <v>1.8532551310730088E-3</v>
      </c>
      <c r="Z237" s="1138">
        <f>SUMIFS(INDEX(ArchetypeDemand!$I$6:$AH$50,,MATCH(Z$166,ArchetypeDemand!$I$4:$AH$4,0)),ArchetypeDemand!$F$6:$F$50,$F237)*'SHWLP-Att'!$R$18</f>
        <v>3.092188168671078E-4</v>
      </c>
      <c r="AA237" s="1138">
        <f>SUMIFS(INDEX(ArchetypeDemand!$I$6:$AH$50,,MATCH(AA$166,ArchetypeDemand!$I$4:$AH$4,0)),ArchetypeDemand!$F$6:$F$50,$F237)*'SHWLP-Att'!$R$18</f>
        <v>1.3558506722130246E-3</v>
      </c>
      <c r="AB237" s="1138">
        <f>SUMIFS(INDEX(ArchetypeDemand!$I$6:$AH$50,,MATCH(AB$166,ArchetypeDemand!$I$4:$AH$4,0)),ArchetypeDemand!$F$6:$F$50,$F237)*'SHWLP-Att'!$R$18</f>
        <v>4.978594605817944E-4</v>
      </c>
      <c r="AC237" s="1138">
        <f>SUMIFS(INDEX(ArchetypeDemand!$I$6:$AH$50,,MATCH(AC$166,ArchetypeDemand!$I$4:$AH$4,0)),ArchetypeDemand!$F$6:$F$50,$F237)*'SHWLP-Att'!$R$18</f>
        <v>8.6553901778405528E-4</v>
      </c>
      <c r="AD237" s="1138">
        <f>SUMIFS(INDEX(ArchetypeDemand!$I$6:$AH$50,,MATCH(AD$166,ArchetypeDemand!$I$4:$AH$4,0)),ArchetypeDemand!$F$6:$F$50,$F237)*'SHWLP-Att'!$R$18</f>
        <v>6.2315115666607883E-4</v>
      </c>
      <c r="AE237" s="1138">
        <f>SUMIFS(INDEX(ArchetypeDemand!$I$6:$AH$50,,MATCH(AE$166,ArchetypeDemand!$I$4:$AH$4,0)),ArchetypeDemand!$F$6:$F$50,$F237)*'SHWLP-Att'!$R$18</f>
        <v>1.330318003431795E-3</v>
      </c>
      <c r="AF237" s="1138">
        <f>SUMIFS(INDEX(ArchetypeDemand!$I$6:$AH$50,,MATCH(AF$166,ArchetypeDemand!$I$4:$AH$4,0)),ArchetypeDemand!$F$6:$F$50,$F237)*'SHWLP-Att'!$R$18</f>
        <v>4.6948201961064505E-4</v>
      </c>
    </row>
    <row r="238" spans="3:32" ht="13.5" thickBot="1">
      <c r="C238" s="1141" t="s">
        <v>1147</v>
      </c>
      <c r="D238" s="1141" t="s">
        <v>1094</v>
      </c>
      <c r="E238" s="1141" t="s">
        <v>406</v>
      </c>
      <c r="F238" s="1141" t="s">
        <v>930</v>
      </c>
      <c r="G238" s="1129">
        <f>SUM(ArchetypeDemand!I6:I46)*'SHWLP-Att'!$R$44</f>
        <v>1.3992145937133556E-2</v>
      </c>
      <c r="H238" s="1142">
        <f>SUM(ArchetypeDemand!J6:J46)*'SHWLP-Att'!$R$44</f>
        <v>0.46510282350470783</v>
      </c>
      <c r="I238" s="1142">
        <f>SUM(ArchetypeDemand!K6:K46)*'SHWLP-Att'!$R$44</f>
        <v>5.9187911396444401E-2</v>
      </c>
      <c r="J238" s="1142">
        <f>SUM(ArchetypeDemand!L6:L46)*'SHWLP-Att'!$R$44</f>
        <v>1.9409201085666707E-2</v>
      </c>
      <c r="K238" s="1142">
        <f>SUM(ArchetypeDemand!M6:M46)*'SHWLP-Att'!$R$44</f>
        <v>1.786083710012331E-2</v>
      </c>
      <c r="L238" s="1142">
        <f>SUM(ArchetypeDemand!N6:N46)*'SHWLP-Att'!$R$44</f>
        <v>7.3647420828525535E-3</v>
      </c>
      <c r="M238" s="1142">
        <f>SUM(ArchetypeDemand!O6:O46)*'SHWLP-Att'!$R$44</f>
        <v>3.7689792318965409E-2</v>
      </c>
      <c r="N238" s="1142">
        <f>SUM(ArchetypeDemand!P6:P46)*'SHWLP-Att'!$R$44</f>
        <v>4.205598598583684E-2</v>
      </c>
      <c r="O238" s="1142">
        <f>SUM(ArchetypeDemand!Q6:Q46)*'SHWLP-Att'!$R$44</f>
        <v>1.5888136348086179E-2</v>
      </c>
      <c r="P238" s="1142">
        <f>SUM(ArchetypeDemand!R6:R46)*'SHWLP-Att'!$R$44</f>
        <v>1.9030210834905525E-2</v>
      </c>
      <c r="Q238" s="1142">
        <f>SUM(ArchetypeDemand!S6:S46)*'SHWLP-Att'!$R$44</f>
        <v>2.8528564857274921E-2</v>
      </c>
      <c r="R238" s="1142">
        <f>SUM(ArchetypeDemand!T6:T46)*'SHWLP-Att'!$R$44</f>
        <v>3.5948486515252655E-2</v>
      </c>
      <c r="S238" s="1142">
        <f>SUM(ArchetypeDemand!U6:U46)*'SHWLP-Att'!$R$44</f>
        <v>2.3459957690583493E-2</v>
      </c>
      <c r="T238" s="1142">
        <f>SUM(ArchetypeDemand!V6:V46)*'SHWLP-Att'!$R$44</f>
        <v>0.14189708024206041</v>
      </c>
      <c r="U238" s="1142">
        <f>SUM(ArchetypeDemand!W6:W46)*'SHWLP-Att'!$R$44</f>
        <v>2.434086613175819E-2</v>
      </c>
      <c r="V238" s="1142">
        <f>SUM(ArchetypeDemand!X6:X46)*'SHWLP-Att'!$R$44</f>
        <v>4.9182229862471533E-2</v>
      </c>
      <c r="W238" s="1142">
        <f>SUM(ArchetypeDemand!Y6:Y46)*'SHWLP-Att'!$R$44</f>
        <v>3.4066123156461556E-2</v>
      </c>
      <c r="X238" s="1142">
        <f>SUM(ArchetypeDemand!Z6:Z46)*'SHWLP-Att'!$R$44</f>
        <v>3.3779052274328945E-2</v>
      </c>
      <c r="Y238" s="1142">
        <f>SUM(ArchetypeDemand!AA6:AA46)*'SHWLP-Att'!$R$44</f>
        <v>4.2810247044705818E-2</v>
      </c>
      <c r="Z238" s="1142">
        <f>SUM(ArchetypeDemand!AB6:AB46)*'SHWLP-Att'!$R$44</f>
        <v>4.2481798213583758E-3</v>
      </c>
      <c r="AA238" s="1142">
        <f>SUM(ArchetypeDemand!AC6:AC46)*'SHWLP-Att'!$R$44</f>
        <v>1.942667221937926E-2</v>
      </c>
      <c r="AB238" s="1142">
        <f>SUM(ArchetypeDemand!AD6:AD46)*'SHWLP-Att'!$R$44</f>
        <v>8.3361264475279601E-3</v>
      </c>
      <c r="AC238" s="1142">
        <f>SUM(ArchetypeDemand!AE6:AE46)*'SHWLP-Att'!$R$44</f>
        <v>1.3793831727275267E-2</v>
      </c>
      <c r="AD238" s="1142">
        <f>SUM(ArchetypeDemand!AF6:AF46)*'SHWLP-Att'!$R$44</f>
        <v>1.1958673503689513E-2</v>
      </c>
      <c r="AE238" s="1142">
        <f>SUM(ArchetypeDemand!AG6:AG46)*'SHWLP-Att'!$R$44</f>
        <v>2.4643263414825461E-2</v>
      </c>
      <c r="AF238" s="1142">
        <f>SUM(ArchetypeDemand!AH6:AH46)*'SHWLP-Att'!$R$44</f>
        <v>1.0270816925482028E-2</v>
      </c>
    </row>
    <row r="239" spans="3:32" ht="15">
      <c r="C239" s="1137" t="s">
        <v>1127</v>
      </c>
      <c r="D239" s="1137"/>
      <c r="E239" s="1137"/>
      <c r="F239" s="1137"/>
      <c r="G239" s="1137"/>
      <c r="H239" s="1137"/>
      <c r="I239" s="1137"/>
      <c r="J239" s="1137"/>
      <c r="K239" s="1137"/>
      <c r="L239" s="1137"/>
      <c r="M239" s="1137"/>
      <c r="N239" s="1137"/>
      <c r="O239" s="1137"/>
      <c r="P239" s="1137"/>
      <c r="Q239" s="1137"/>
      <c r="R239" s="1137"/>
      <c r="S239" s="1137"/>
      <c r="T239" s="1137"/>
      <c r="U239" s="1137"/>
      <c r="V239" s="1137"/>
      <c r="W239" s="1137"/>
      <c r="X239" s="1137"/>
      <c r="Y239" s="1137"/>
      <c r="Z239" s="1137"/>
      <c r="AA239" s="1137"/>
      <c r="AB239" s="1137"/>
      <c r="AC239" s="1137"/>
      <c r="AD239" s="1137"/>
      <c r="AE239" s="1137"/>
      <c r="AF239" s="1137"/>
    </row>
    <row r="240" spans="3:32">
      <c r="C240" s="1145" t="s">
        <v>1155</v>
      </c>
      <c r="D240" s="1134" t="s">
        <v>1094</v>
      </c>
      <c r="E240" s="1145" t="s">
        <v>1154</v>
      </c>
      <c r="F240" s="1134" t="s">
        <v>1096</v>
      </c>
      <c r="G240" s="1134">
        <f>SUMIFS(INDEX(ArchetypeDemand!$I$6:$AH$50,,MATCH($G$166,ArchetypeDemand!$I$4:$AH$4,0)),ArchetypeDemand!$F$6:$F$50,$F240)*'SHWLP-Att'!$R$20</f>
        <v>6.0915093147537736E-2</v>
      </c>
      <c r="H240" s="1134">
        <f>SUMIFS(INDEX(ArchetypeDemand!$I$6:$AH$50,,MATCH(H$166,ArchetypeDemand!$I$4:$AH$4,0)),ArchetypeDemand!$F$6:$F$50,$F240)*'SHWLP-Att'!$R$20</f>
        <v>2.3195165918318228</v>
      </c>
      <c r="I240" s="1134">
        <f>SUMIFS(INDEX(ArchetypeDemand!$I$6:$AH$50,,MATCH(I$166,ArchetypeDemand!$I$4:$AH$4,0)),ArchetypeDemand!$F$6:$F$50,$F240)*'SHWLP-Att'!$R$20</f>
        <v>0.46772073447281609</v>
      </c>
      <c r="J240" s="1134">
        <f>SUMIFS(INDEX(ArchetypeDemand!$I$6:$AH$50,,MATCH(J$166,ArchetypeDemand!$I$4:$AH$4,0)),ArchetypeDemand!$F$6:$F$50,$F240)*'SHWLP-Att'!$R$20</f>
        <v>7.2654880146112599E-2</v>
      </c>
      <c r="K240" s="1134">
        <f>SUMIFS(INDEX(ArchetypeDemand!$I$6:$AH$50,,MATCH(K$166,ArchetypeDemand!$I$4:$AH$4,0)),ArchetypeDemand!$F$6:$F$50,$F240)*'SHWLP-Att'!$R$20</f>
        <v>6.9557374797815208E-2</v>
      </c>
      <c r="L240" s="1134">
        <f>SUMIFS(INDEX(ArchetypeDemand!$I$6:$AH$50,,MATCH(L$166,ArchetypeDemand!$I$4:$AH$4,0)),ArchetypeDemand!$F$6:$F$50,$F240)*'SHWLP-Att'!$R$20</f>
        <v>2.7520279295350246E-2</v>
      </c>
      <c r="M240" s="1134">
        <f>SUMIFS(INDEX(ArchetypeDemand!$I$6:$AH$50,,MATCH(M$166,ArchetypeDemand!$I$4:$AH$4,0)),ArchetypeDemand!$F$6:$F$50,$F240)*'SHWLP-Att'!$R$20</f>
        <v>0.2276086310208835</v>
      </c>
      <c r="N240" s="1134">
        <f>SUMIFS(INDEX(ArchetypeDemand!$I$6:$AH$50,,MATCH(N$166,ArchetypeDemand!$I$4:$AH$4,0)),ArchetypeDemand!$F$6:$F$50,$F240)*'SHWLP-Att'!$R$20</f>
        <v>0.41206633278811239</v>
      </c>
      <c r="O240" s="1134">
        <f>SUMIFS(INDEX(ArchetypeDemand!$I$6:$AH$50,,MATCH(O$166,ArchetypeDemand!$I$4:$AH$4,0)),ArchetypeDemand!$F$6:$F$50,$F240)*'SHWLP-Att'!$R$20</f>
        <v>3.2103934017295215E-2</v>
      </c>
      <c r="P240" s="1134">
        <f>SUMIFS(INDEX(ArchetypeDemand!$I$6:$AH$50,,MATCH(P$166,ArchetypeDemand!$I$4:$AH$4,0)),ArchetypeDemand!$F$6:$F$50,$F240)*'SHWLP-Att'!$R$20</f>
        <v>5.7010114405511715E-2</v>
      </c>
      <c r="Q240" s="1134">
        <f>SUMIFS(INDEX(ArchetypeDemand!$I$6:$AH$50,,MATCH(Q$166,ArchetypeDemand!$I$4:$AH$4,0)),ArchetypeDemand!$F$6:$F$50,$F240)*'SHWLP-Att'!$R$20</f>
        <v>8.9270246534134123E-2</v>
      </c>
      <c r="R240" s="1134">
        <f>SUMIFS(INDEX(ArchetypeDemand!$I$6:$AH$50,,MATCH(R$166,ArchetypeDemand!$I$4:$AH$4,0)),ArchetypeDemand!$F$6:$F$50,$F240)*'SHWLP-Att'!$R$20</f>
        <v>0.22817263948863906</v>
      </c>
      <c r="S240" s="1134">
        <f>SUMIFS(INDEX(ArchetypeDemand!$I$6:$AH$50,,MATCH(S$166,ArchetypeDemand!$I$4:$AH$4,0)),ArchetypeDemand!$F$6:$F$50,$F240)*'SHWLP-Att'!$R$20</f>
        <v>6.5972917136583167E-2</v>
      </c>
      <c r="T240" s="1134">
        <f>SUMIFS(INDEX(ArchetypeDemand!$I$6:$AH$50,,MATCH(T$166,ArchetypeDemand!$I$4:$AH$4,0)),ArchetypeDemand!$F$6:$F$50,$F240)*'SHWLP-Att'!$R$20</f>
        <v>0.80029552522222491</v>
      </c>
      <c r="U240" s="1134">
        <f>SUMIFS(INDEX(ArchetypeDemand!$I$6:$AH$50,,MATCH(U$166,ArchetypeDemand!$I$4:$AH$4,0)),ArchetypeDemand!$F$6:$F$50,$F240)*'SHWLP-Att'!$R$20</f>
        <v>8.7235215097555774E-2</v>
      </c>
      <c r="V240" s="1134">
        <f>SUMIFS(INDEX(ArchetypeDemand!$I$6:$AH$50,,MATCH(V$166,ArchetypeDemand!$I$4:$AH$4,0)),ArchetypeDemand!$F$6:$F$50,$F240)*'SHWLP-Att'!$R$20</f>
        <v>0.17180132330472056</v>
      </c>
      <c r="W240" s="1134">
        <f>SUMIFS(INDEX(ArchetypeDemand!$I$6:$AH$50,,MATCH(W$166,ArchetypeDemand!$I$4:$AH$4,0)),ArchetypeDemand!$F$6:$F$50,$F240)*'SHWLP-Att'!$R$20</f>
        <v>7.4342496156649063E-2</v>
      </c>
      <c r="X240" s="1134">
        <f>SUMIFS(INDEX(ArchetypeDemand!$I$6:$AH$50,,MATCH(X$166,ArchetypeDemand!$I$4:$AH$4,0)),ArchetypeDemand!$F$6:$F$50,$F240)*'SHWLP-Att'!$R$20</f>
        <v>0.14455386245141799</v>
      </c>
      <c r="Y240" s="1134">
        <f>SUMIFS(INDEX(ArchetypeDemand!$I$6:$AH$50,,MATCH(Y$166,ArchetypeDemand!$I$4:$AH$4,0)),ArchetypeDemand!$F$6:$F$50,$F240)*'SHWLP-Att'!$R$20</f>
        <v>0.1400600483920981</v>
      </c>
      <c r="Z240" s="1134">
        <f>SUMIFS(INDEX(ArchetypeDemand!$I$6:$AH$50,,MATCH(Z$166,ArchetypeDemand!$I$4:$AH$4,0)),ArchetypeDemand!$F$6:$F$50,$F240)*'SHWLP-Att'!$R$20</f>
        <v>1.1038163881956921E-2</v>
      </c>
      <c r="AA240" s="1134">
        <f>SUMIFS(INDEX(ArchetypeDemand!$I$6:$AH$50,,MATCH(AA$166,ArchetypeDemand!$I$4:$AH$4,0)),ArchetypeDemand!$F$6:$F$50,$F240)*'SHWLP-Att'!$R$20</f>
        <v>5.6117134168470972E-2</v>
      </c>
      <c r="AB240" s="1134">
        <f>SUMIFS(INDEX(ArchetypeDemand!$I$6:$AH$50,,MATCH(AB$166,ArchetypeDemand!$I$4:$AH$4,0)),ArchetypeDemand!$F$6:$F$50,$F240)*'SHWLP-Att'!$R$20</f>
        <v>1.4197131054232526E-2</v>
      </c>
      <c r="AC240" s="1134">
        <f>SUMIFS(INDEX(ArchetypeDemand!$I$6:$AH$50,,MATCH(AC$166,ArchetypeDemand!$I$4:$AH$4,0)),ArchetypeDemand!$F$6:$F$50,$F240)*'SHWLP-Att'!$R$20</f>
        <v>4.4291097819455845E-2</v>
      </c>
      <c r="AD240" s="1134">
        <f>SUMIFS(INDEX(ArchetypeDemand!$I$6:$AH$50,,MATCH(AD$166,ArchetypeDemand!$I$4:$AH$4,0)),ArchetypeDemand!$F$6:$F$50,$F240)*'SHWLP-Att'!$R$20</f>
        <v>4.9799355453714882E-2</v>
      </c>
      <c r="AE240" s="1134">
        <f>SUMIFS(INDEX(ArchetypeDemand!$I$6:$AH$50,,MATCH(AE$166,ArchetypeDemand!$I$4:$AH$4,0)),ArchetypeDemand!$F$6:$F$50,$F240)*'SHWLP-Att'!$R$20</f>
        <v>6.1232819546348648E-2</v>
      </c>
      <c r="AF240" s="1134">
        <f>SUMIFS(INDEX(ArchetypeDemand!$I$6:$AH$50,,MATCH(AF$166,ArchetypeDemand!$I$4:$AH$4,0)),ArchetypeDemand!$F$6:$F$50,$F240)*'SHWLP-Att'!$R$20</f>
        <v>4.6494365867425884E-2</v>
      </c>
    </row>
    <row r="241" spans="3:32">
      <c r="C241" s="1136" t="s">
        <v>1155</v>
      </c>
      <c r="D241" s="1136" t="s">
        <v>1094</v>
      </c>
      <c r="E241" s="1145" t="s">
        <v>1154</v>
      </c>
      <c r="F241" s="1136" t="s">
        <v>1097</v>
      </c>
      <c r="G241" s="1136">
        <f>SUMIFS(INDEX(ArchetypeDemand!$I$6:$AH$50,,MATCH($G$166,ArchetypeDemand!$I$4:$AH$4,0)),ArchetypeDemand!$F$6:$F$50,$F241)*'SHWLP-Att'!$R$20</f>
        <v>0.16177116070849931</v>
      </c>
      <c r="H241" s="1136">
        <f>SUMIFS(INDEX(ArchetypeDemand!$I$6:$AH$50,,MATCH(H$166,ArchetypeDemand!$I$4:$AH$4,0)),ArchetypeDemand!$F$6:$F$50,$F241)*'SHWLP-Att'!$R$20</f>
        <v>4.0513067055911618</v>
      </c>
      <c r="I241" s="1136">
        <f>SUMIFS(INDEX(ArchetypeDemand!$I$6:$AH$50,,MATCH(I$166,ArchetypeDemand!$I$4:$AH$4,0)),ArchetypeDemand!$F$6:$F$50,$F241)*'SHWLP-Att'!$R$20</f>
        <v>0.58145848475023709</v>
      </c>
      <c r="J241" s="1136">
        <f>SUMIFS(INDEX(ArchetypeDemand!$I$6:$AH$50,,MATCH(J$166,ArchetypeDemand!$I$4:$AH$4,0)),ArchetypeDemand!$F$6:$F$50,$F241)*'SHWLP-Att'!$R$20</f>
        <v>0.20688830339080053</v>
      </c>
      <c r="K241" s="1136">
        <f>SUMIFS(INDEX(ArchetypeDemand!$I$6:$AH$50,,MATCH(K$166,ArchetypeDemand!$I$4:$AH$4,0)),ArchetypeDemand!$F$6:$F$50,$F241)*'SHWLP-Att'!$R$20</f>
        <v>0.20583295893734632</v>
      </c>
      <c r="L241" s="1136">
        <f>SUMIFS(INDEX(ArchetypeDemand!$I$6:$AH$50,,MATCH(L$166,ArchetypeDemand!$I$4:$AH$4,0)),ArchetypeDemand!$F$6:$F$50,$F241)*'SHWLP-Att'!$R$20</f>
        <v>7.8853345528891852E-2</v>
      </c>
      <c r="M241" s="1136">
        <f>SUMIFS(INDEX(ArchetypeDemand!$I$6:$AH$50,,MATCH(M$166,ArchetypeDemand!$I$4:$AH$4,0)),ArchetypeDemand!$F$6:$F$50,$F241)*'SHWLP-Att'!$R$20</f>
        <v>0.43891019087420358</v>
      </c>
      <c r="N241" s="1136">
        <f>SUMIFS(INDEX(ArchetypeDemand!$I$6:$AH$50,,MATCH(N$166,ArchetypeDemand!$I$4:$AH$4,0)),ArchetypeDemand!$F$6:$F$50,$F241)*'SHWLP-Att'!$R$20</f>
        <v>0.45974300300310966</v>
      </c>
      <c r="O241" s="1136">
        <f>SUMIFS(INDEX(ArchetypeDemand!$I$6:$AH$50,,MATCH(O$166,ArchetypeDemand!$I$4:$AH$4,0)),ArchetypeDemand!$F$6:$F$50,$F241)*'SHWLP-Att'!$R$20</f>
        <v>0.15053477101991025</v>
      </c>
      <c r="P241" s="1136">
        <f>SUMIFS(INDEX(ArchetypeDemand!$I$6:$AH$50,,MATCH(P$166,ArchetypeDemand!$I$4:$AH$4,0)),ArchetypeDemand!$F$6:$F$50,$F241)*'SHWLP-Att'!$R$20</f>
        <v>0.2072756545527849</v>
      </c>
      <c r="Q241" s="1136">
        <f>SUMIFS(INDEX(ArchetypeDemand!$I$6:$AH$50,,MATCH(Q$166,ArchetypeDemand!$I$4:$AH$4,0)),ArchetypeDemand!$F$6:$F$50,$F241)*'SHWLP-Att'!$R$20</f>
        <v>0.28387465643478271</v>
      </c>
      <c r="R241" s="1136">
        <f>SUMIFS(INDEX(ArchetypeDemand!$I$6:$AH$50,,MATCH(R$166,ArchetypeDemand!$I$4:$AH$4,0)),ArchetypeDemand!$F$6:$F$50,$F241)*'SHWLP-Att'!$R$20</f>
        <v>0.32299787681516046</v>
      </c>
      <c r="S241" s="1136">
        <f>SUMIFS(INDEX(ArchetypeDemand!$I$6:$AH$50,,MATCH(S$166,ArchetypeDemand!$I$4:$AH$4,0)),ArchetypeDemand!$F$6:$F$50,$F241)*'SHWLP-Att'!$R$20</f>
        <v>0.23272202581702392</v>
      </c>
      <c r="T241" s="1136">
        <f>SUMIFS(INDEX(ArchetypeDemand!$I$6:$AH$50,,MATCH(T$166,ArchetypeDemand!$I$4:$AH$4,0)),ArchetypeDemand!$F$6:$F$50,$F241)*'SHWLP-Att'!$R$20</f>
        <v>1.537838066905816</v>
      </c>
      <c r="U241" s="1136">
        <f>SUMIFS(INDEX(ArchetypeDemand!$I$6:$AH$50,,MATCH(U$166,ArchetypeDemand!$I$4:$AH$4,0)),ArchetypeDemand!$F$6:$F$50,$F241)*'SHWLP-Att'!$R$20</f>
        <v>0.23636071007709944</v>
      </c>
      <c r="V241" s="1136">
        <f>SUMIFS(INDEX(ArchetypeDemand!$I$6:$AH$50,,MATCH(V$166,ArchetypeDemand!$I$4:$AH$4,0)),ArchetypeDemand!$F$6:$F$50,$F241)*'SHWLP-Att'!$R$20</f>
        <v>0.53220273256628325</v>
      </c>
      <c r="W241" s="1136">
        <f>SUMIFS(INDEX(ArchetypeDemand!$I$6:$AH$50,,MATCH(W$166,ArchetypeDemand!$I$4:$AH$4,0)),ArchetypeDemand!$F$6:$F$50,$F241)*'SHWLP-Att'!$R$20</f>
        <v>0.33694603574817689</v>
      </c>
      <c r="X241" s="1136">
        <f>SUMIFS(INDEX(ArchetypeDemand!$I$6:$AH$50,,MATCH(X$166,ArchetypeDemand!$I$4:$AH$4,0)),ArchetypeDemand!$F$6:$F$50,$F241)*'SHWLP-Att'!$R$20</f>
        <v>0.34959085420557123</v>
      </c>
      <c r="Y241" s="1136">
        <f>SUMIFS(INDEX(ArchetypeDemand!$I$6:$AH$50,,MATCH(Y$166,ArchetypeDemand!$I$4:$AH$4,0)),ArchetypeDemand!$F$6:$F$50,$F241)*'SHWLP-Att'!$R$20</f>
        <v>0.48998495817454724</v>
      </c>
      <c r="Z241" s="1136">
        <f>SUMIFS(INDEX(ArchetypeDemand!$I$6:$AH$50,,MATCH(Z$166,ArchetypeDemand!$I$4:$AH$4,0)),ArchetypeDemand!$F$6:$F$50,$F241)*'SHWLP-Att'!$R$20</f>
        <v>5.1953665579018392E-2</v>
      </c>
      <c r="AA241" s="1136">
        <f>SUMIFS(INDEX(ArchetypeDemand!$I$6:$AH$50,,MATCH(AA$166,ArchetypeDemand!$I$4:$AH$4,0)),ArchetypeDemand!$F$6:$F$50,$F241)*'SHWLP-Att'!$R$20</f>
        <v>0.21305206231501353</v>
      </c>
      <c r="AB241" s="1136">
        <f>SUMIFS(INDEX(ArchetypeDemand!$I$6:$AH$50,,MATCH(AB$166,ArchetypeDemand!$I$4:$AH$4,0)),ArchetypeDemand!$F$6:$F$50,$F241)*'SHWLP-Att'!$R$20</f>
        <v>0.11239971375618887</v>
      </c>
      <c r="AC241" s="1136">
        <f>SUMIFS(INDEX(ArchetypeDemand!$I$6:$AH$50,,MATCH(AC$166,ArchetypeDemand!$I$4:$AH$4,0)),ArchetypeDemand!$F$6:$F$50,$F241)*'SHWLP-Att'!$R$20</f>
        <v>0.14177187799115126</v>
      </c>
      <c r="AD241" s="1136">
        <f>SUMIFS(INDEX(ArchetypeDemand!$I$6:$AH$50,,MATCH(AD$166,ArchetypeDemand!$I$4:$AH$4,0)),ArchetypeDemand!$F$6:$F$50,$F241)*'SHWLP-Att'!$R$20</f>
        <v>0.15379702946695001</v>
      </c>
      <c r="AE241" s="1136">
        <f>SUMIFS(INDEX(ArchetypeDemand!$I$6:$AH$50,,MATCH(AE$166,ArchetypeDemand!$I$4:$AH$4,0)),ArchetypeDemand!$F$6:$F$50,$F241)*'SHWLP-Att'!$R$20</f>
        <v>0.31365810519863863</v>
      </c>
      <c r="AF241" s="1136">
        <f>SUMIFS(INDEX(ArchetypeDemand!$I$6:$AH$50,,MATCH(AF$166,ArchetypeDemand!$I$4:$AH$4,0)),ArchetypeDemand!$F$6:$F$50,$F241)*'SHWLP-Att'!$R$20</f>
        <v>0.10241452587043968</v>
      </c>
    </row>
    <row r="242" spans="3:32">
      <c r="C242" s="1134" t="s">
        <v>1155</v>
      </c>
      <c r="D242" s="1134" t="s">
        <v>1094</v>
      </c>
      <c r="E242" s="1145" t="s">
        <v>1154</v>
      </c>
      <c r="F242" s="1134" t="s">
        <v>1098</v>
      </c>
      <c r="G242" s="1134">
        <f>SUMIFS(INDEX(ArchetypeDemand!$I$6:$AH$50,,MATCH($G$166,ArchetypeDemand!$I$4:$AH$4,0)),ArchetypeDemand!$F$6:$F$50,$F242)*'SHWLP-Att'!$R$20</f>
        <v>8.4882832871756173E-2</v>
      </c>
      <c r="H242" s="1134">
        <f>SUMIFS(INDEX(ArchetypeDemand!$I$6:$AH$50,,MATCH(H$166,ArchetypeDemand!$I$4:$AH$4,0)),ArchetypeDemand!$F$6:$F$50,$F242)*'SHWLP-Att'!$R$20</f>
        <v>2.9685920379349273</v>
      </c>
      <c r="I242" s="1134">
        <f>SUMIFS(INDEX(ArchetypeDemand!$I$6:$AH$50,,MATCH(I$166,ArchetypeDemand!$I$4:$AH$4,0)),ArchetypeDemand!$F$6:$F$50,$F242)*'SHWLP-Att'!$R$20</f>
        <v>0.32676821331812606</v>
      </c>
      <c r="J242" s="1134">
        <f>SUMIFS(INDEX(ArchetypeDemand!$I$6:$AH$50,,MATCH(J$166,ArchetypeDemand!$I$4:$AH$4,0)),ArchetypeDemand!$F$6:$F$50,$F242)*'SHWLP-Att'!$R$20</f>
        <v>0.12055283222082634</v>
      </c>
      <c r="K242" s="1134">
        <f>SUMIFS(INDEX(ArchetypeDemand!$I$6:$AH$50,,MATCH(K$166,ArchetypeDemand!$I$4:$AH$4,0)),ArchetypeDemand!$F$6:$F$50,$F242)*'SHWLP-Att'!$R$20</f>
        <v>7.6285701949522694E-2</v>
      </c>
      <c r="L242" s="1134">
        <f>SUMIFS(INDEX(ArchetypeDemand!$I$6:$AH$50,,MATCH(L$166,ArchetypeDemand!$I$4:$AH$4,0)),ArchetypeDemand!$F$6:$F$50,$F242)*'SHWLP-Att'!$R$20</f>
        <v>4.8717448265922045E-2</v>
      </c>
      <c r="M242" s="1134">
        <f>SUMIFS(INDEX(ArchetypeDemand!$I$6:$AH$50,,MATCH(M$166,ArchetypeDemand!$I$4:$AH$4,0)),ArchetypeDemand!$F$6:$F$50,$F242)*'SHWLP-Att'!$R$20</f>
        <v>0.17420424029433351</v>
      </c>
      <c r="N242" s="1134">
        <f>SUMIFS(INDEX(ArchetypeDemand!$I$6:$AH$50,,MATCH(N$166,ArchetypeDemand!$I$4:$AH$4,0)),ArchetypeDemand!$F$6:$F$50,$F242)*'SHWLP-Att'!$R$20</f>
        <v>0.13741768880972069</v>
      </c>
      <c r="O242" s="1134">
        <f>SUMIFS(INDEX(ArchetypeDemand!$I$6:$AH$50,,MATCH(O$166,ArchetypeDemand!$I$4:$AH$4,0)),ArchetypeDemand!$F$6:$F$50,$F242)*'SHWLP-Att'!$R$20</f>
        <v>7.099389201041291E-2</v>
      </c>
      <c r="P242" s="1134">
        <f>SUMIFS(INDEX(ArchetypeDemand!$I$6:$AH$50,,MATCH(P$166,ArchetypeDemand!$I$4:$AH$4,0)),ArchetypeDemand!$F$6:$F$50,$F242)*'SHWLP-Att'!$R$20</f>
        <v>0.11580554488153888</v>
      </c>
      <c r="Q242" s="1134">
        <f>SUMIFS(INDEX(ArchetypeDemand!$I$6:$AH$50,,MATCH(Q$166,ArchetypeDemand!$I$4:$AH$4,0)),ArchetypeDemand!$F$6:$F$50,$F242)*'SHWLP-Att'!$R$20</f>
        <v>0.20530281165684236</v>
      </c>
      <c r="R242" s="1134">
        <f>SUMIFS(INDEX(ArchetypeDemand!$I$6:$AH$50,,MATCH(R$166,ArchetypeDemand!$I$4:$AH$4,0)),ArchetypeDemand!$F$6:$F$50,$F242)*'SHWLP-Att'!$R$20</f>
        <v>0.19684879307207667</v>
      </c>
      <c r="S242" s="1134">
        <f>SUMIFS(INDEX(ArchetypeDemand!$I$6:$AH$50,,MATCH(S$166,ArchetypeDemand!$I$4:$AH$4,0)),ArchetypeDemand!$F$6:$F$50,$F242)*'SHWLP-Att'!$R$20</f>
        <v>0.18109449913163911</v>
      </c>
      <c r="T242" s="1134">
        <f>SUMIFS(INDEX(ArchetypeDemand!$I$6:$AH$50,,MATCH(T$166,ArchetypeDemand!$I$4:$AH$4,0)),ArchetypeDemand!$F$6:$F$50,$F242)*'SHWLP-Att'!$R$20</f>
        <v>0.70180676926749086</v>
      </c>
      <c r="U242" s="1134">
        <f>SUMIFS(INDEX(ArchetypeDemand!$I$6:$AH$50,,MATCH(U$166,ArchetypeDemand!$I$4:$AH$4,0)),ArchetypeDemand!$F$6:$F$50,$F242)*'SHWLP-Att'!$R$20</f>
        <v>0.16361048364822575</v>
      </c>
      <c r="V242" s="1134">
        <f>SUMIFS(INDEX(ArchetypeDemand!$I$6:$AH$50,,MATCH(V$166,ArchetypeDemand!$I$4:$AH$4,0)),ArchetypeDemand!$F$6:$F$50,$F242)*'SHWLP-Att'!$R$20</f>
        <v>0.32979975720633764</v>
      </c>
      <c r="W242" s="1134">
        <f>SUMIFS(INDEX(ArchetypeDemand!$I$6:$AH$50,,MATCH(W$166,ArchetypeDemand!$I$4:$AH$4,0)),ArchetypeDemand!$F$6:$F$50,$F242)*'SHWLP-Att'!$R$20</f>
        <v>0.22202030326974673</v>
      </c>
      <c r="X242" s="1134">
        <f>SUMIFS(INDEX(ArchetypeDemand!$I$6:$AH$50,,MATCH(X$166,ArchetypeDemand!$I$4:$AH$4,0)),ArchetypeDemand!$F$6:$F$50,$F242)*'SHWLP-Att'!$R$20</f>
        <v>0.2265106893524671</v>
      </c>
      <c r="Y242" s="1134">
        <f>SUMIFS(INDEX(ArchetypeDemand!$I$6:$AH$50,,MATCH(Y$166,ArchetypeDemand!$I$4:$AH$4,0)),ArchetypeDemand!$F$6:$F$50,$F242)*'SHWLP-Att'!$R$20</f>
        <v>0.27403219009892821</v>
      </c>
      <c r="Z242" s="1134">
        <f>SUMIFS(INDEX(ArchetypeDemand!$I$6:$AH$50,,MATCH(Z$166,ArchetypeDemand!$I$4:$AH$4,0)),ArchetypeDemand!$F$6:$F$50,$F242)*'SHWLP-Att'!$R$20</f>
        <v>1.9104514411079285E-2</v>
      </c>
      <c r="AA242" s="1134">
        <f>SUMIFS(INDEX(ArchetypeDemand!$I$6:$AH$50,,MATCH(AA$166,ArchetypeDemand!$I$4:$AH$4,0)),ArchetypeDemand!$F$6:$F$50,$F242)*'SHWLP-Att'!$R$20</f>
        <v>0.12826806361183479</v>
      </c>
      <c r="AB242" s="1134">
        <f>SUMIFS(INDEX(ArchetypeDemand!$I$6:$AH$50,,MATCH(AB$166,ArchetypeDemand!$I$4:$AH$4,0)),ArchetypeDemand!$F$6:$F$50,$F242)*'SHWLP-Att'!$R$20</f>
        <v>3.7936505441085407E-2</v>
      </c>
      <c r="AC242" s="1134">
        <f>SUMIFS(INDEX(ArchetypeDemand!$I$6:$AH$50,,MATCH(AC$166,ArchetypeDemand!$I$4:$AH$4,0)),ArchetypeDemand!$F$6:$F$50,$F242)*'SHWLP-Att'!$R$20</f>
        <v>8.6152267678697006E-2</v>
      </c>
      <c r="AD242" s="1134">
        <f>SUMIFS(INDEX(ArchetypeDemand!$I$6:$AH$50,,MATCH(AD$166,ArchetypeDemand!$I$4:$AH$4,0)),ArchetypeDemand!$F$6:$F$50,$F242)*'SHWLP-Att'!$R$20</f>
        <v>5.271957360272761E-2</v>
      </c>
      <c r="AE242" s="1134">
        <f>SUMIFS(INDEX(ArchetypeDemand!$I$6:$AH$50,,MATCH(AE$166,ArchetypeDemand!$I$4:$AH$4,0)),ArchetypeDemand!$F$6:$F$50,$F242)*'SHWLP-Att'!$R$20</f>
        <v>0.14282524469491539</v>
      </c>
      <c r="AF242" s="1134">
        <f>SUMIFS(INDEX(ArchetypeDemand!$I$6:$AH$50,,MATCH(AF$166,ArchetypeDemand!$I$4:$AH$4,0)),ArchetypeDemand!$F$6:$F$50,$F242)*'SHWLP-Att'!$R$20</f>
        <v>6.8693567675859254E-2</v>
      </c>
    </row>
    <row r="243" spans="3:32">
      <c r="C243" s="1136" t="s">
        <v>1155</v>
      </c>
      <c r="D243" s="1136" t="s">
        <v>1094</v>
      </c>
      <c r="E243" s="1145" t="s">
        <v>1154</v>
      </c>
      <c r="F243" s="1136" t="s">
        <v>1099</v>
      </c>
      <c r="G243" s="1136">
        <f>SUMIFS(INDEX(ArchetypeDemand!$I$6:$AH$50,,MATCH($G$166,ArchetypeDemand!$I$4:$AH$4,0)),ArchetypeDemand!$F$6:$F$50,$F243)*'SHWLP-Att'!$R$20</f>
        <v>3.0096960131813826E-2</v>
      </c>
      <c r="H243" s="1136">
        <f>SUMIFS(INDEX(ArchetypeDemand!$I$6:$AH$50,,MATCH($H$166,ArchetypeDemand!$I$4:$AH$4,0)),ArchetypeDemand!$F$6:$F$50,$F243)*'SHWLP-Att'!$R$20</f>
        <v>1.5422309023219207</v>
      </c>
      <c r="I243" s="1136">
        <f>SUMIFS(INDEX(ArchetypeDemand!$I$6:$AH$50,,MATCH(I$166,ArchetypeDemand!$I$4:$AH$4,0)),ArchetypeDemand!$F$6:$F$50,$F243)*'SHWLP-Att'!$R$20</f>
        <v>0.10190586210922666</v>
      </c>
      <c r="J243" s="1136">
        <f>SUMIFS(INDEX(ArchetypeDemand!$I$6:$AH$50,,MATCH(J$166,ArchetypeDemand!$I$4:$AH$4,0)),ArchetypeDemand!$F$6:$F$50,$F243)*'SHWLP-Att'!$R$20</f>
        <v>5.6316073396194162E-2</v>
      </c>
      <c r="K243" s="1136">
        <f>SUMIFS(INDEX(ArchetypeDemand!$I$6:$AH$50,,MATCH(K$166,ArchetypeDemand!$I$4:$AH$4,0)),ArchetypeDemand!$F$6:$F$50,$F243)*'SHWLP-Att'!$R$20</f>
        <v>5.9819065234534986E-2</v>
      </c>
      <c r="L243" s="1136">
        <f>SUMIFS(INDEX(ArchetypeDemand!$I$6:$AH$50,,MATCH(L$166,ArchetypeDemand!$I$4:$AH$4,0)),ArchetypeDemand!$F$6:$F$50,$F243)*'SHWLP-Att'!$R$20</f>
        <v>2.0000505806814044E-2</v>
      </c>
      <c r="M243" s="1136">
        <f>SUMIFS(INDEX(ArchetypeDemand!$I$6:$AH$50,,MATCH(M$166,ArchetypeDemand!$I$4:$AH$4,0)),ArchetypeDemand!$F$6:$F$50,$F243)*'SHWLP-Att'!$R$20</f>
        <v>7.0038157996319766E-2</v>
      </c>
      <c r="N243" s="1136">
        <f>SUMIFS(INDEX(ArchetypeDemand!$I$6:$AH$50,,MATCH(N$166,ArchetypeDemand!$I$4:$AH$4,0)),ArchetypeDemand!$F$6:$F$50,$F243)*'SHWLP-Att'!$R$20</f>
        <v>4.8121451687962849E-2</v>
      </c>
      <c r="O243" s="1136">
        <f>SUMIFS(INDEX(ArchetypeDemand!$I$6:$AH$50,,MATCH(O$166,ArchetypeDemand!$I$4:$AH$4,0)),ArchetypeDemand!$F$6:$F$50,$F243)*'SHWLP-Att'!$R$20</f>
        <v>8.3698872684727574E-2</v>
      </c>
      <c r="P243" s="1136">
        <f>SUMIFS(INDEX(ArchetypeDemand!$I$6:$AH$50,,MATCH(P$166,ArchetypeDemand!$I$4:$AH$4,0)),ArchetypeDemand!$F$6:$F$50,$F243)*'SHWLP-Att'!$R$20</f>
        <v>5.7159975726501777E-2</v>
      </c>
      <c r="Q243" s="1136">
        <f>SUMIFS(INDEX(ArchetypeDemand!$I$6:$AH$50,,MATCH(Q$166,ArchetypeDemand!$I$4:$AH$4,0)),ArchetypeDemand!$F$6:$F$50,$F243)*'SHWLP-Att'!$R$20</f>
        <v>8.981574670305939E-2</v>
      </c>
      <c r="R243" s="1136">
        <f>SUMIFS(INDEX(ArchetypeDemand!$I$6:$AH$50,,MATCH(R$166,ArchetypeDemand!$I$4:$AH$4,0)),ArchetypeDemand!$F$6:$F$50,$F243)*'SHWLP-Att'!$R$20</f>
        <v>0.10583872987024187</v>
      </c>
      <c r="S243" s="1136">
        <f>SUMIFS(INDEX(ArchetypeDemand!$I$6:$AH$50,,MATCH(S$166,ArchetypeDemand!$I$4:$AH$4,0)),ArchetypeDemand!$F$6:$F$50,$F243)*'SHWLP-Att'!$R$20</f>
        <v>7.7972164338466807E-2</v>
      </c>
      <c r="T243" s="1136">
        <f>SUMIFS(INDEX(ArchetypeDemand!$I$6:$AH$50,,MATCH(T$166,ArchetypeDemand!$I$4:$AH$4,0)),ArchetypeDemand!$F$6:$F$50,$F243)*'SHWLP-Att'!$R$20</f>
        <v>0.34686404902015611</v>
      </c>
      <c r="U243" s="1136">
        <f>SUMIFS(INDEX(ArchetypeDemand!$I$6:$AH$50,,MATCH(U$166,ArchetypeDemand!$I$4:$AH$4,0)),ArchetypeDemand!$F$6:$F$50,$F243)*'SHWLP-Att'!$R$20</f>
        <v>8.347979946569821E-2</v>
      </c>
      <c r="V243" s="1136">
        <f>SUMIFS(INDEX(ArchetypeDemand!$I$6:$AH$50,,MATCH(V$166,ArchetypeDemand!$I$4:$AH$4,0)),ArchetypeDemand!$F$6:$F$50,$F243)*'SHWLP-Att'!$R$20</f>
        <v>0.13837003406425366</v>
      </c>
      <c r="W243" s="1136">
        <f>SUMIFS(INDEX(ArchetypeDemand!$I$6:$AH$50,,MATCH(W$166,ArchetypeDemand!$I$4:$AH$4,0)),ArchetypeDemand!$F$6:$F$50,$F243)*'SHWLP-Att'!$R$20</f>
        <v>0.12495511498999669</v>
      </c>
      <c r="X243" s="1136">
        <f>SUMIFS(INDEX(ArchetypeDemand!$I$6:$AH$50,,MATCH(X$166,ArchetypeDemand!$I$4:$AH$4,0)),ArchetypeDemand!$F$6:$F$50,$F243)*'SHWLP-Att'!$R$20</f>
        <v>8.5220418237470938E-2</v>
      </c>
      <c r="Y243" s="1136">
        <f>SUMIFS(INDEX(ArchetypeDemand!$I$6:$AH$50,,MATCH(Y$166,ArchetypeDemand!$I$4:$AH$4,0)),ArchetypeDemand!$F$6:$F$50,$F243)*'SHWLP-Att'!$R$20</f>
        <v>0.11596631557582276</v>
      </c>
      <c r="Z243" s="1136">
        <f>SUMIFS(INDEX(ArchetypeDemand!$I$6:$AH$50,,MATCH(Z$166,ArchetypeDemand!$I$4:$AH$4,0)),ArchetypeDemand!$F$6:$F$50,$F243)*'SHWLP-Att'!$R$20</f>
        <v>1.1993389602510885E-2</v>
      </c>
      <c r="AA243" s="1136">
        <f>SUMIFS(INDEX(ArchetypeDemand!$I$6:$AH$50,,MATCH(AA$166,ArchetypeDemand!$I$4:$AH$4,0)),ArchetypeDemand!$F$6:$F$50,$F243)*'SHWLP-Att'!$R$20</f>
        <v>4.9176042963670411E-2</v>
      </c>
      <c r="AB243" s="1136">
        <f>SUMIFS(INDEX(ArchetypeDemand!$I$6:$AH$50,,MATCH(AB$166,ArchetypeDemand!$I$4:$AH$4,0)),ArchetypeDemand!$F$6:$F$50,$F243)*'SHWLP-Att'!$R$20</f>
        <v>2.6529921034813105E-2</v>
      </c>
      <c r="AC243" s="1136">
        <f>SUMIFS(INDEX(ArchetypeDemand!$I$6:$AH$50,,MATCH(AC$166,ArchetypeDemand!$I$4:$AH$4,0)),ArchetypeDemand!$F$6:$F$50,$F243)*'SHWLP-Att'!$R$20</f>
        <v>4.6563832175773034E-2</v>
      </c>
      <c r="AD243" s="1136">
        <f>SUMIFS(INDEX(ArchetypeDemand!$I$6:$AH$50,,MATCH(AD$166,ArchetypeDemand!$I$4:$AH$4,0)),ArchetypeDemand!$F$6:$F$50,$F243)*'SHWLP-Att'!$R$20</f>
        <v>2.7876896833096979E-2</v>
      </c>
      <c r="AE243" s="1136">
        <f>SUMIFS(INDEX(ArchetypeDemand!$I$6:$AH$50,,MATCH(AE$166,ArchetypeDemand!$I$4:$AH$4,0)),ArchetypeDemand!$F$6:$F$50,$F243)*'SHWLP-Att'!$R$20</f>
        <v>6.3696932070031298E-2</v>
      </c>
      <c r="AF243" s="1136">
        <f>SUMIFS(INDEX(ArchetypeDemand!$I$6:$AH$50,,MATCH(AF$166,ArchetypeDemand!$I$4:$AH$4,0)),ArchetypeDemand!$F$6:$F$50,$F243)*'SHWLP-Att'!$R$20</f>
        <v>2.7020942483430163E-2</v>
      </c>
    </row>
    <row r="244" spans="3:32">
      <c r="C244" s="1134" t="s">
        <v>1155</v>
      </c>
      <c r="D244" s="1134" t="s">
        <v>1094</v>
      </c>
      <c r="E244" s="1145" t="s">
        <v>1154</v>
      </c>
      <c r="F244" s="1134" t="s">
        <v>1100</v>
      </c>
      <c r="G244" s="1134">
        <f>SUMIFS(INDEX(ArchetypeDemand!$I$6:$AH$50,,MATCH($G$166,ArchetypeDemand!$I$4:$AH$4,0)),ArchetypeDemand!$F$6:$F$50,$F244)*'SHWLP-Att'!$R$20</f>
        <v>1.516604631642181E-2</v>
      </c>
      <c r="H244" s="1134">
        <f>SUMIFS(INDEX(ArchetypeDemand!$I$6:$AH$50,,MATCH($H$166,ArchetypeDemand!$I$4:$AH$4,0)),ArchetypeDemand!$F$6:$F$50,$F244)*'SHWLP-Att'!$R$20</f>
        <v>0.71391283027269337</v>
      </c>
      <c r="I244" s="1134">
        <f>SUMIFS(INDEX(ArchetypeDemand!$I$6:$AH$50,,MATCH(I$166,ArchetypeDemand!$I$4:$AH$4,0)),ArchetypeDemand!$F$6:$F$50,$F244)*'SHWLP-Att'!$R$20</f>
        <v>3.6001779022529712E-2</v>
      </c>
      <c r="J244" s="1134">
        <f>SUMIFS(INDEX(ArchetypeDemand!$I$6:$AH$50,,MATCH(J$166,ArchetypeDemand!$I$4:$AH$4,0)),ArchetypeDemand!$F$6:$F$50,$F244)*'SHWLP-Att'!$R$20</f>
        <v>2.5663020788139115E-2</v>
      </c>
      <c r="K244" s="1134">
        <f>SUMIFS(INDEX(ArchetypeDemand!$I$6:$AH$50,,MATCH(K$166,ArchetypeDemand!$I$4:$AH$4,0)),ArchetypeDemand!$F$6:$F$50,$F244)*'SHWLP-Att'!$R$20</f>
        <v>2.6958653028962179E-2</v>
      </c>
      <c r="L244" s="1134">
        <f>SUMIFS(INDEX(ArchetypeDemand!$I$6:$AH$50,,MATCH(L$166,ArchetypeDemand!$I$4:$AH$4,0)),ArchetypeDemand!$F$6:$F$50,$F244)*'SHWLP-Att'!$R$20</f>
        <v>9.4596986924120469E-3</v>
      </c>
      <c r="M244" s="1134">
        <f>SUMIFS(INDEX(ArchetypeDemand!$I$6:$AH$50,,MATCH(M$166,ArchetypeDemand!$I$4:$AH$4,0)),ArchetypeDemand!$F$6:$F$50,$F244)*'SHWLP-Att'!$R$20</f>
        <v>3.1553477400792507E-2</v>
      </c>
      <c r="N244" s="1134">
        <f>SUMIFS(INDEX(ArchetypeDemand!$I$6:$AH$50,,MATCH(N$166,ArchetypeDemand!$I$4:$AH$4,0)),ArchetypeDemand!$F$6:$F$50,$F244)*'SHWLP-Att'!$R$20</f>
        <v>2.3618665264170745E-2</v>
      </c>
      <c r="O244" s="1134">
        <f>SUMIFS(INDEX(ArchetypeDemand!$I$6:$AH$50,,MATCH(O$166,ArchetypeDemand!$I$4:$AH$4,0)),ArchetypeDemand!$F$6:$F$50,$F244)*'SHWLP-Att'!$R$20</f>
        <v>4.042493850918305E-2</v>
      </c>
      <c r="P244" s="1134">
        <f>SUMIFS(INDEX(ArchetypeDemand!$I$6:$AH$50,,MATCH(P$166,ArchetypeDemand!$I$4:$AH$4,0)),ArchetypeDemand!$F$6:$F$50,$F244)*'SHWLP-Att'!$R$20</f>
        <v>2.5821028638828156E-2</v>
      </c>
      <c r="Q244" s="1134">
        <f>SUMIFS(INDEX(ArchetypeDemand!$I$6:$AH$50,,MATCH(Q$166,ArchetypeDemand!$I$4:$AH$4,0)),ArchetypeDemand!$F$6:$F$50,$F244)*'SHWLP-Att'!$R$20</f>
        <v>3.6644282780056658E-2</v>
      </c>
      <c r="R244" s="1134">
        <f>SUMIFS(INDEX(ArchetypeDemand!$I$6:$AH$50,,MATCH(R$166,ArchetypeDemand!$I$4:$AH$4,0)),ArchetypeDemand!$F$6:$F$50,$F244)*'SHWLP-Att'!$R$20</f>
        <v>4.2588492895993736E-2</v>
      </c>
      <c r="S244" s="1134">
        <f>SUMIFS(INDEX(ArchetypeDemand!$I$6:$AH$50,,MATCH(S$166,ArchetypeDemand!$I$4:$AH$4,0)),ArchetypeDemand!$F$6:$F$50,$F244)*'SHWLP-Att'!$R$20</f>
        <v>2.9065368493828476E-2</v>
      </c>
      <c r="T244" s="1134">
        <f>SUMIFS(INDEX(ArchetypeDemand!$I$6:$AH$50,,MATCH(T$166,ArchetypeDemand!$I$4:$AH$4,0)),ArchetypeDemand!$F$6:$F$50,$F244)*'SHWLP-Att'!$R$20</f>
        <v>0.15275359081849182</v>
      </c>
      <c r="U244" s="1134">
        <f>SUMIFS(INDEX(ArchetypeDemand!$I$6:$AH$50,,MATCH(U$166,ArchetypeDemand!$I$4:$AH$4,0)),ArchetypeDemand!$F$6:$F$50,$F244)*'SHWLP-Att'!$R$20</f>
        <v>3.2002657150297376E-2</v>
      </c>
      <c r="V244" s="1134">
        <f>SUMIFS(INDEX(ArchetypeDemand!$I$6:$AH$50,,MATCH(V$166,ArchetypeDemand!$I$4:$AH$4,0)),ArchetypeDemand!$F$6:$F$50,$F244)*'SHWLP-Att'!$R$20</f>
        <v>5.7074293547779674E-2</v>
      </c>
      <c r="W244" s="1134">
        <f>SUMIFS(INDEX(ArchetypeDemand!$I$6:$AH$50,,MATCH(W$166,ArchetypeDemand!$I$4:$AH$4,0)),ArchetypeDemand!$F$6:$F$50,$F244)*'SHWLP-Att'!$R$20</f>
        <v>6.0313683870927483E-2</v>
      </c>
      <c r="X244" s="1134">
        <f>SUMIFS(INDEX(ArchetypeDemand!$I$6:$AH$50,,MATCH(X$166,ArchetypeDemand!$I$4:$AH$4,0)),ArchetypeDemand!$F$6:$F$50,$F244)*'SHWLP-Att'!$R$20</f>
        <v>3.7643816501855824E-2</v>
      </c>
      <c r="Y244" s="1134">
        <f>SUMIFS(INDEX(ArchetypeDemand!$I$6:$AH$50,,MATCH(Y$166,ArchetypeDemand!$I$4:$AH$4,0)),ArchetypeDemand!$F$6:$F$50,$F244)*'SHWLP-Att'!$R$20</f>
        <v>5.2431920213307809E-2</v>
      </c>
      <c r="Z244" s="1134">
        <f>SUMIFS(INDEX(ArchetypeDemand!$I$6:$AH$50,,MATCH(Z$166,ArchetypeDemand!$I$4:$AH$4,0)),ArchetypeDemand!$F$6:$F$50,$F244)*'SHWLP-Att'!$R$20</f>
        <v>8.9154400585036674E-3</v>
      </c>
      <c r="AA244" s="1134">
        <f>SUMIFS(INDEX(ArchetypeDemand!$I$6:$AH$50,,MATCH(AA$166,ArchetypeDemand!$I$4:$AH$4,0)),ArchetypeDemand!$F$6:$F$50,$F244)*'SHWLP-Att'!$R$20</f>
        <v>2.6011015995588794E-2</v>
      </c>
      <c r="AB244" s="1134">
        <f>SUMIFS(INDEX(ArchetypeDemand!$I$6:$AH$50,,MATCH(AB$166,ArchetypeDemand!$I$4:$AH$4,0)),ArchetypeDemand!$F$6:$F$50,$F244)*'SHWLP-Att'!$R$20</f>
        <v>1.4033943735806935E-2</v>
      </c>
      <c r="AC244" s="1134">
        <f>SUMIFS(INDEX(ArchetypeDemand!$I$6:$AH$50,,MATCH(AC$166,ArchetypeDemand!$I$4:$AH$4,0)),ArchetypeDemand!$F$6:$F$50,$F244)*'SHWLP-Att'!$R$20</f>
        <v>1.9457685455842082E-2</v>
      </c>
      <c r="AD244" s="1134">
        <f>SUMIFS(INDEX(ArchetypeDemand!$I$6:$AH$50,,MATCH(AD$166,ArchetypeDemand!$I$4:$AH$4,0)),ArchetypeDemand!$F$6:$F$50,$F244)*'SHWLP-Att'!$R$20</f>
        <v>1.2516157761798642E-2</v>
      </c>
      <c r="AE244" s="1134">
        <f>SUMIFS(INDEX(ArchetypeDemand!$I$6:$AH$50,,MATCH(AE$166,ArchetypeDemand!$I$4:$AH$4,0)),ArchetypeDemand!$F$6:$F$50,$F244)*'SHWLP-Att'!$R$20</f>
        <v>2.8755391959042944E-2</v>
      </c>
      <c r="AF244" s="1134">
        <f>SUMIFS(INDEX(ArchetypeDemand!$I$6:$AH$50,,MATCH(AF$166,ArchetypeDemand!$I$4:$AH$4,0)),ArchetypeDemand!$F$6:$F$50,$F244)*'SHWLP-Att'!$R$20</f>
        <v>1.2001127043049366E-2</v>
      </c>
    </row>
    <row r="245" spans="3:32" ht="13.5" thickBot="1">
      <c r="C245" s="1138" t="s">
        <v>1155</v>
      </c>
      <c r="D245" s="1138" t="s">
        <v>1094</v>
      </c>
      <c r="E245" s="1145" t="s">
        <v>1154</v>
      </c>
      <c r="F245" s="1138" t="s">
        <v>1101</v>
      </c>
      <c r="G245" s="1138">
        <f>SUMIFS(INDEX(ArchetypeDemand!$I$6:$AH$50,,MATCH($G$166,ArchetypeDemand!$I$4:$AH$4,0)),ArchetypeDemand!$F$6:$F$50,$F245)*'SHWLP-Att'!$R$20</f>
        <v>1.4225516312302627E-2</v>
      </c>
      <c r="H245" s="1138">
        <f>SUMIFS(INDEX(ArchetypeDemand!$I$6:$AH$50,,MATCH($H$166,ArchetypeDemand!$I$4:$AH$4,0)),ArchetypeDemand!$F$6:$F$50,$F245)*'SHWLP-Att'!$R$20</f>
        <v>0.60553798527654912</v>
      </c>
      <c r="I245" s="1138">
        <f>SUMIFS(INDEX(ArchetypeDemand!$I$6:$AH$50,,MATCH(I$166,ArchetypeDemand!$I$4:$AH$4,0)),ArchetypeDemand!$F$6:$F$50,$F245)*'SHWLP-Att'!$R$20</f>
        <v>3.8828364978844024E-2</v>
      </c>
      <c r="J245" s="1138">
        <f>SUMIFS(INDEX(ArchetypeDemand!$I$6:$AH$50,,MATCH(J$166,ArchetypeDemand!$I$4:$AH$4,0)),ArchetypeDemand!$F$6:$F$50,$F245)*'SHWLP-Att'!$R$20</f>
        <v>2.7088744165257951E-2</v>
      </c>
      <c r="K245" s="1138">
        <f>SUMIFS(INDEX(ArchetypeDemand!$I$6:$AH$50,,MATCH(K$166,ArchetypeDemand!$I$4:$AH$4,0)),ArchetypeDemand!$F$6:$F$50,$F245)*'SHWLP-Att'!$R$20</f>
        <v>3.0091685678273999E-2</v>
      </c>
      <c r="L245" s="1138">
        <f>SUMIFS(INDEX(ArchetypeDemand!$I$6:$AH$50,,MATCH(L$166,ArchetypeDemand!$I$4:$AH$4,0)),ArchetypeDemand!$F$6:$F$50,$F245)*'SHWLP-Att'!$R$20</f>
        <v>8.6488673759195864E-3</v>
      </c>
      <c r="M245" s="1138">
        <f>SUMIFS(INDEX(ArchetypeDemand!$I$6:$AH$50,,MATCH(M$166,ArchetypeDemand!$I$4:$AH$4,0)),ArchetypeDemand!$F$6:$F$50,$F245)*'SHWLP-Att'!$R$20</f>
        <v>4.6406055675224128E-2</v>
      </c>
      <c r="N245" s="1138">
        <f>SUMIFS(INDEX(ArchetypeDemand!$I$6:$AH$50,,MATCH(N$166,ArchetypeDemand!$I$4:$AH$4,0)),ArchetypeDemand!$F$6:$F$50,$F245)*'SHWLP-Att'!$R$20</f>
        <v>2.2292483524738695E-2</v>
      </c>
      <c r="O245" s="1138">
        <f>SUMIFS(INDEX(ArchetypeDemand!$I$6:$AH$50,,MATCH(O$166,ArchetypeDemand!$I$4:$AH$4,0)),ArchetypeDemand!$F$6:$F$50,$F245)*'SHWLP-Att'!$R$20</f>
        <v>3.9038940617439635E-2</v>
      </c>
      <c r="P245" s="1138">
        <f>SUMIFS(INDEX(ArchetypeDemand!$I$6:$AH$50,,MATCH(P$166,ArchetypeDemand!$I$4:$AH$4,0)),ArchetypeDemand!$F$6:$F$50,$F245)*'SHWLP-Att'!$R$20</f>
        <v>3.6149440094359414E-2</v>
      </c>
      <c r="Q245" s="1138">
        <f>SUMIFS(INDEX(ArchetypeDemand!$I$6:$AH$50,,MATCH(Q$166,ArchetypeDemand!$I$4:$AH$4,0)),ArchetypeDemand!$F$6:$F$50,$F245)*'SHWLP-Att'!$R$20</f>
        <v>4.3485452023653184E-2</v>
      </c>
      <c r="R245" s="1138">
        <f>SUMIFS(INDEX(ArchetypeDemand!$I$6:$AH$50,,MATCH(R$166,ArchetypeDemand!$I$4:$AH$4,0)),ArchetypeDemand!$F$6:$F$50,$F245)*'SHWLP-Att'!$R$20</f>
        <v>4.6594341237696124E-2</v>
      </c>
      <c r="S245" s="1138">
        <f>SUMIFS(INDEX(ArchetypeDemand!$I$6:$AH$50,,MATCH(S$166,ArchetypeDemand!$I$4:$AH$4,0)),ArchetypeDemand!$F$6:$F$50,$F245)*'SHWLP-Att'!$R$20</f>
        <v>2.8600853472237613E-2</v>
      </c>
      <c r="T245" s="1138">
        <f>SUMIFS(INDEX(ArchetypeDemand!$I$6:$AH$50,,MATCH(T$166,ArchetypeDemand!$I$4:$AH$4,0)),ArchetypeDemand!$F$6:$F$50,$F245)*'SHWLP-Att'!$R$20</f>
        <v>0.18284478823348826</v>
      </c>
      <c r="U245" s="1138">
        <f>SUMIFS(INDEX(ArchetypeDemand!$I$6:$AH$50,,MATCH(U$166,ArchetypeDemand!$I$4:$AH$4,0)),ArchetypeDemand!$F$6:$F$50,$F245)*'SHWLP-Att'!$R$20</f>
        <v>3.5847937660604429E-2</v>
      </c>
      <c r="V245" s="1138">
        <f>SUMIFS(INDEX(ArchetypeDemand!$I$6:$AH$50,,MATCH(V$166,ArchetypeDemand!$I$4:$AH$4,0)),ArchetypeDemand!$F$6:$F$50,$F245)*'SHWLP-Att'!$R$20</f>
        <v>6.0955077868730702E-2</v>
      </c>
      <c r="W245" s="1138">
        <f>SUMIFS(INDEX(ArchetypeDemand!$I$6:$AH$50,,MATCH(W$166,ArchetypeDemand!$I$4:$AH$4,0)),ArchetypeDemand!$F$6:$F$50,$F245)*'SHWLP-Att'!$R$20</f>
        <v>7.5082980035220667E-2</v>
      </c>
      <c r="X245" s="1138">
        <f>SUMIFS(INDEX(ArchetypeDemand!$I$6:$AH$50,,MATCH(X$166,ArchetypeDemand!$I$4:$AH$4,0)),ArchetypeDemand!$F$6:$F$50,$F245)*'SHWLP-Att'!$R$20</f>
        <v>4.2610209118735469E-2</v>
      </c>
      <c r="Y245" s="1138">
        <f>SUMIFS(INDEX(ArchetypeDemand!$I$6:$AH$50,,MATCH(Y$166,ArchetypeDemand!$I$4:$AH$4,0)),ArchetypeDemand!$F$6:$F$50,$F245)*'SHWLP-Att'!$R$20</f>
        <v>5.0570811662284644E-2</v>
      </c>
      <c r="Z245" s="1138">
        <f>SUMIFS(INDEX(ArchetypeDemand!$I$6:$AH$50,,MATCH(Z$166,ArchetypeDemand!$I$4:$AH$4,0)),ArchetypeDemand!$F$6:$F$50,$F245)*'SHWLP-Att'!$R$20</f>
        <v>8.4378271982266835E-3</v>
      </c>
      <c r="AA245" s="1138">
        <f>SUMIFS(INDEX(ArchetypeDemand!$I$6:$AH$50,,MATCH(AA$166,ArchetypeDemand!$I$4:$AH$4,0)),ArchetypeDemand!$F$6:$F$50,$F245)*'SHWLP-Att'!$R$20</f>
        <v>3.6997857357593214E-2</v>
      </c>
      <c r="AB245" s="1138">
        <f>SUMIFS(INDEX(ArchetypeDemand!$I$6:$AH$50,,MATCH(AB$166,ArchetypeDemand!$I$4:$AH$4,0)),ArchetypeDemand!$F$6:$F$50,$F245)*'SHWLP-Att'!$R$20</f>
        <v>1.3585370191740047E-2</v>
      </c>
      <c r="AC245" s="1138">
        <f>SUMIFS(INDEX(ArchetypeDemand!$I$6:$AH$50,,MATCH(AC$166,ArchetypeDemand!$I$4:$AH$4,0)),ArchetypeDemand!$F$6:$F$50,$F245)*'SHWLP-Att'!$R$20</f>
        <v>2.3618448383506425E-2</v>
      </c>
      <c r="AD245" s="1138">
        <f>SUMIFS(INDEX(ArchetypeDemand!$I$6:$AH$50,,MATCH(AD$166,ArchetypeDemand!$I$4:$AH$4,0)),ArchetypeDemand!$F$6:$F$50,$F245)*'SHWLP-Att'!$R$20</f>
        <v>1.7004274939009266E-2</v>
      </c>
      <c r="AE245" s="1138">
        <f>SUMIFS(INDEX(ArchetypeDemand!$I$6:$AH$50,,MATCH(AE$166,ArchetypeDemand!$I$4:$AH$4,0)),ArchetypeDemand!$F$6:$F$50,$F245)*'SHWLP-Att'!$R$20</f>
        <v>3.6301133111415917E-2</v>
      </c>
      <c r="AF245" s="1138">
        <f>SUMIFS(INDEX(ArchetypeDemand!$I$6:$AH$50,,MATCH(AF$166,ArchetypeDemand!$I$4:$AH$4,0)),ArchetypeDemand!$F$6:$F$50,$F245)*'SHWLP-Att'!$R$20</f>
        <v>1.2811019052089508E-2</v>
      </c>
    </row>
    <row r="246" spans="3:32" ht="13.5" thickBot="1">
      <c r="C246" s="1141" t="s">
        <v>1156</v>
      </c>
      <c r="D246" s="1141" t="s">
        <v>1094</v>
      </c>
      <c r="E246" s="1145" t="s">
        <v>1154</v>
      </c>
      <c r="F246" s="1141" t="s">
        <v>930</v>
      </c>
      <c r="G246" s="1142">
        <f>SUM(ArchetypeDemand!I6:I46)*'SHWLP-Att'!$R$46</f>
        <v>0.35178834687860916</v>
      </c>
      <c r="H246" s="1142">
        <f>SUM(ArchetypeDemand!J6:J46)*'SHWLP-Att'!$R$46</f>
        <v>11.693542516239191</v>
      </c>
      <c r="I246" s="1142">
        <f>SUM(ArchetypeDemand!K6:K46)*'SHWLP-Att'!$R$46</f>
        <v>1.4880932202182493</v>
      </c>
      <c r="J246" s="1142">
        <f>SUM(ArchetypeDemand!L6:L46)*'SHWLP-Att'!$R$46</f>
        <v>0.48798310100816267</v>
      </c>
      <c r="K246" s="1142">
        <f>SUM(ArchetypeDemand!M6:M46)*'SHWLP-Att'!$R$46</f>
        <v>0.44905437561550327</v>
      </c>
      <c r="L246" s="1142">
        <f>SUM(ArchetypeDemand!N6:N46)*'SHWLP-Att'!$R$46</f>
        <v>0.18516319470612844</v>
      </c>
      <c r="M246" s="1142">
        <f>SUM(ArchetypeDemand!O6:O46)*'SHWLP-Att'!$R$46</f>
        <v>0.94759086945337845</v>
      </c>
      <c r="N246" s="1142">
        <f>SUM(ArchetypeDemand!P6:P46)*'SHWLP-Att'!$R$46</f>
        <v>1.0573650284080993</v>
      </c>
      <c r="O246" s="1142">
        <f>SUM(ArchetypeDemand!Q6:Q46)*'SHWLP-Att'!$R$46</f>
        <v>0.39945704154227824</v>
      </c>
      <c r="P246" s="1142">
        <f>SUM(ArchetypeDemand!R6:R46)*'SHWLP-Att'!$R$46</f>
        <v>0.47845458734075164</v>
      </c>
      <c r="Q246" s="1142">
        <f>SUM(ArchetypeDemand!S6:S46)*'SHWLP-Att'!$R$46</f>
        <v>0.71726072005334696</v>
      </c>
      <c r="R246" s="1142">
        <f>SUM(ArchetypeDemand!T6:T46)*'SHWLP-Att'!$R$46</f>
        <v>0.90381123101546412</v>
      </c>
      <c r="S246" s="1142">
        <f>SUM(ArchetypeDemand!U6:U46)*'SHWLP-Att'!$R$46</f>
        <v>0.58982659063826093</v>
      </c>
      <c r="T246" s="1142">
        <f>SUM(ArchetypeDemand!V6:V46)*'SHWLP-Att'!$R$46</f>
        <v>3.5675542200270942</v>
      </c>
      <c r="U246" s="1142">
        <f>SUM(ArchetypeDemand!W6:W46)*'SHWLP-Att'!$R$46</f>
        <v>0.61197425302433128</v>
      </c>
      <c r="V246" s="1142">
        <f>SUM(ArchetypeDemand!X6:X46)*'SHWLP-Att'!$R$46</f>
        <v>1.2365319384788431</v>
      </c>
      <c r="W246" s="1142">
        <f>SUM(ArchetypeDemand!Y6:Y46)*'SHWLP-Att'!$R$46</f>
        <v>0.85648514556801303</v>
      </c>
      <c r="X246" s="1142">
        <f>SUM(ArchetypeDemand!Z6:Z46)*'SHWLP-Att'!$R$46</f>
        <v>0.84926765430426032</v>
      </c>
      <c r="Y246" s="1142">
        <f>SUM(ArchetypeDemand!AA6:AA46)*'SHWLP-Att'!$R$46</f>
        <v>1.0763285420968927</v>
      </c>
      <c r="Z246" s="1142">
        <f>SUM(ArchetypeDemand!AB6:AB46)*'SHWLP-Att'!$R$46</f>
        <v>0.10680707329049519</v>
      </c>
      <c r="AA246" s="1142">
        <f>SUM(ArchetypeDemand!AC6:AC46)*'SHWLP-Att'!$R$46</f>
        <v>0.488422357522099</v>
      </c>
      <c r="AB246" s="1142">
        <f>SUM(ArchetypeDemand!AD6:AD46)*'SHWLP-Att'!$R$46</f>
        <v>0.20958558862399054</v>
      </c>
      <c r="AC246" s="1142">
        <f>SUM(ArchetypeDemand!AE6:AE46)*'SHWLP-Att'!$R$46</f>
        <v>0.34680236200094733</v>
      </c>
      <c r="AD246" s="1142">
        <f>SUM(ArchetypeDemand!AF6:AF46)*'SHWLP-Att'!$R$46</f>
        <v>0.30066310068702673</v>
      </c>
      <c r="AE246" s="1142">
        <f>SUM(ArchetypeDemand!AG6:AG46)*'SHWLP-Att'!$R$46</f>
        <v>0.61957707826563302</v>
      </c>
      <c r="AF246" s="1142">
        <f>SUM(ArchetypeDemand!AH6:AH46)*'SHWLP-Att'!$R$46</f>
        <v>0.2582272743253245</v>
      </c>
    </row>
    <row r="247" spans="3:32" ht="15">
      <c r="C247" s="1137" t="s">
        <v>1128</v>
      </c>
      <c r="D247" s="1137"/>
      <c r="E247" s="1137"/>
      <c r="F247" s="1137"/>
      <c r="G247" s="1137"/>
      <c r="H247" s="1137"/>
      <c r="I247" s="1137"/>
      <c r="J247" s="1137"/>
      <c r="K247" s="1137"/>
      <c r="L247" s="1137"/>
      <c r="M247" s="1137"/>
      <c r="N247" s="1137"/>
      <c r="O247" s="1137"/>
      <c r="P247" s="1137"/>
      <c r="Q247" s="1137"/>
      <c r="R247" s="1137"/>
      <c r="S247" s="1137"/>
      <c r="T247" s="1137"/>
      <c r="U247" s="1137"/>
      <c r="V247" s="1137"/>
      <c r="W247" s="1137"/>
      <c r="X247" s="1137"/>
      <c r="Y247" s="1137"/>
      <c r="Z247" s="1137"/>
      <c r="AA247" s="1137"/>
      <c r="AB247" s="1137"/>
      <c r="AC247" s="1137"/>
      <c r="AD247" s="1137"/>
      <c r="AE247" s="1137"/>
      <c r="AF247" s="1137"/>
    </row>
    <row r="248" spans="3:32">
      <c r="C248" s="1145" t="s">
        <v>1148</v>
      </c>
      <c r="D248" s="1134" t="s">
        <v>1094</v>
      </c>
      <c r="E248" s="1134" t="s">
        <v>837</v>
      </c>
      <c r="F248" s="1134" t="s">
        <v>1096</v>
      </c>
      <c r="G248" s="1134">
        <f>SUMIFS(INDEX(ArchetypeDemand!$I$6:$AH$50,,MATCH($G$166,ArchetypeDemand!$I$4:$AH$4,0)),ArchetypeDemand!$F$6:$F$50,$F248)*'SHWLP-Att'!$R$23</f>
        <v>1.7418737783589323E-3</v>
      </c>
      <c r="H248" s="1134">
        <f>SUMIFS(INDEX(ArchetypeDemand!$I$6:$AH$50,,MATCH(H$166,ArchetypeDemand!$I$4:$AH$4,0)),ArchetypeDemand!$F$6:$F$50,$F248)*'SHWLP-Att'!$R$23</f>
        <v>6.6326831676914957E-2</v>
      </c>
      <c r="I248" s="1134">
        <f>SUMIFS(INDEX(ArchetypeDemand!$I$6:$AH$50,,MATCH(I$166,ArchetypeDemand!$I$4:$AH$4,0)),ArchetypeDemand!$F$6:$F$50,$F248)*'SHWLP-Att'!$R$23</f>
        <v>1.3374525768182476E-2</v>
      </c>
      <c r="J248" s="1134">
        <f>SUMIFS(INDEX(ArchetypeDemand!$I$6:$AH$50,,MATCH(J$166,ArchetypeDemand!$I$4:$AH$4,0)),ArchetypeDemand!$F$6:$F$50,$F248)*'SHWLP-Att'!$R$23</f>
        <v>2.0775742768677041E-3</v>
      </c>
      <c r="K248" s="1134">
        <f>SUMIFS(INDEX(ArchetypeDemand!$I$6:$AH$50,,MATCH(K$166,ArchetypeDemand!$I$4:$AH$4,0)),ArchetypeDemand!$F$6:$F$50,$F248)*'SHWLP-Att'!$R$23</f>
        <v>1.9890007712595314E-3</v>
      </c>
      <c r="L248" s="1134">
        <f>SUMIFS(INDEX(ArchetypeDemand!$I$6:$AH$50,,MATCH(L$166,ArchetypeDemand!$I$4:$AH$4,0)),ArchetypeDemand!$F$6:$F$50,$F248)*'SHWLP-Att'!$R$23</f>
        <v>7.8694540877711019E-4</v>
      </c>
      <c r="M248" s="1134">
        <f>SUMIFS(INDEX(ArchetypeDemand!$I$6:$AH$50,,MATCH(M$166,ArchetypeDemand!$I$4:$AH$4,0)),ArchetypeDemand!$F$6:$F$50,$F248)*'SHWLP-Att'!$R$23</f>
        <v>6.508493800431398E-3</v>
      </c>
      <c r="N248" s="1134">
        <f>SUMIFS(INDEX(ArchetypeDemand!$I$6:$AH$50,,MATCH(N$166,ArchetypeDemand!$I$4:$AH$4,0)),ArchetypeDemand!$F$6:$F$50,$F248)*'SHWLP-Att'!$R$23</f>
        <v>1.178308203994188E-2</v>
      </c>
      <c r="O248" s="1134">
        <f>SUMIFS(INDEX(ArchetypeDemand!$I$6:$AH$50,,MATCH(O$166,ArchetypeDemand!$I$4:$AH$4,0)),ArchetypeDemand!$F$6:$F$50,$F248)*'SHWLP-Att'!$R$23</f>
        <v>9.1801551893633238E-4</v>
      </c>
      <c r="P248" s="1134">
        <f>SUMIFS(INDEX(ArchetypeDemand!$I$6:$AH$50,,MATCH(P$166,ArchetypeDemand!$I$4:$AH$4,0)),ArchetypeDemand!$F$6:$F$50,$F248)*'SHWLP-Att'!$R$23</f>
        <v>1.6302104823789096E-3</v>
      </c>
      <c r="Q248" s="1134">
        <f>SUMIFS(INDEX(ArchetypeDemand!$I$6:$AH$50,,MATCH(Q$166,ArchetypeDemand!$I$4:$AH$4,0)),ArchetypeDemand!$F$6:$F$50,$F248)*'SHWLP-Att'!$R$23</f>
        <v>2.5526925034626007E-3</v>
      </c>
      <c r="R248" s="1134">
        <f>SUMIFS(INDEX(ArchetypeDemand!$I$6:$AH$50,,MATCH(R$166,ArchetypeDemand!$I$4:$AH$4,0)),ArchetypeDemand!$F$6:$F$50,$F248)*'SHWLP-Att'!$R$23</f>
        <v>6.5246216845072915E-3</v>
      </c>
      <c r="S248" s="1134">
        <f>SUMIFS(INDEX(ArchetypeDemand!$I$6:$AH$50,,MATCH(S$166,ArchetypeDemand!$I$4:$AH$4,0)),ArchetypeDemand!$F$6:$F$50,$F248)*'SHWLP-Att'!$R$23</f>
        <v>1.8865028107850142E-3</v>
      </c>
      <c r="T248" s="1134">
        <f>SUMIFS(INDEX(ArchetypeDemand!$I$6:$AH$50,,MATCH(T$166,ArchetypeDemand!$I$4:$AH$4,0)),ArchetypeDemand!$F$6:$F$50,$F248)*'SHWLP-Att'!$R$23</f>
        <v>2.2884538433623508E-2</v>
      </c>
      <c r="U248" s="1134">
        <f>SUMIFS(INDEX(ArchetypeDemand!$I$6:$AH$50,,MATCH(U$166,ArchetypeDemand!$I$4:$AH$4,0)),ArchetypeDemand!$F$6:$F$50,$F248)*'SHWLP-Att'!$R$23</f>
        <v>2.49450055604283E-3</v>
      </c>
      <c r="V248" s="1134">
        <f>SUMIFS(INDEX(ArchetypeDemand!$I$6:$AH$50,,MATCH(V$166,ArchetypeDemand!$I$4:$AH$4,0)),ArchetypeDemand!$F$6:$F$50,$F248)*'SHWLP-Att'!$R$23</f>
        <v>4.9126777074288098E-3</v>
      </c>
      <c r="W248" s="1134">
        <f>SUMIFS(INDEX(ArchetypeDemand!$I$6:$AH$50,,MATCH(W$166,ArchetypeDemand!$I$4:$AH$4,0)),ArchetypeDemand!$F$6:$F$50,$F248)*'SHWLP-Att'!$R$23</f>
        <v>2.12583184202602E-3</v>
      </c>
      <c r="X248" s="1134">
        <f>SUMIFS(INDEX(ArchetypeDemand!$I$6:$AH$50,,MATCH(X$166,ArchetypeDemand!$I$4:$AH$4,0)),ArchetypeDemand!$F$6:$F$50,$F248)*'SHWLP-Att'!$R$23</f>
        <v>4.1335335719634653E-3</v>
      </c>
      <c r="Y248" s="1134">
        <f>SUMIFS(INDEX(ArchetypeDemand!$I$6:$AH$50,,MATCH(Y$166,ArchetypeDemand!$I$4:$AH$4,0)),ArchetypeDemand!$F$6:$F$50,$F248)*'SHWLP-Att'!$R$23</f>
        <v>4.0050324654184706E-3</v>
      </c>
      <c r="Z248" s="1134">
        <f>SUMIFS(INDEX(ArchetypeDemand!$I$6:$AH$50,,MATCH(Z$166,ArchetypeDemand!$I$4:$AH$4,0)),ArchetypeDemand!$F$6:$F$50,$F248)*'SHWLP-Att'!$R$23</f>
        <v>3.1563750843556883E-4</v>
      </c>
      <c r="AA248" s="1134">
        <f>SUMIFS(INDEX(ArchetypeDemand!$I$6:$AH$50,,MATCH(AA$166,ArchetypeDemand!$I$4:$AH$4,0)),ArchetypeDemand!$F$6:$F$50,$F248)*'SHWLP-Att'!$R$23</f>
        <v>1.6046756144320337E-3</v>
      </c>
      <c r="AB248" s="1134">
        <f>SUMIFS(INDEX(ArchetypeDemand!$I$6:$AH$50,,MATCH(AB$166,ArchetypeDemand!$I$4:$AH$4,0)),ArchetypeDemand!$F$6:$F$50,$F248)*'SHWLP-Att'!$R$23</f>
        <v>4.0596852165024631E-4</v>
      </c>
      <c r="AC248" s="1134">
        <f>SUMIFS(INDEX(ArchetypeDemand!$I$6:$AH$50,,MATCH(AC$166,ArchetypeDemand!$I$4:$AH$4,0)),ArchetypeDemand!$F$6:$F$50,$F248)*'SHWLP-Att'!$R$23</f>
        <v>1.2665088062753639E-3</v>
      </c>
      <c r="AD248" s="1134">
        <f>SUMIFS(INDEX(ArchetypeDemand!$I$6:$AH$50,,MATCH(AD$166,ArchetypeDemand!$I$4:$AH$4,0)),ArchetypeDemand!$F$6:$F$50,$F248)*'SHWLP-Att'!$R$23</f>
        <v>1.4240180382537617E-3</v>
      </c>
      <c r="AE248" s="1134">
        <f>SUMIFS(INDEX(ArchetypeDemand!$I$6:$AH$50,,MATCH(AE$166,ArchetypeDemand!$I$4:$AH$4,0)),ArchetypeDemand!$F$6:$F$50,$F248)*'SHWLP-Att'!$R$23</f>
        <v>1.7509591996262151E-3</v>
      </c>
      <c r="AF248" s="1134">
        <f>SUMIFS(INDEX(ArchetypeDemand!$I$6:$AH$50,,MATCH(AF$166,ArchetypeDemand!$I$4:$AH$4,0)),ArchetypeDemand!$F$6:$F$50,$F248)*'SHWLP-Att'!$R$23</f>
        <v>1.3295114980739272E-3</v>
      </c>
    </row>
    <row r="249" spans="3:32">
      <c r="C249" s="1136" t="s">
        <v>1148</v>
      </c>
      <c r="D249" s="1136" t="s">
        <v>1094</v>
      </c>
      <c r="E249" s="1136" t="s">
        <v>837</v>
      </c>
      <c r="F249" s="1136" t="s">
        <v>1097</v>
      </c>
      <c r="G249" s="1136">
        <f>SUMIFS(INDEX(ArchetypeDemand!$I$6:$AH$50,,MATCH($G$166,ArchetypeDemand!$I$4:$AH$4,0)),ArchetypeDemand!$F$6:$F$50,$F249)*'SHWLP-Att'!$R$23</f>
        <v>4.6258641064593669E-3</v>
      </c>
      <c r="H249" s="1136">
        <f>SUMIFS(INDEX(ArchetypeDemand!$I$6:$AH$50,,MATCH(H$166,ArchetypeDemand!$I$4:$AH$4,0)),ArchetypeDemand!$F$6:$F$50,$F249)*'SHWLP-Att'!$R$23</f>
        <v>0.11584756016816833</v>
      </c>
      <c r="I249" s="1136">
        <f>SUMIFS(INDEX(ArchetypeDemand!$I$6:$AH$50,,MATCH(I$166,ArchetypeDemand!$I$4:$AH$4,0)),ArchetypeDemand!$F$6:$F$50,$F249)*'SHWLP-Att'!$R$23</f>
        <v>1.662686922824963E-2</v>
      </c>
      <c r="J249" s="1136">
        <f>SUMIFS(INDEX(ArchetypeDemand!$I$6:$AH$50,,MATCH(J$166,ArchetypeDemand!$I$4:$AH$4,0)),ArchetypeDemand!$F$6:$F$50,$F249)*'SHWLP-Att'!$R$23</f>
        <v>5.9159937563055265E-3</v>
      </c>
      <c r="K249" s="1136">
        <f>SUMIFS(INDEX(ArchetypeDemand!$I$6:$AH$50,,MATCH(K$166,ArchetypeDemand!$I$4:$AH$4,0)),ArchetypeDemand!$F$6:$F$50,$F249)*'SHWLP-Att'!$R$23</f>
        <v>5.8858160657591788E-3</v>
      </c>
      <c r="L249" s="1136">
        <f>SUMIFS(INDEX(ArchetypeDemand!$I$6:$AH$50,,MATCH(L$166,ArchetypeDemand!$I$4:$AH$4,0)),ArchetypeDemand!$F$6:$F$50,$F249)*'SHWLP-Att'!$R$23</f>
        <v>2.2548200752148936E-3</v>
      </c>
      <c r="M249" s="1136">
        <f>SUMIFS(INDEX(ArchetypeDemand!$I$6:$AH$50,,MATCH(M$166,ArchetypeDemand!$I$4:$AH$4,0)),ArchetypeDemand!$F$6:$F$50,$F249)*'SHWLP-Att'!$R$23</f>
        <v>1.2550685109954435E-2</v>
      </c>
      <c r="N249" s="1136">
        <f>SUMIFS(INDEX(ArchetypeDemand!$I$6:$AH$50,,MATCH(N$166,ArchetypeDemand!$I$4:$AH$4,0)),ArchetypeDemand!$F$6:$F$50,$F249)*'SHWLP-Att'!$R$23</f>
        <v>1.31464016606774E-2</v>
      </c>
      <c r="O249" s="1136">
        <f>SUMIFS(INDEX(ArchetypeDemand!$I$6:$AH$50,,MATCH(O$166,ArchetypeDemand!$I$4:$AH$4,0)),ArchetypeDemand!$F$6:$F$50,$F249)*'SHWLP-Att'!$R$23</f>
        <v>4.3045583093136372E-3</v>
      </c>
      <c r="P249" s="1136">
        <f>SUMIFS(INDEX(ArchetypeDemand!$I$6:$AH$50,,MATCH(P$166,ArchetypeDemand!$I$4:$AH$4,0)),ArchetypeDemand!$F$6:$F$50,$F249)*'SHWLP-Att'!$R$23</f>
        <v>5.9270701053220718E-3</v>
      </c>
      <c r="Q249" s="1136">
        <f>SUMIFS(INDEX(ArchetypeDemand!$I$6:$AH$50,,MATCH(Q$166,ArchetypeDemand!$I$4:$AH$4,0)),ArchetypeDemand!$F$6:$F$50,$F249)*'SHWLP-Att'!$R$23</f>
        <v>8.1174269763779564E-3</v>
      </c>
      <c r="R249" s="1136">
        <f>SUMIFS(INDEX(ArchetypeDemand!$I$6:$AH$50,,MATCH(R$166,ArchetypeDemand!$I$4:$AH$4,0)),ArchetypeDemand!$F$6:$F$50,$F249)*'SHWLP-Att'!$R$23</f>
        <v>9.236159759737286E-3</v>
      </c>
      <c r="S249" s="1136">
        <f>SUMIFS(INDEX(ArchetypeDemand!$I$6:$AH$50,,MATCH(S$166,ArchetypeDemand!$I$4:$AH$4,0)),ArchetypeDemand!$F$6:$F$50,$F249)*'SHWLP-Att'!$R$23</f>
        <v>6.6547118861892468E-3</v>
      </c>
      <c r="T249" s="1136">
        <f>SUMIFS(INDEX(ArchetypeDemand!$I$6:$AH$50,,MATCH(T$166,ArchetypeDemand!$I$4:$AH$4,0)),ArchetypeDemand!$F$6:$F$50,$F249)*'SHWLP-Att'!$R$23</f>
        <v>4.3974648411314259E-2</v>
      </c>
      <c r="U249" s="1136">
        <f>SUMIFS(INDEX(ArchetypeDemand!$I$6:$AH$50,,MATCH(U$166,ArchetypeDemand!$I$4:$AH$4,0)),ArchetypeDemand!$F$6:$F$50,$F249)*'SHWLP-Att'!$R$23</f>
        <v>6.7587604622129562E-3</v>
      </c>
      <c r="V249" s="1136">
        <f>SUMIFS(INDEX(ArchetypeDemand!$I$6:$AH$50,,MATCH(V$166,ArchetypeDemand!$I$4:$AH$4,0)),ArchetypeDemand!$F$6:$F$50,$F249)*'SHWLP-Att'!$R$23</f>
        <v>1.5218395585194175E-2</v>
      </c>
      <c r="W249" s="1136">
        <f>SUMIFS(INDEX(ArchetypeDemand!$I$6:$AH$50,,MATCH(W$166,ArchetypeDemand!$I$4:$AH$4,0)),ArchetypeDemand!$F$6:$F$50,$F249)*'SHWLP-Att'!$R$23</f>
        <v>9.6350088962387937E-3</v>
      </c>
      <c r="X249" s="1136">
        <f>SUMIFS(INDEX(ArchetypeDemand!$I$6:$AH$50,,MATCH(X$166,ArchetypeDemand!$I$4:$AH$4,0)),ArchetypeDemand!$F$6:$F$50,$F249)*'SHWLP-Att'!$R$23</f>
        <v>9.9965888687046887E-3</v>
      </c>
      <c r="Y249" s="1136">
        <f>SUMIFS(INDEX(ArchetypeDemand!$I$6:$AH$50,,MATCH(Y$166,ArchetypeDemand!$I$4:$AH$4,0)),ArchetypeDemand!$F$6:$F$50,$F249)*'SHWLP-Att'!$R$23</f>
        <v>1.4011173690030569E-2</v>
      </c>
      <c r="Z249" s="1136">
        <f>SUMIFS(INDEX(ArchetypeDemand!$I$6:$AH$50,,MATCH(Z$166,ArchetypeDemand!$I$4:$AH$4,0)),ArchetypeDemand!$F$6:$F$50,$F249)*'SHWLP-Att'!$R$23</f>
        <v>1.4856207728770282E-3</v>
      </c>
      <c r="AA249" s="1136">
        <f>SUMIFS(INDEX(ArchetypeDemand!$I$6:$AH$50,,MATCH(AA$166,ArchetypeDemand!$I$4:$AH$4,0)),ArchetypeDemand!$F$6:$F$50,$F249)*'SHWLP-Att'!$R$23</f>
        <v>6.09224711965849E-3</v>
      </c>
      <c r="AB249" s="1136">
        <f>SUMIFS(INDEX(ArchetypeDemand!$I$6:$AH$50,,MATCH(AB$166,ArchetypeDemand!$I$4:$AH$4,0)),ArchetypeDemand!$F$6:$F$50,$F249)*'SHWLP-Att'!$R$23</f>
        <v>3.214082158796947E-3</v>
      </c>
      <c r="AC249" s="1136">
        <f>SUMIFS(INDEX(ArchetypeDemand!$I$6:$AH$50,,MATCH(AC$166,ArchetypeDemand!$I$4:$AH$4,0)),ArchetypeDemand!$F$6:$F$50,$F249)*'SHWLP-Att'!$R$23</f>
        <v>4.0539824207996011E-3</v>
      </c>
      <c r="AD249" s="1136">
        <f>SUMIFS(INDEX(ArchetypeDemand!$I$6:$AH$50,,MATCH(AD$166,ArchetypeDemand!$I$4:$AH$4,0)),ArchetypeDemand!$F$6:$F$50,$F249)*'SHWLP-Att'!$R$23</f>
        <v>4.3978429478738297E-3</v>
      </c>
      <c r="AE249" s="1136">
        <f>SUMIFS(INDEX(ArchetypeDemand!$I$6:$AH$50,,MATCH(AE$166,ArchetypeDemand!$I$4:$AH$4,0)),ArchetypeDemand!$F$6:$F$50,$F249)*'SHWLP-Att'!$R$23</f>
        <v>8.9690879646523274E-3</v>
      </c>
      <c r="AF249" s="1136">
        <f>SUMIFS(INDEX(ArchetypeDemand!$I$6:$AH$50,,MATCH(AF$166,ArchetypeDemand!$I$4:$AH$4,0)),ArchetypeDemand!$F$6:$F$50,$F249)*'SHWLP-Att'!$R$23</f>
        <v>2.9285546146126558E-3</v>
      </c>
    </row>
    <row r="250" spans="3:32">
      <c r="C250" s="1134" t="s">
        <v>1148</v>
      </c>
      <c r="D250" s="1134" t="s">
        <v>1094</v>
      </c>
      <c r="E250" s="1134" t="s">
        <v>837</v>
      </c>
      <c r="F250" s="1134" t="s">
        <v>1098</v>
      </c>
      <c r="G250" s="1134">
        <f>SUMIFS(INDEX(ArchetypeDemand!$I$6:$AH$50,,MATCH($G$166,ArchetypeDemand!$I$4:$AH$4,0)),ArchetypeDemand!$F$6:$F$50,$F250)*'SHWLP-Att'!$R$23</f>
        <v>2.4272339279532433E-3</v>
      </c>
      <c r="H250" s="1134">
        <f>SUMIFS(INDEX(ArchetypeDemand!$I$6:$AH$50,,MATCH(H$166,ArchetypeDemand!$I$4:$AH$4,0)),ArchetypeDemand!$F$6:$F$50,$F250)*'SHWLP-Att'!$R$23</f>
        <v>8.4887215340866143E-2</v>
      </c>
      <c r="I250" s="1134">
        <f>SUMIFS(INDEX(ArchetypeDemand!$I$6:$AH$50,,MATCH(I$166,ArchetypeDemand!$I$4:$AH$4,0)),ArchetypeDemand!$F$6:$F$50,$F250)*'SHWLP-Att'!$R$23</f>
        <v>9.3439729461047248E-3</v>
      </c>
      <c r="J250" s="1134">
        <f>SUMIFS(INDEX(ArchetypeDemand!$I$6:$AH$50,,MATCH(J$166,ArchetypeDemand!$I$4:$AH$4,0)),ArchetypeDemand!$F$6:$F$50,$F250)*'SHWLP-Att'!$R$23</f>
        <v>3.4472214766833888E-3</v>
      </c>
      <c r="K250" s="1134">
        <f>SUMIFS(INDEX(ArchetypeDemand!$I$6:$AH$50,,MATCH(K$166,ArchetypeDemand!$I$4:$AH$4,0)),ArchetypeDemand!$F$6:$F$50,$F250)*'SHWLP-Att'!$R$23</f>
        <v>2.1813980250795966E-3</v>
      </c>
      <c r="L250" s="1134">
        <f>SUMIFS(INDEX(ArchetypeDemand!$I$6:$AH$50,,MATCH(L$166,ArchetypeDemand!$I$4:$AH$4,0)),ArchetypeDemand!$F$6:$F$50,$F250)*'SHWLP-Att'!$R$23</f>
        <v>1.3930807834018322E-3</v>
      </c>
      <c r="M250" s="1134">
        <f>SUMIFS(INDEX(ArchetypeDemand!$I$6:$AH$50,,MATCH(M$166,ArchetypeDemand!$I$4:$AH$4,0)),ArchetypeDemand!$F$6:$F$50,$F250)*'SHWLP-Att'!$R$23</f>
        <v>4.9813893826394584E-3</v>
      </c>
      <c r="N250" s="1134">
        <f>SUMIFS(INDEX(ArchetypeDemand!$I$6:$AH$50,,MATCH(N$166,ArchetypeDemand!$I$4:$AH$4,0)),ArchetypeDemand!$F$6:$F$50,$F250)*'SHWLP-Att'!$R$23</f>
        <v>3.9294739029717071E-3</v>
      </c>
      <c r="O250" s="1134">
        <f>SUMIFS(INDEX(ArchetypeDemand!$I$6:$AH$50,,MATCH(O$166,ArchetypeDemand!$I$4:$AH$4,0)),ArchetypeDemand!$F$6:$F$50,$F250)*'SHWLP-Att'!$R$23</f>
        <v>2.0300781387146672E-3</v>
      </c>
      <c r="P250" s="1134">
        <f>SUMIFS(INDEX(ArchetypeDemand!$I$6:$AH$50,,MATCH(P$166,ArchetypeDemand!$I$4:$AH$4,0)),ArchetypeDemand!$F$6:$F$50,$F250)*'SHWLP-Att'!$R$23</f>
        <v>3.31147227386083E-3</v>
      </c>
      <c r="Q250" s="1134">
        <f>SUMIFS(INDEX(ArchetypeDemand!$I$6:$AH$50,,MATCH(Q$166,ArchetypeDemand!$I$4:$AH$4,0)),ArchetypeDemand!$F$6:$F$50,$F250)*'SHWLP-Att'!$R$23</f>
        <v>5.8706564460514398E-3</v>
      </c>
      <c r="R250" s="1134">
        <f>SUMIFS(INDEX(ArchetypeDemand!$I$6:$AH$50,,MATCH(R$166,ArchetypeDemand!$I$4:$AH$4,0)),ArchetypeDemand!$F$6:$F$50,$F250)*'SHWLP-Att'!$R$23</f>
        <v>5.628912856184538E-3</v>
      </c>
      <c r="S250" s="1134">
        <f>SUMIFS(INDEX(ArchetypeDemand!$I$6:$AH$50,,MATCH(S$166,ArchetypeDemand!$I$4:$AH$4,0)),ArchetypeDemand!$F$6:$F$50,$F250)*'SHWLP-Att'!$R$23</f>
        <v>5.1784170907928301E-3</v>
      </c>
      <c r="T250" s="1134">
        <f>SUMIFS(INDEX(ArchetypeDemand!$I$6:$AH$50,,MATCH(T$166,ArchetypeDemand!$I$4:$AH$4,0)),ArchetypeDemand!$F$6:$F$50,$F250)*'SHWLP-Att'!$R$23</f>
        <v>2.0068241640885567E-2</v>
      </c>
      <c r="U250" s="1134">
        <f>SUMIFS(INDEX(ArchetypeDemand!$I$6:$AH$50,,MATCH(U$166,ArchetypeDemand!$I$4:$AH$4,0)),ArchetypeDemand!$F$6:$F$50,$F250)*'SHWLP-Att'!$R$23</f>
        <v>4.678459747918598E-3</v>
      </c>
      <c r="V250" s="1134">
        <f>SUMIFS(INDEX(ArchetypeDemand!$I$6:$AH$50,,MATCH(V$166,ArchetypeDemand!$I$4:$AH$4,0)),ArchetypeDemand!$F$6:$F$50,$F250)*'SHWLP-Att'!$R$23</f>
        <v>9.430660276517738E-3</v>
      </c>
      <c r="W250" s="1134">
        <f>SUMIFS(INDEX(ArchetypeDemand!$I$6:$AH$50,,MATCH(W$166,ArchetypeDemand!$I$4:$AH$4,0)),ArchetypeDemand!$F$6:$F$50,$F250)*'SHWLP-Att'!$R$23</f>
        <v>6.3486949546674373E-3</v>
      </c>
      <c r="X250" s="1134">
        <f>SUMIFS(INDEX(ArchetypeDemand!$I$6:$AH$50,,MATCH(X$166,ArchetypeDemand!$I$4:$AH$4,0)),ArchetypeDemand!$F$6:$F$50,$F250)*'SHWLP-Att'!$R$23</f>
        <v>6.4770980378451018E-3</v>
      </c>
      <c r="Y250" s="1134">
        <f>SUMIFS(INDEX(ArchetypeDemand!$I$6:$AH$50,,MATCH(Y$166,ArchetypeDemand!$I$4:$AH$4,0)),ArchetypeDemand!$F$6:$F$50,$F250)*'SHWLP-Att'!$R$23</f>
        <v>7.835980570586841E-3</v>
      </c>
      <c r="Z250" s="1134">
        <f>SUMIFS(INDEX(ArchetypeDemand!$I$6:$AH$50,,MATCH(Z$166,ArchetypeDemand!$I$4:$AH$4,0)),ArchetypeDemand!$F$6:$F$50,$F250)*'SHWLP-Att'!$R$23</f>
        <v>5.4629568767694601E-4</v>
      </c>
      <c r="AA250" s="1134">
        <f>SUMIFS(INDEX(ArchetypeDemand!$I$6:$AH$50,,MATCH(AA$166,ArchetypeDemand!$I$4:$AH$4,0)),ArchetypeDemand!$F$6:$F$50,$F250)*'SHWLP-Att'!$R$23</f>
        <v>3.667839365609864E-3</v>
      </c>
      <c r="AB250" s="1134">
        <f>SUMIFS(INDEX(ArchetypeDemand!$I$6:$AH$50,,MATCH(AB$166,ArchetypeDemand!$I$4:$AH$4,0)),ArchetypeDemand!$F$6:$F$50,$F250)*'SHWLP-Att'!$R$23</f>
        <v>1.0847985393430972E-3</v>
      </c>
      <c r="AC250" s="1134">
        <f>SUMIFS(INDEX(ArchetypeDemand!$I$6:$AH$50,,MATCH(AC$166,ArchetypeDemand!$I$4:$AH$4,0)),ArchetypeDemand!$F$6:$F$50,$F250)*'SHWLP-Att'!$R$23</f>
        <v>2.4635335556693299E-3</v>
      </c>
      <c r="AD250" s="1134">
        <f>SUMIFS(INDEX(ArchetypeDemand!$I$6:$AH$50,,MATCH(AD$166,ArchetypeDemand!$I$4:$AH$4,0)),ArchetypeDemand!$F$6:$F$50,$F250)*'SHWLP-Att'!$R$23</f>
        <v>1.50752199692839E-3</v>
      </c>
      <c r="AE250" s="1134">
        <f>SUMIFS(INDEX(ArchetypeDemand!$I$6:$AH$50,,MATCH(AE$166,ArchetypeDemand!$I$4:$AH$4,0)),ArchetypeDemand!$F$6:$F$50,$F250)*'SHWLP-Att'!$R$23</f>
        <v>4.0841035573763625E-3</v>
      </c>
      <c r="AF250" s="1134">
        <f>SUMIFS(INDEX(ArchetypeDemand!$I$6:$AH$50,,MATCH(AF$166,ArchetypeDemand!$I$4:$AH$4,0)),ArchetypeDemand!$F$6:$F$50,$F250)*'SHWLP-Att'!$R$23</f>
        <v>1.9643001117423493E-3</v>
      </c>
    </row>
    <row r="251" spans="3:32">
      <c r="C251" s="1136" t="s">
        <v>1148</v>
      </c>
      <c r="D251" s="1136" t="s">
        <v>1094</v>
      </c>
      <c r="E251" s="1136" t="s">
        <v>837</v>
      </c>
      <c r="F251" s="1136" t="s">
        <v>1099</v>
      </c>
      <c r="G251" s="1136">
        <f>SUMIFS(INDEX(ArchetypeDemand!$I$6:$AH$50,,MATCH($G$166,ArchetypeDemand!$I$4:$AH$4,0)),ArchetypeDemand!$F$6:$F$50,$F251)*'SHWLP-Att'!$R$23</f>
        <v>8.6062588027151015E-4</v>
      </c>
      <c r="H251" s="1136">
        <f>SUMIFS(INDEX(ArchetypeDemand!$I$6:$AH$50,,MATCH($H$166,ArchetypeDemand!$I$4:$AH$4,0)),ArchetypeDemand!$F$6:$F$50,$F251)*'SHWLP-Att'!$R$23</f>
        <v>4.4100262022466863E-2</v>
      </c>
      <c r="I251" s="1136">
        <f>SUMIFS(INDEX(ArchetypeDemand!$I$6:$AH$50,,MATCH(I$166,ArchetypeDemand!$I$4:$AH$4,0)),ArchetypeDemand!$F$6:$F$50,$F251)*'SHWLP-Att'!$R$23</f>
        <v>2.9140093184984004E-3</v>
      </c>
      <c r="J251" s="1136">
        <f>SUMIFS(INDEX(ArchetypeDemand!$I$6:$AH$50,,MATCH(J$166,ArchetypeDemand!$I$4:$AH$4,0)),ArchetypeDemand!$F$6:$F$50,$F251)*'SHWLP-Att'!$R$23</f>
        <v>1.6103643034966421E-3</v>
      </c>
      <c r="K251" s="1136">
        <f>SUMIFS(INDEX(ArchetypeDemand!$I$6:$AH$50,,MATCH(K$166,ArchetypeDemand!$I$4:$AH$4,0)),ArchetypeDemand!$F$6:$F$50,$F251)*'SHWLP-Att'!$R$23</f>
        <v>1.7105327398188623E-3</v>
      </c>
      <c r="L251" s="1136">
        <f>SUMIFS(INDEX(ArchetypeDemand!$I$6:$AH$50,,MATCH(L$166,ArchetypeDemand!$I$4:$AH$4,0)),ArchetypeDemand!$F$6:$F$50,$F251)*'SHWLP-Att'!$R$23</f>
        <v>5.7191666003736797E-4</v>
      </c>
      <c r="M251" s="1136">
        <f>SUMIFS(INDEX(ArchetypeDemand!$I$6:$AH$50,,MATCH(M$166,ArchetypeDemand!$I$4:$AH$4,0)),ArchetypeDemand!$F$6:$F$50,$F251)*'SHWLP-Att'!$R$23</f>
        <v>2.0027488196212449E-3</v>
      </c>
      <c r="N251" s="1136">
        <f>SUMIFS(INDEX(ArchetypeDemand!$I$6:$AH$50,,MATCH(N$166,ArchetypeDemand!$I$4:$AH$4,0)),ArchetypeDemand!$F$6:$F$50,$F251)*'SHWLP-Att'!$R$23</f>
        <v>1.3760381958016731E-3</v>
      </c>
      <c r="O251" s="1136">
        <f>SUMIFS(INDEX(ArchetypeDemand!$I$6:$AH$50,,MATCH(O$166,ArchetypeDemand!$I$4:$AH$4,0)),ArchetypeDemand!$F$6:$F$50,$F251)*'SHWLP-Att'!$R$23</f>
        <v>2.3933784563805235E-3</v>
      </c>
      <c r="P251" s="1136">
        <f>SUMIFS(INDEX(ArchetypeDemand!$I$6:$AH$50,,MATCH(P$166,ArchetypeDemand!$I$4:$AH$4,0)),ArchetypeDemand!$F$6:$F$50,$F251)*'SHWLP-Att'!$R$23</f>
        <v>1.6344957833106602E-3</v>
      </c>
      <c r="Q251" s="1136">
        <f>SUMIFS(INDEX(ArchetypeDemand!$I$6:$AH$50,,MATCH(Q$166,ArchetypeDemand!$I$4:$AH$4,0)),ArchetypeDemand!$F$6:$F$50,$F251)*'SHWLP-Att'!$R$23</f>
        <v>2.568291140700828E-3</v>
      </c>
      <c r="R251" s="1136">
        <f>SUMIFS(INDEX(ArchetypeDemand!$I$6:$AH$50,,MATCH(R$166,ArchetypeDemand!$I$4:$AH$4,0)),ArchetypeDemand!$F$6:$F$50,$F251)*'SHWLP-Att'!$R$23</f>
        <v>3.0264701040392415E-3</v>
      </c>
      <c r="S251" s="1136">
        <f>SUMIFS(INDEX(ArchetypeDemand!$I$6:$AH$50,,MATCH(S$166,ArchetypeDemand!$I$4:$AH$4,0)),ArchetypeDemand!$F$6:$F$50,$F251)*'SHWLP-Att'!$R$23</f>
        <v>2.2296226023017863E-3</v>
      </c>
      <c r="T251" s="1136">
        <f>SUMIFS(INDEX(ArchetypeDemand!$I$6:$AH$50,,MATCH(T$166,ArchetypeDemand!$I$4:$AH$4,0)),ArchetypeDemand!$F$6:$F$50,$F251)*'SHWLP-Att'!$R$23</f>
        <v>9.918615574965095E-3</v>
      </c>
      <c r="U251" s="1136">
        <f>SUMIFS(INDEX(ArchetypeDemand!$I$6:$AH$50,,MATCH(U$166,ArchetypeDemand!$I$4:$AH$4,0)),ArchetypeDemand!$F$6:$F$50,$F251)*'SHWLP-Att'!$R$23</f>
        <v>2.3871140336233637E-3</v>
      </c>
      <c r="V251" s="1136">
        <f>SUMIFS(INDEX(ArchetypeDemand!$I$6:$AH$50,,MATCH(V$166,ArchetypeDemand!$I$4:$AH$4,0)),ArchetypeDemand!$F$6:$F$50,$F251)*'SHWLP-Att'!$R$23</f>
        <v>3.9567063201133455E-3</v>
      </c>
      <c r="W251" s="1136">
        <f>SUMIFS(INDEX(ArchetypeDemand!$I$6:$AH$50,,MATCH(W$166,ArchetypeDemand!$I$4:$AH$4,0)),ArchetypeDemand!$F$6:$F$50,$F251)*'SHWLP-Att'!$R$23</f>
        <v>3.573105235934427E-3</v>
      </c>
      <c r="X251" s="1136">
        <f>SUMIFS(INDEX(ArchetypeDemand!$I$6:$AH$50,,MATCH(X$166,ArchetypeDemand!$I$4:$AH$4,0)),ArchetypeDemand!$F$6:$F$50,$F251)*'SHWLP-Att'!$R$23</f>
        <v>2.4368872185600889E-3</v>
      </c>
      <c r="Y251" s="1136">
        <f>SUMIFS(INDEX(ArchetypeDemand!$I$6:$AH$50,,MATCH(Y$166,ArchetypeDemand!$I$4:$AH$4,0)),ArchetypeDemand!$F$6:$F$50,$F251)*'SHWLP-Att'!$R$23</f>
        <v>3.3160695295200047E-3</v>
      </c>
      <c r="Z251" s="1136">
        <f>SUMIFS(INDEX(ArchetypeDemand!$I$6:$AH$50,,MATCH(Z$166,ArchetypeDemand!$I$4:$AH$4,0)),ArchetypeDemand!$F$6:$F$50,$F251)*'SHWLP-Att'!$R$23</f>
        <v>3.4295229281941611E-4</v>
      </c>
      <c r="AA251" s="1136">
        <f>SUMIFS(INDEX(ArchetypeDemand!$I$6:$AH$50,,MATCH(AA$166,ArchetypeDemand!$I$4:$AH$4,0)),ArchetypeDemand!$F$6:$F$50,$F251)*'SHWLP-Att'!$R$23</f>
        <v>1.4061943491476413E-3</v>
      </c>
      <c r="AB251" s="1136">
        <f>SUMIFS(INDEX(ArchetypeDemand!$I$6:$AH$50,,MATCH(AB$166,ArchetypeDemand!$I$4:$AH$4,0)),ArchetypeDemand!$F$6:$F$50,$F251)*'SHWLP-Att'!$R$23</f>
        <v>7.5862600555412539E-4</v>
      </c>
      <c r="AC251" s="1136">
        <f>SUMIFS(INDEX(ArchetypeDemand!$I$6:$AH$50,,MATCH(AC$166,ArchetypeDemand!$I$4:$AH$4,0)),ArchetypeDemand!$F$6:$F$50,$F251)*'SHWLP-Att'!$R$23</f>
        <v>1.3314978947900288E-3</v>
      </c>
      <c r="AD251" s="1136">
        <f>SUMIFS(INDEX(ArchetypeDemand!$I$6:$AH$50,,MATCH(AD$166,ArchetypeDemand!$I$4:$AH$4,0)),ArchetypeDemand!$F$6:$F$50,$F251)*'SHWLP-Att'!$R$23</f>
        <v>7.9714292643335747E-4</v>
      </c>
      <c r="AE251" s="1136">
        <f>SUMIFS(INDEX(ArchetypeDemand!$I$6:$AH$50,,MATCH(AE$166,ArchetypeDemand!$I$4:$AH$4,0)),ArchetypeDemand!$F$6:$F$50,$F251)*'SHWLP-Att'!$R$23</f>
        <v>1.8214207678541895E-3</v>
      </c>
      <c r="AF251" s="1136">
        <f>SUMIFS(INDEX(ArchetypeDemand!$I$6:$AH$50,,MATCH(AF$166,ArchetypeDemand!$I$4:$AH$4,0)),ArchetypeDemand!$F$6:$F$50,$F251)*'SHWLP-Att'!$R$23</f>
        <v>7.7266681780218879E-4</v>
      </c>
    </row>
    <row r="252" spans="3:32">
      <c r="C252" s="1134" t="s">
        <v>1148</v>
      </c>
      <c r="D252" s="1134" t="s">
        <v>1094</v>
      </c>
      <c r="E252" s="1134" t="s">
        <v>837</v>
      </c>
      <c r="F252" s="1134" t="s">
        <v>1100</v>
      </c>
      <c r="G252" s="1134">
        <f>SUMIFS(INDEX(ArchetypeDemand!$I$6:$AH$50,,MATCH($G$166,ArchetypeDemand!$I$4:$AH$4,0)),ArchetypeDemand!$F$6:$F$50,$F252)*'SHWLP-Att'!$R$23</f>
        <v>4.3367475998056567E-4</v>
      </c>
      <c r="H252" s="1134">
        <f>SUMIFS(INDEX(ArchetypeDemand!$I$6:$AH$50,,MATCH($H$166,ArchetypeDemand!$I$4:$AH$4,0)),ArchetypeDemand!$F$6:$F$50,$F252)*'SHWLP-Att'!$R$23</f>
        <v>2.0414415784838727E-2</v>
      </c>
      <c r="I252" s="1134">
        <f>SUMIFS(INDEX(ArchetypeDemand!$I$6:$AH$50,,MATCH(I$166,ArchetypeDemand!$I$4:$AH$4,0)),ArchetypeDemand!$F$6:$F$50,$F252)*'SHWLP-Att'!$R$23</f>
        <v>1.0294748249293619E-3</v>
      </c>
      <c r="J252" s="1134">
        <f>SUMIFS(INDEX(ArchetypeDemand!$I$6:$AH$50,,MATCH(J$166,ArchetypeDemand!$I$4:$AH$4,0)),ArchetypeDemand!$F$6:$F$50,$F252)*'SHWLP-Att'!$R$23</f>
        <v>7.3383689779593826E-4</v>
      </c>
      <c r="K252" s="1134">
        <f>SUMIFS(INDEX(ArchetypeDemand!$I$6:$AH$50,,MATCH(K$166,ArchetypeDemand!$I$4:$AH$4,0)),ArchetypeDemand!$F$6:$F$50,$F252)*'SHWLP-Att'!$R$23</f>
        <v>7.7088564401093683E-4</v>
      </c>
      <c r="L252" s="1134">
        <f>SUMIFS(INDEX(ArchetypeDemand!$I$6:$AH$50,,MATCH(L$166,ArchetypeDemand!$I$4:$AH$4,0)),ArchetypeDemand!$F$6:$F$50,$F252)*'SHWLP-Att'!$R$23</f>
        <v>2.70501122990647E-4</v>
      </c>
      <c r="M252" s="1134">
        <f>SUMIFS(INDEX(ArchetypeDemand!$I$6:$AH$50,,MATCH(M$166,ArchetypeDemand!$I$4:$AH$4,0)),ArchetypeDemand!$F$6:$F$50,$F252)*'SHWLP-Att'!$R$23</f>
        <v>9.0227515153530169E-4</v>
      </c>
      <c r="N252" s="1134">
        <f>SUMIFS(INDEX(ArchetypeDemand!$I$6:$AH$50,,MATCH(N$166,ArchetypeDemand!$I$4:$AH$4,0)),ArchetypeDemand!$F$6:$F$50,$F252)*'SHWLP-Att'!$R$23</f>
        <v>6.7537832707326216E-4</v>
      </c>
      <c r="O252" s="1134">
        <f>SUMIFS(INDEX(ArchetypeDemand!$I$6:$AH$50,,MATCH(O$166,ArchetypeDemand!$I$4:$AH$4,0)),ArchetypeDemand!$F$6:$F$50,$F252)*'SHWLP-Att'!$R$23</f>
        <v>1.1559555562095445E-3</v>
      </c>
      <c r="P252" s="1134">
        <f>SUMIFS(INDEX(ArchetypeDemand!$I$6:$AH$50,,MATCH(P$166,ArchetypeDemand!$I$4:$AH$4,0)),ArchetypeDemand!$F$6:$F$50,$F252)*'SHWLP-Att'!$R$23</f>
        <v>7.3835514963909777E-4</v>
      </c>
      <c r="Q252" s="1134">
        <f>SUMIFS(INDEX(ArchetypeDemand!$I$6:$AH$50,,MATCH(Q$166,ArchetypeDemand!$I$4:$AH$4,0)),ArchetypeDemand!$F$6:$F$50,$F252)*'SHWLP-Att'!$R$23</f>
        <v>1.0478472904367632E-3</v>
      </c>
      <c r="R252" s="1134">
        <f>SUMIFS(INDEX(ArchetypeDemand!$I$6:$AH$50,,MATCH(R$166,ArchetypeDemand!$I$4:$AH$4,0)),ArchetypeDemand!$F$6:$F$50,$F252)*'SHWLP-Att'!$R$23</f>
        <v>1.21782263150583E-3</v>
      </c>
      <c r="S252" s="1134">
        <f>SUMIFS(INDEX(ArchetypeDemand!$I$6:$AH$50,,MATCH(S$166,ArchetypeDemand!$I$4:$AH$4,0)),ArchetypeDemand!$F$6:$F$50,$F252)*'SHWLP-Att'!$R$23</f>
        <v>8.3112740409207011E-4</v>
      </c>
      <c r="T252" s="1134">
        <f>SUMIFS(INDEX(ArchetypeDemand!$I$6:$AH$50,,MATCH(T$166,ArchetypeDemand!$I$4:$AH$4,0)),ArchetypeDemand!$F$6:$F$50,$F252)*'SHWLP-Att'!$R$23</f>
        <v>4.3680057051288584E-3</v>
      </c>
      <c r="U252" s="1134">
        <f>SUMIFS(INDEX(ArchetypeDemand!$I$6:$AH$50,,MATCH(U$166,ArchetypeDemand!$I$4:$AH$4,0)),ArchetypeDemand!$F$6:$F$50,$F252)*'SHWLP-Att'!$R$23</f>
        <v>9.1511949580212152E-4</v>
      </c>
      <c r="V252" s="1134">
        <f>SUMIFS(INDEX(ArchetypeDemand!$I$6:$AH$50,,MATCH(V$166,ArchetypeDemand!$I$4:$AH$4,0)),ArchetypeDemand!$F$6:$F$50,$F252)*'SHWLP-Att'!$R$23</f>
        <v>1.6320456920003307E-3</v>
      </c>
      <c r="W252" s="1134">
        <f>SUMIFS(INDEX(ArchetypeDemand!$I$6:$AH$50,,MATCH(W$166,ArchetypeDemand!$I$4:$AH$4,0)),ArchetypeDemand!$F$6:$F$50,$F252)*'SHWLP-Att'!$R$23</f>
        <v>1.724676414046414E-3</v>
      </c>
      <c r="X252" s="1134">
        <f>SUMIFS(INDEX(ArchetypeDemand!$I$6:$AH$50,,MATCH(X$166,ArchetypeDemand!$I$4:$AH$4,0)),ArchetypeDemand!$F$6:$F$50,$F252)*'SHWLP-Att'!$R$23</f>
        <v>1.0764290669822015E-3</v>
      </c>
      <c r="Y252" s="1134">
        <f>SUMIFS(INDEX(ArchetypeDemand!$I$6:$AH$50,,MATCH(Y$166,ArchetypeDemand!$I$4:$AH$4,0)),ArchetypeDemand!$F$6:$F$50,$F252)*'SHWLP-Att'!$R$23</f>
        <v>1.4992965166673183E-3</v>
      </c>
      <c r="Z252" s="1134">
        <f>SUMIFS(INDEX(ArchetypeDemand!$I$6:$AH$50,,MATCH(Z$166,ArchetypeDemand!$I$4:$AH$4,0)),ArchetypeDemand!$F$6:$F$50,$F252)*'SHWLP-Att'!$R$23</f>
        <v>2.5493798758257486E-4</v>
      </c>
      <c r="AA252" s="1134">
        <f>SUMIFS(INDEX(ArchetypeDemand!$I$6:$AH$50,,MATCH(AA$166,ArchetypeDemand!$I$4:$AH$4,0)),ArchetypeDemand!$F$6:$F$50,$F252)*'SHWLP-Att'!$R$23</f>
        <v>7.4378785897042147E-4</v>
      </c>
      <c r="AB252" s="1134">
        <f>SUMIFS(INDEX(ArchetypeDemand!$I$6:$AH$50,,MATCH(AB$166,ArchetypeDemand!$I$4:$AH$4,0)),ArchetypeDemand!$F$6:$F$50,$F252)*'SHWLP-Att'!$R$23</f>
        <v>4.013021623583417E-4</v>
      </c>
      <c r="AC252" s="1134">
        <f>SUMIFS(INDEX(ArchetypeDemand!$I$6:$AH$50,,MATCH(AC$166,ArchetypeDemand!$I$4:$AH$4,0)),ArchetypeDemand!$F$6:$F$50,$F252)*'SHWLP-Att'!$R$23</f>
        <v>5.5639465248781756E-4</v>
      </c>
      <c r="AD252" s="1134">
        <f>SUMIFS(INDEX(ArchetypeDemand!$I$6:$AH$50,,MATCH(AD$166,ArchetypeDemand!$I$4:$AH$4,0)),ArchetypeDemand!$F$6:$F$50,$F252)*'SHWLP-Att'!$R$23</f>
        <v>3.5790090574558902E-4</v>
      </c>
      <c r="AE252" s="1134">
        <f>SUMIFS(INDEX(ArchetypeDemand!$I$6:$AH$50,,MATCH(AE$166,ArchetypeDemand!$I$4:$AH$4,0)),ArchetypeDemand!$F$6:$F$50,$F252)*'SHWLP-Att'!$R$23</f>
        <v>8.2226359103769713E-4</v>
      </c>
      <c r="AF252" s="1134">
        <f>SUMIFS(INDEX(ArchetypeDemand!$I$6:$AH$50,,MATCH(AF$166,ArchetypeDemand!$I$4:$AH$4,0)),ArchetypeDemand!$F$6:$F$50,$F252)*'SHWLP-Att'!$R$23</f>
        <v>3.4317354578135365E-4</v>
      </c>
    </row>
    <row r="253" spans="3:32" ht="13.5" thickBot="1">
      <c r="C253" s="1138" t="s">
        <v>1148</v>
      </c>
      <c r="D253" s="1138" t="s">
        <v>1094</v>
      </c>
      <c r="E253" s="1138" t="s">
        <v>837</v>
      </c>
      <c r="F253" s="1138" t="s">
        <v>1101</v>
      </c>
      <c r="G253" s="1138">
        <f>SUMIFS(INDEX(ArchetypeDemand!$I$6:$AH$50,,MATCH($G$166,ArchetypeDemand!$I$4:$AH$4,0)),ArchetypeDemand!$F$6:$F$50,$F253)*'SHWLP-Att'!$R$23</f>
        <v>4.0678020122208097E-4</v>
      </c>
      <c r="H253" s="1138">
        <f>SUMIFS(INDEX(ArchetypeDemand!$I$6:$AH$50,,MATCH($H$166,ArchetypeDemand!$I$4:$AH$4,0)),ArchetypeDemand!$F$6:$F$50,$F253)*'SHWLP-Att'!$R$23</f>
        <v>1.7315425190253579E-2</v>
      </c>
      <c r="I253" s="1138">
        <f>SUMIFS(INDEX(ArchetypeDemand!$I$6:$AH$50,,MATCH(I$166,ArchetypeDemand!$I$4:$AH$4,0)),ArchetypeDemand!$F$6:$F$50,$F253)*'SHWLP-Att'!$R$23</f>
        <v>1.1103013607709233E-3</v>
      </c>
      <c r="J253" s="1138">
        <f>SUMIFS(INDEX(ArchetypeDemand!$I$6:$AH$50,,MATCH(J$166,ArchetypeDemand!$I$4:$AH$4,0)),ArchetypeDemand!$F$6:$F$50,$F253)*'SHWLP-Att'!$R$23</f>
        <v>7.7460561434015702E-4</v>
      </c>
      <c r="K253" s="1138">
        <f>SUMIFS(INDEX(ArchetypeDemand!$I$6:$AH$50,,MATCH(K$166,ArchetypeDemand!$I$4:$AH$4,0)),ArchetypeDemand!$F$6:$F$50,$F253)*'SHWLP-Att'!$R$23</f>
        <v>8.6047505669328893E-4</v>
      </c>
      <c r="L253" s="1138">
        <f>SUMIFS(INDEX(ArchetypeDemand!$I$6:$AH$50,,MATCH(L$166,ArchetypeDemand!$I$4:$AH$4,0)),ArchetypeDemand!$F$6:$F$50,$F253)*'SHWLP-Att'!$R$23</f>
        <v>2.4731531244859159E-4</v>
      </c>
      <c r="M253" s="1138">
        <f>SUMIFS(INDEX(ArchetypeDemand!$I$6:$AH$50,,MATCH(M$166,ArchetypeDemand!$I$4:$AH$4,0)),ArchetypeDemand!$F$6:$F$50,$F253)*'SHWLP-Att'!$R$23</f>
        <v>1.3269862584295337E-3</v>
      </c>
      <c r="N253" s="1138">
        <f>SUMIFS(INDEX(ArchetypeDemand!$I$6:$AH$50,,MATCH(N$166,ArchetypeDemand!$I$4:$AH$4,0)),ArchetypeDemand!$F$6:$F$50,$F253)*'SHWLP-Att'!$R$23</f>
        <v>6.3745601459053874E-4</v>
      </c>
      <c r="O253" s="1138">
        <f>SUMIFS(INDEX(ArchetypeDemand!$I$6:$AH$50,,MATCH(O$166,ArchetypeDemand!$I$4:$AH$4,0)),ArchetypeDemand!$F$6:$F$50,$F253)*'SHWLP-Att'!$R$23</f>
        <v>1.1163227942823603E-3</v>
      </c>
      <c r="P253" s="1138">
        <f>SUMIFS(INDEX(ArchetypeDemand!$I$6:$AH$50,,MATCH(P$166,ArchetypeDemand!$I$4:$AH$4,0)),ArchetypeDemand!$F$6:$F$50,$F253)*'SHWLP-Att'!$R$23</f>
        <v>1.0336972094947368E-3</v>
      </c>
      <c r="Q253" s="1138">
        <f>SUMIFS(INDEX(ArchetypeDemand!$I$6:$AH$50,,MATCH(Q$166,ArchetypeDemand!$I$4:$AH$4,0)),ArchetypeDemand!$F$6:$F$50,$F253)*'SHWLP-Att'!$R$23</f>
        <v>1.2434712762669168E-3</v>
      </c>
      <c r="R253" s="1138">
        <f>SUMIFS(INDEX(ArchetypeDemand!$I$6:$AH$50,,MATCH(R$166,ArchetypeDemand!$I$4:$AH$4,0)),ArchetypeDemand!$F$6:$F$50,$F253)*'SHWLP-Att'!$R$23</f>
        <v>1.3323703047662795E-3</v>
      </c>
      <c r="S253" s="1138">
        <f>SUMIFS(INDEX(ArchetypeDemand!$I$6:$AH$50,,MATCH(S$166,ArchetypeDemand!$I$4:$AH$4,0)),ArchetypeDemand!$F$6:$F$50,$F253)*'SHWLP-Att'!$R$23</f>
        <v>8.1784454603580411E-4</v>
      </c>
      <c r="T253" s="1138">
        <f>SUMIFS(INDEX(ArchetypeDemand!$I$6:$AH$50,,MATCH(T$166,ArchetypeDemand!$I$4:$AH$4,0)),ArchetypeDemand!$F$6:$F$50,$F253)*'SHWLP-Att'!$R$23</f>
        <v>5.2284667998801042E-3</v>
      </c>
      <c r="U253" s="1138">
        <f>SUMIFS(INDEX(ArchetypeDemand!$I$6:$AH$50,,MATCH(U$166,ArchetypeDemand!$I$4:$AH$4,0)),ArchetypeDemand!$F$6:$F$50,$F253)*'SHWLP-Att'!$R$23</f>
        <v>1.0250757142899734E-3</v>
      </c>
      <c r="V253" s="1138">
        <f>SUMIFS(INDEX(ArchetypeDemand!$I$6:$AH$50,,MATCH(V$166,ArchetypeDemand!$I$4:$AH$4,0)),ArchetypeDemand!$F$6:$F$50,$F253)*'SHWLP-Att'!$R$23</f>
        <v>1.7430171458526391E-3</v>
      </c>
      <c r="W253" s="1138">
        <f>SUMIFS(INDEX(ArchetypeDemand!$I$6:$AH$50,,MATCH(W$166,ArchetypeDemand!$I$4:$AH$4,0)),ArchetypeDemand!$F$6:$F$50,$F253)*'SHWLP-Att'!$R$23</f>
        <v>2.1470060598550457E-3</v>
      </c>
      <c r="X253" s="1138">
        <f>SUMIFS(INDEX(ArchetypeDemand!$I$6:$AH$50,,MATCH(X$166,ArchetypeDemand!$I$4:$AH$4,0)),ArchetypeDemand!$F$6:$F$50,$F253)*'SHWLP-Att'!$R$23</f>
        <v>1.2184436092800444E-3</v>
      </c>
      <c r="Y253" s="1138">
        <f>SUMIFS(INDEX(ArchetypeDemand!$I$6:$AH$50,,MATCH(Y$166,ArchetypeDemand!$I$4:$AH$4,0)),ArchetypeDemand!$F$6:$F$50,$F253)*'SHWLP-Att'!$R$23</f>
        <v>1.4460779132605224E-3</v>
      </c>
      <c r="Z253" s="1138">
        <f>SUMIFS(INDEX(ArchetypeDemand!$I$6:$AH$50,,MATCH(Z$166,ArchetypeDemand!$I$4:$AH$4,0)),ArchetypeDemand!$F$6:$F$50,$F253)*'SHWLP-Att'!$R$23</f>
        <v>2.4128059539065116E-4</v>
      </c>
      <c r="AA253" s="1138">
        <f>SUMIFS(INDEX(ArchetypeDemand!$I$6:$AH$50,,MATCH(AA$166,ArchetypeDemand!$I$4:$AH$4,0)),ArchetypeDemand!$F$6:$F$50,$F253)*'SHWLP-Att'!$R$23</f>
        <v>1.0579577943116171E-3</v>
      </c>
      <c r="AB253" s="1138">
        <f>SUMIFS(INDEX(ArchetypeDemand!$I$6:$AH$50,,MATCH(AB$166,ArchetypeDemand!$I$4:$AH$4,0)),ArchetypeDemand!$F$6:$F$50,$F253)*'SHWLP-Att'!$R$23</f>
        <v>3.8847515260259565E-4</v>
      </c>
      <c r="AC253" s="1138">
        <f>SUMIFS(INDEX(ArchetypeDemand!$I$6:$AH$50,,MATCH(AC$166,ArchetypeDemand!$I$4:$AH$4,0)),ArchetypeDemand!$F$6:$F$50,$F253)*'SHWLP-Att'!$R$23</f>
        <v>6.7537212534684763E-4</v>
      </c>
      <c r="AD253" s="1138">
        <f>SUMIFS(INDEX(ArchetypeDemand!$I$6:$AH$50,,MATCH(AD$166,ArchetypeDemand!$I$4:$AH$4,0)),ArchetypeDemand!$F$6:$F$50,$F253)*'SHWLP-Att'!$R$23</f>
        <v>4.8623910932102756E-4</v>
      </c>
      <c r="AE253" s="1138">
        <f>SUMIFS(INDEX(ArchetypeDemand!$I$6:$AH$50,,MATCH(AE$166,ArchetypeDemand!$I$4:$AH$4,0)),ArchetypeDemand!$F$6:$F$50,$F253)*'SHWLP-Att'!$R$23</f>
        <v>1.0380348879766674E-3</v>
      </c>
      <c r="AF253" s="1138">
        <f>SUMIFS(INDEX(ArchetypeDemand!$I$6:$AH$50,,MATCH(AF$166,ArchetypeDemand!$I$4:$AH$4,0)),ArchetypeDemand!$F$6:$F$50,$F253)*'SHWLP-Att'!$R$23</f>
        <v>3.6633249672365361E-4</v>
      </c>
    </row>
    <row r="254" spans="3:32" ht="13.5" thickBot="1">
      <c r="C254" s="1141" t="s">
        <v>1149</v>
      </c>
      <c r="D254" s="1141" t="s">
        <v>1094</v>
      </c>
      <c r="E254" s="1141" t="s">
        <v>837</v>
      </c>
      <c r="F254" s="1141" t="s">
        <v>930</v>
      </c>
      <c r="G254" s="1129">
        <f>SUM(ArchetypeDemand!I6:I46)*'SHWLP-Att'!$R$49</f>
        <v>1.0603423092984024E-2</v>
      </c>
      <c r="H254" s="1142">
        <f>SUM(ArchetypeDemand!J6:J46)*'SHWLP-Att'!$R$49</f>
        <v>0.35246073343716144</v>
      </c>
      <c r="I254" s="1142">
        <f>SUM(ArchetypeDemand!K6:K46)*'SHWLP-Att'!$R$49</f>
        <v>4.4853339105118024E-2</v>
      </c>
      <c r="J254" s="1142">
        <f>SUM(ArchetypeDemand!L6:L46)*'SHWLP-Att'!$R$49</f>
        <v>1.4708535197731803E-2</v>
      </c>
      <c r="K254" s="1142">
        <f>SUM(ArchetypeDemand!M6:M46)*'SHWLP-Att'!$R$49</f>
        <v>1.3535165614937197E-2</v>
      </c>
      <c r="L254" s="1142">
        <f>SUM(ArchetypeDemand!N6:N46)*'SHWLP-Att'!$R$49</f>
        <v>5.581093609661701E-3</v>
      </c>
      <c r="M254" s="1142">
        <f>SUM(ArchetypeDemand!O6:O46)*'SHWLP-Att'!$R$49</f>
        <v>2.8561795741715978E-2</v>
      </c>
      <c r="N254" s="1142">
        <f>SUM(ArchetypeDemand!P6:P46)*'SHWLP-Att'!$R$49</f>
        <v>3.1870551879891983E-2</v>
      </c>
      <c r="O254" s="1142">
        <f>SUM(ArchetypeDemand!Q6:Q46)*'SHWLP-Att'!$R$49</f>
        <v>1.2040228326284057E-2</v>
      </c>
      <c r="P254" s="1142">
        <f>SUM(ArchetypeDemand!R6:R46)*'SHWLP-Att'!$R$49</f>
        <v>1.4421331648326843E-2</v>
      </c>
      <c r="Q254" s="1142">
        <f>SUM(ArchetypeDemand!S6:S46)*'SHWLP-Att'!$R$49</f>
        <v>2.1619303055903653E-2</v>
      </c>
      <c r="R254" s="1142">
        <f>SUM(ArchetypeDemand!T6:T46)*'SHWLP-Att'!$R$49</f>
        <v>2.7242212437339902E-2</v>
      </c>
      <c r="S254" s="1142">
        <f>SUM(ArchetypeDemand!U6:U46)*'SHWLP-Att'!$R$49</f>
        <v>1.7778249187395304E-2</v>
      </c>
      <c r="T254" s="1142">
        <f>SUM(ArchetypeDemand!V6:V46)*'SHWLP-Att'!$R$49</f>
        <v>0.1075313811209364</v>
      </c>
      <c r="U254" s="1142">
        <f>SUM(ArchetypeDemand!W6:W46)*'SHWLP-Att'!$R$49</f>
        <v>1.8445812615473005E-2</v>
      </c>
      <c r="V254" s="1142">
        <f>SUM(ArchetypeDemand!X6:X46)*'SHWLP-Att'!$R$49</f>
        <v>3.7270908567654207E-2</v>
      </c>
      <c r="W254" s="1142">
        <f>SUM(ArchetypeDemand!Y6:Y46)*'SHWLP-Att'!$R$49</f>
        <v>2.5815733954506023E-2</v>
      </c>
      <c r="X254" s="1142">
        <f>SUM(ArchetypeDemand!Z6:Z46)*'SHWLP-Att'!$R$49</f>
        <v>2.5598188051639905E-2</v>
      </c>
      <c r="Y254" s="1142">
        <f>SUM(ArchetypeDemand!AA6:AA46)*'SHWLP-Att'!$R$49</f>
        <v>3.2442140338566128E-2</v>
      </c>
      <c r="Z254" s="1142">
        <f>SUM(ArchetypeDemand!AB6:AB46)*'SHWLP-Att'!$R$49</f>
        <v>3.2193237708731445E-3</v>
      </c>
      <c r="AA254" s="1142">
        <f>SUM(ArchetypeDemand!AC6:AC46)*'SHWLP-Att'!$R$49</f>
        <v>1.4721775041248346E-2</v>
      </c>
      <c r="AB254" s="1142">
        <f>SUM(ArchetypeDemand!AD6:AD46)*'SHWLP-Att'!$R$49</f>
        <v>6.3172208235172831E-3</v>
      </c>
      <c r="AC254" s="1142">
        <f>SUM(ArchetypeDemand!AE6:AE46)*'SHWLP-Att'!$R$49</f>
        <v>1.0453138105825788E-2</v>
      </c>
      <c r="AD254" s="1142">
        <f>SUM(ArchetypeDemand!AF6:AF46)*'SHWLP-Att'!$R$49</f>
        <v>9.0624322645147092E-3</v>
      </c>
      <c r="AE254" s="1142">
        <f>SUM(ArchetypeDemand!AG6:AG46)*'SHWLP-Att'!$R$49</f>
        <v>1.867497305654742E-2</v>
      </c>
      <c r="AF254" s="1142">
        <f>SUM(ArchetypeDemand!AH6:AH46)*'SHWLP-Att'!$R$49</f>
        <v>7.78335345134185E-3</v>
      </c>
    </row>
    <row r="255" spans="3:32" ht="15">
      <c r="C255" s="1137" t="s">
        <v>1129</v>
      </c>
      <c r="D255" s="1137"/>
      <c r="E255" s="1137"/>
      <c r="F255" s="1137"/>
      <c r="G255" s="1137"/>
      <c r="H255" s="1137"/>
      <c r="I255" s="1137"/>
      <c r="J255" s="1137"/>
      <c r="K255" s="1137"/>
      <c r="L255" s="1137"/>
      <c r="M255" s="1137"/>
      <c r="N255" s="1137"/>
      <c r="O255" s="1137"/>
      <c r="P255" s="1137"/>
      <c r="Q255" s="1137"/>
      <c r="R255" s="1137"/>
      <c r="S255" s="1137"/>
      <c r="T255" s="1137"/>
      <c r="U255" s="1137"/>
      <c r="V255" s="1137"/>
      <c r="W255" s="1137"/>
      <c r="X255" s="1137"/>
      <c r="Y255" s="1137"/>
      <c r="Z255" s="1137"/>
      <c r="AA255" s="1137"/>
      <c r="AB255" s="1137"/>
      <c r="AC255" s="1137"/>
      <c r="AD255" s="1137"/>
      <c r="AE255" s="1137"/>
      <c r="AF255" s="1137"/>
    </row>
    <row r="256" spans="3:32">
      <c r="C256" s="1145" t="s">
        <v>1150</v>
      </c>
      <c r="D256" s="1134" t="s">
        <v>1094</v>
      </c>
      <c r="E256" s="1134" t="s">
        <v>1152</v>
      </c>
      <c r="F256" s="1134" t="s">
        <v>1096</v>
      </c>
      <c r="G256" s="1134">
        <f>SUMIFS(INDEX(ArchetypeDemand!$I$6:$AH$50,,MATCH($G$166,ArchetypeDemand!$I$4:$AH$4,0)),ArchetypeDemand!$F$6:$F$50,$F256)*'SHWLP-Att'!$R$24</f>
        <v>3.6676721171657028E-3</v>
      </c>
      <c r="H256" s="1134">
        <f>SUMIFS(INDEX(ArchetypeDemand!$I$6:$AH$50,,MATCH(H$166,ArchetypeDemand!$I$4:$AH$4,0)),ArchetypeDemand!$F$6:$F$50,$F256)*'SHWLP-Att'!$R$24</f>
        <v>0.13965711763027436</v>
      </c>
      <c r="I256" s="1134">
        <f>SUMIFS(INDEX(ArchetypeDemand!$I$6:$AH$50,,MATCH(I$166,ArchetypeDemand!$I$4:$AH$4,0)),ArchetypeDemand!$F$6:$F$50,$F256)*'SHWLP-Att'!$R$24</f>
        <v>2.8161268542943228E-2</v>
      </c>
      <c r="J256" s="1134">
        <f>SUMIFS(INDEX(ArchetypeDemand!$I$6:$AH$50,,MATCH(J$166,ArchetypeDemand!$I$4:$AH$4,0)),ArchetypeDemand!$F$6:$F$50,$F256)*'SHWLP-Att'!$R$24</f>
        <v>4.3745197506717499E-3</v>
      </c>
      <c r="K256" s="1134">
        <f>SUMIFS(INDEX(ArchetypeDemand!$I$6:$AH$50,,MATCH(K$166,ArchetypeDemand!$I$4:$AH$4,0)),ArchetypeDemand!$F$6:$F$50,$F256)*'SHWLP-Att'!$R$24</f>
        <v>4.188020257496778E-3</v>
      </c>
      <c r="L256" s="1134">
        <f>SUMIFS(INDEX(ArchetypeDemand!$I$6:$AH$50,,MATCH(L$166,ArchetypeDemand!$I$4:$AH$4,0)),ArchetypeDemand!$F$6:$F$50,$F256)*'SHWLP-Att'!$R$24</f>
        <v>1.6569844321455925E-3</v>
      </c>
      <c r="M256" s="1134">
        <f>SUMIFS(INDEX(ArchetypeDemand!$I$6:$AH$50,,MATCH(M$166,ArchetypeDemand!$I$4:$AH$4,0)),ArchetypeDemand!$F$6:$F$50,$F256)*'SHWLP-Att'!$R$24</f>
        <v>1.3704219865504621E-2</v>
      </c>
      <c r="N256" s="1134">
        <f>SUMIFS(INDEX(ArchetypeDemand!$I$6:$AH$50,,MATCH(N$166,ArchetypeDemand!$I$4:$AH$4,0)),ArchetypeDemand!$F$6:$F$50,$F256)*'SHWLP-Att'!$R$24</f>
        <v>2.4810340444349675E-2</v>
      </c>
      <c r="O256" s="1134">
        <f>SUMIFS(INDEX(ArchetypeDemand!$I$6:$AH$50,,MATCH(O$166,ArchetypeDemand!$I$4:$AH$4,0)),ArchetypeDemand!$F$6:$F$50,$F256)*'SHWLP-Att'!$R$24</f>
        <v>1.9329643535367499E-3</v>
      </c>
      <c r="P256" s="1134">
        <f>SUMIFS(INDEX(ArchetypeDemand!$I$6:$AH$50,,MATCH(P$166,ArchetypeDemand!$I$4:$AH$4,0)),ArchetypeDemand!$F$6:$F$50,$F256)*'SHWLP-Att'!$R$24</f>
        <v>3.4325549908475177E-3</v>
      </c>
      <c r="Q256" s="1134">
        <f>SUMIFS(INDEX(ArchetypeDemand!$I$6:$AH$50,,MATCH(Q$166,ArchetypeDemand!$I$4:$AH$4,0)),ArchetypeDemand!$F$6:$F$50,$F256)*'SHWLP-Att'!$R$24</f>
        <v>5.3749239669181464E-3</v>
      </c>
      <c r="R256" s="1134">
        <f>SUMIFS(INDEX(ArchetypeDemand!$I$6:$AH$50,,MATCH(R$166,ArchetypeDemand!$I$4:$AH$4,0)),ArchetypeDemand!$F$6:$F$50,$F256)*'SHWLP-Att'!$R$24</f>
        <v>1.3738178577937715E-2</v>
      </c>
      <c r="S256" s="1134">
        <f>SUMIFS(INDEX(ArchetypeDemand!$I$6:$AH$50,,MATCH(S$166,ArchetypeDemand!$I$4:$AH$4,0)),ArchetypeDemand!$F$6:$F$50,$F256)*'SHWLP-Att'!$R$24</f>
        <v>3.9722015705349056E-3</v>
      </c>
      <c r="T256" s="1134">
        <f>SUMIFS(INDEX(ArchetypeDemand!$I$6:$AH$50,,MATCH(T$166,ArchetypeDemand!$I$4:$AH$4,0)),ArchetypeDemand!$F$6:$F$50,$F256)*'SHWLP-Att'!$R$24</f>
        <v>4.818545670185323E-2</v>
      </c>
      <c r="U256" s="1134">
        <f>SUMIFS(INDEX(ArchetypeDemand!$I$6:$AH$50,,MATCH(U$166,ArchetypeDemand!$I$4:$AH$4,0)),ArchetypeDemand!$F$6:$F$50,$F256)*'SHWLP-Att'!$R$24</f>
        <v>5.2523955807361458E-3</v>
      </c>
      <c r="V256" s="1134">
        <f>SUMIFS(INDEX(ArchetypeDemand!$I$6:$AH$50,,MATCH(V$166,ArchetypeDemand!$I$4:$AH$4,0)),ArchetypeDemand!$F$6:$F$50,$F256)*'SHWLP-Att'!$R$24</f>
        <v>1.034408535912029E-2</v>
      </c>
      <c r="W256" s="1134">
        <f>SUMIFS(INDEX(ArchetypeDemand!$I$6:$AH$50,,MATCH(W$166,ArchetypeDemand!$I$4:$AH$4,0)),ArchetypeDemand!$F$6:$F$50,$F256)*'SHWLP-Att'!$R$24</f>
        <v>4.4761304002908127E-3</v>
      </c>
      <c r="X256" s="1134">
        <f>SUMIFS(INDEX(ArchetypeDemand!$I$6:$AH$50,,MATCH(X$166,ArchetypeDemand!$I$4:$AH$4,0)),ArchetypeDemand!$F$6:$F$50,$F256)*'SHWLP-Att'!$R$24</f>
        <v>8.7035272105317699E-3</v>
      </c>
      <c r="Y256" s="1134">
        <f>SUMIFS(INDEX(ArchetypeDemand!$I$6:$AH$50,,MATCH(Y$166,ArchetypeDemand!$I$4:$AH$4,0)),ArchetypeDemand!$F$6:$F$50,$F256)*'SHWLP-Att'!$R$24</f>
        <v>8.4329565576202574E-3</v>
      </c>
      <c r="Z256" s="1134">
        <f>SUMIFS(INDEX(ArchetypeDemand!$I$6:$AH$50,,MATCH(Z$166,ArchetypeDemand!$I$4:$AH$4,0)),ArchetypeDemand!$F$6:$F$50,$F256)*'SHWLP-Att'!$R$24</f>
        <v>6.6460320099166357E-4</v>
      </c>
      <c r="AA256" s="1134">
        <f>SUMIFS(INDEX(ArchetypeDemand!$I$6:$AH$50,,MATCH(AA$166,ArchetypeDemand!$I$4:$AH$4,0)),ArchetypeDemand!$F$6:$F$50,$F256)*'SHWLP-Att'!$R$24</f>
        <v>3.3787890266612389E-3</v>
      </c>
      <c r="AB256" s="1134">
        <f>SUMIFS(INDEX(ArchetypeDemand!$I$6:$AH$50,,MATCH(AB$166,ArchetypeDemand!$I$4:$AH$4,0)),ArchetypeDemand!$F$6:$F$50,$F256)*'SHWLP-Att'!$R$24</f>
        <v>8.5480328471697841E-4</v>
      </c>
      <c r="AC256" s="1134">
        <f>SUMIFS(INDEX(ArchetypeDemand!$I$6:$AH$50,,MATCH(AC$166,ArchetypeDemand!$I$4:$AH$4,0)),ArchetypeDemand!$F$6:$F$50,$F256)*'SHWLP-Att'!$R$24</f>
        <v>2.6667483560704874E-3</v>
      </c>
      <c r="AD256" s="1134">
        <f>SUMIFS(INDEX(ArchetypeDemand!$I$6:$AH$50,,MATCH(AD$166,ArchetypeDemand!$I$4:$AH$4,0)),ArchetypeDemand!$F$6:$F$50,$F256)*'SHWLP-Att'!$R$24</f>
        <v>2.9983982296150642E-3</v>
      </c>
      <c r="AE256" s="1134">
        <f>SUMIFS(INDEX(ArchetypeDemand!$I$6:$AH$50,,MATCH(AE$166,ArchetypeDemand!$I$4:$AH$4,0)),ArchetypeDemand!$F$6:$F$50,$F256)*'SHWLP-Att'!$R$24</f>
        <v>3.6868022898961924E-3</v>
      </c>
      <c r="AF256" s="1134">
        <f>SUMIFS(INDEX(ArchetypeDemand!$I$6:$AH$50,,MATCH(AF$166,ArchetypeDemand!$I$4:$AH$4,0)),ArchetypeDemand!$F$6:$F$50,$F256)*'SHWLP-Att'!$R$24</f>
        <v>2.7994061978078347E-3</v>
      </c>
    </row>
    <row r="257" spans="3:32">
      <c r="C257" s="1136" t="s">
        <v>1150</v>
      </c>
      <c r="D257" s="1136" t="s">
        <v>1094</v>
      </c>
      <c r="E257" s="1136" t="s">
        <v>1152</v>
      </c>
      <c r="F257" s="1136" t="s">
        <v>1097</v>
      </c>
      <c r="G257" s="1136">
        <f>SUMIFS(INDEX(ArchetypeDemand!$I$6:$AH$50,,MATCH($G$166,ArchetypeDemand!$I$4:$AH$4,0)),ArchetypeDemand!$F$6:$F$50,$F257)*'SHWLP-Att'!$R$24</f>
        <v>9.7401734912405322E-3</v>
      </c>
      <c r="H257" s="1136">
        <f>SUMIFS(INDEX(ArchetypeDemand!$I$6:$AH$50,,MATCH(H$166,ArchetypeDemand!$I$4:$AH$4,0)),ArchetypeDemand!$F$6:$F$50,$F257)*'SHWLP-Att'!$R$24</f>
        <v>0.24392747140999421</v>
      </c>
      <c r="I257" s="1136">
        <f>SUMIFS(INDEX(ArchetypeDemand!$I$6:$AH$50,,MATCH(I$166,ArchetypeDemand!$I$4:$AH$4,0)),ArchetypeDemand!$F$6:$F$50,$F257)*'SHWLP-Att'!$R$24</f>
        <v>3.5009370611034943E-2</v>
      </c>
      <c r="J257" s="1136">
        <f>SUMIFS(INDEX(ArchetypeDemand!$I$6:$AH$50,,MATCH(J$166,ArchetypeDemand!$I$4:$AH$4,0)),ArchetypeDemand!$F$6:$F$50,$F257)*'SHWLP-Att'!$R$24</f>
        <v>1.2456657660792384E-2</v>
      </c>
      <c r="K257" s="1136">
        <f>SUMIFS(INDEX(ArchetypeDemand!$I$6:$AH$50,,MATCH(K$166,ArchetypeDemand!$I$4:$AH$4,0)),ArchetypeDemand!$F$6:$F$50,$F257)*'SHWLP-Att'!$R$24</f>
        <v>1.2393115815480507E-2</v>
      </c>
      <c r="L257" s="1136">
        <f>SUMIFS(INDEX(ArchetypeDemand!$I$6:$AH$50,,MATCH(L$166,ArchetypeDemand!$I$4:$AH$4,0)),ArchetypeDemand!$F$6:$F$50,$F257)*'SHWLP-Att'!$R$24</f>
        <v>4.7477267422226643E-3</v>
      </c>
      <c r="M257" s="1136">
        <f>SUMIFS(INDEX(ArchetypeDemand!$I$6:$AH$50,,MATCH(M$166,ArchetypeDemand!$I$4:$AH$4,0)),ArchetypeDemand!$F$6:$F$50,$F257)*'SHWLP-Att'!$R$24</f>
        <v>2.642659784021462E-2</v>
      </c>
      <c r="N257" s="1136">
        <f>SUMIFS(INDEX(ArchetypeDemand!$I$6:$AH$50,,MATCH(N$166,ArchetypeDemand!$I$4:$AH$4,0)),ArchetypeDemand!$F$6:$F$50,$F257)*'SHWLP-Att'!$R$24</f>
        <v>2.7680932689252417E-2</v>
      </c>
      <c r="O257" s="1136">
        <f>SUMIFS(INDEX(ArchetypeDemand!$I$6:$AH$50,,MATCH(O$166,ArchetypeDemand!$I$4:$AH$4,0)),ArchetypeDemand!$F$6:$F$50,$F257)*'SHWLP-Att'!$R$24</f>
        <v>9.0636351978715737E-3</v>
      </c>
      <c r="P257" s="1136">
        <f>SUMIFS(INDEX(ArchetypeDemand!$I$6:$AH$50,,MATCH(P$166,ArchetypeDemand!$I$4:$AH$4,0)),ArchetypeDemand!$F$6:$F$50,$F257)*'SHWLP-Att'!$R$24</f>
        <v>1.2479979911206102E-2</v>
      </c>
      <c r="Q257" s="1136">
        <f>SUMIFS(INDEX(ArchetypeDemand!$I$6:$AH$50,,MATCH(Q$166,ArchetypeDemand!$I$4:$AH$4,0)),ArchetypeDemand!$F$6:$F$50,$F257)*'SHWLP-Att'!$R$24</f>
        <v>1.7091973571379676E-2</v>
      </c>
      <c r="R257" s="1136">
        <f>SUMIFS(INDEX(ArchetypeDemand!$I$6:$AH$50,,MATCH(R$166,ArchetypeDemand!$I$4:$AH$4,0)),ArchetypeDemand!$F$6:$F$50,$F257)*'SHWLP-Att'!$R$24</f>
        <v>1.9447566202179755E-2</v>
      </c>
      <c r="S257" s="1136">
        <f>SUMIFS(INDEX(ArchetypeDemand!$I$6:$AH$50,,MATCH(S$166,ArchetypeDemand!$I$4:$AH$4,0)),ArchetypeDemand!$F$6:$F$50,$F257)*'SHWLP-Att'!$R$24</f>
        <v>1.4012095213777359E-2</v>
      </c>
      <c r="T257" s="1136">
        <f>SUMIFS(INDEX(ArchetypeDemand!$I$6:$AH$50,,MATCH(T$166,ArchetypeDemand!$I$4:$AH$4,0)),ArchetypeDemand!$F$6:$F$50,$F257)*'SHWLP-Att'!$R$24</f>
        <v>9.2592582679723826E-2</v>
      </c>
      <c r="U257" s="1136">
        <f>SUMIFS(INDEX(ArchetypeDemand!$I$6:$AH$50,,MATCH(U$166,ArchetypeDemand!$I$4:$AH$4,0)),ArchetypeDemand!$F$6:$F$50,$F257)*'SHWLP-Att'!$R$24</f>
        <v>1.4231178861429767E-2</v>
      </c>
      <c r="V257" s="1136">
        <f>SUMIFS(INDEX(ArchetypeDemand!$I$6:$AH$50,,MATCH(V$166,ArchetypeDemand!$I$4:$AH$4,0)),ArchetypeDemand!$F$6:$F$50,$F257)*'SHWLP-Att'!$R$24</f>
        <v>3.2043702505470971E-2</v>
      </c>
      <c r="W257" s="1136">
        <f>SUMIFS(INDEX(ArchetypeDemand!$I$6:$AH$50,,MATCH(W$166,ArchetypeDemand!$I$4:$AH$4,0)),ArchetypeDemand!$F$6:$F$50,$F257)*'SHWLP-Att'!$R$24</f>
        <v>2.02873789802792E-2</v>
      </c>
      <c r="X257" s="1136">
        <f>SUMIFS(INDEX(ArchetypeDemand!$I$6:$AH$50,,MATCH(X$166,ArchetypeDemand!$I$4:$AH$4,0)),ArchetypeDemand!$F$6:$F$50,$F257)*'SHWLP-Att'!$R$24</f>
        <v>2.104871817696205E-2</v>
      </c>
      <c r="Y257" s="1136">
        <f>SUMIFS(INDEX(ArchetypeDemand!$I$6:$AH$50,,MATCH(Y$166,ArchetypeDemand!$I$4:$AH$4,0)),ArchetypeDemand!$F$6:$F$50,$F257)*'SHWLP-Att'!$R$24</f>
        <v>2.9501788080250703E-2</v>
      </c>
      <c r="Z257" s="1136">
        <f>SUMIFS(INDEX(ArchetypeDemand!$I$6:$AH$50,,MATCH(Z$166,ArchetypeDemand!$I$4:$AH$4,0)),ArchetypeDemand!$F$6:$F$50,$F257)*'SHWLP-Att'!$R$24</f>
        <v>3.1281083354367245E-3</v>
      </c>
      <c r="AA257" s="1136">
        <f>SUMIFS(INDEX(ArchetypeDemand!$I$6:$AH$50,,MATCH(AA$166,ArchetypeDemand!$I$4:$AH$4,0)),ArchetypeDemand!$F$6:$F$50,$F257)*'SHWLP-Att'!$R$24</f>
        <v>1.2827774991082163E-2</v>
      </c>
      <c r="AB257" s="1136">
        <f>SUMIFS(INDEX(ArchetypeDemand!$I$6:$AH$50,,MATCH(AB$166,ArchetypeDemand!$I$4:$AH$4,0)),ArchetypeDemand!$F$6:$F$50,$F257)*'SHWLP-Att'!$R$24</f>
        <v>6.7675394523736962E-3</v>
      </c>
      <c r="AC257" s="1136">
        <f>SUMIFS(INDEX(ArchetypeDemand!$I$6:$AH$50,,MATCH(AC$166,ArchetypeDemand!$I$4:$AH$4,0)),ArchetypeDemand!$F$6:$F$50,$F257)*'SHWLP-Att'!$R$24</f>
        <v>8.5360250972115834E-3</v>
      </c>
      <c r="AD257" s="1136">
        <f>SUMIFS(INDEX(ArchetypeDemand!$I$6:$AH$50,,MATCH(AD$166,ArchetypeDemand!$I$4:$AH$4,0)),ArchetypeDemand!$F$6:$F$50,$F257)*'SHWLP-Att'!$R$24</f>
        <v>9.260054405771604E-3</v>
      </c>
      <c r="AE257" s="1136">
        <f>SUMIFS(INDEX(ArchetypeDemand!$I$6:$AH$50,,MATCH(AE$166,ArchetypeDemand!$I$4:$AH$4,0)),ArchetypeDemand!$F$6:$F$50,$F257)*'SHWLP-Att'!$R$24</f>
        <v>1.8885222484578506E-2</v>
      </c>
      <c r="AF257" s="1136">
        <f>SUMIFS(INDEX(ArchetypeDemand!$I$6:$AH$50,,MATCH(AF$166,ArchetypeDemand!$I$4:$AH$4,0)),ArchetypeDemand!$F$6:$F$50,$F257)*'SHWLP-Att'!$R$24</f>
        <v>6.1663354928800651E-3</v>
      </c>
    </row>
    <row r="258" spans="3:32">
      <c r="C258" s="1134" t="s">
        <v>1150</v>
      </c>
      <c r="D258" s="1134" t="s">
        <v>1094</v>
      </c>
      <c r="E258" s="1134" t="s">
        <v>1152</v>
      </c>
      <c r="F258" s="1134" t="s">
        <v>1098</v>
      </c>
      <c r="G258" s="1134">
        <f>SUMIFS(INDEX(ArchetypeDemand!$I$6:$AH$50,,MATCH($G$166,ArchetypeDemand!$I$4:$AH$4,0)),ArchetypeDemand!$F$6:$F$50,$F258)*'SHWLP-Att'!$R$24</f>
        <v>5.1107596371189412E-3</v>
      </c>
      <c r="H258" s="1134">
        <f>SUMIFS(INDEX(ArchetypeDemand!$I$6:$AH$50,,MATCH(H$166,ArchetypeDemand!$I$4:$AH$4,0)),ArchetypeDemand!$F$6:$F$50,$F258)*'SHWLP-Att'!$R$24</f>
        <v>0.17873767702207222</v>
      </c>
      <c r="I258" s="1134">
        <f>SUMIFS(INDEX(ArchetypeDemand!$I$6:$AH$50,,MATCH(I$166,ArchetypeDemand!$I$4:$AH$4,0)),ArchetypeDemand!$F$6:$F$50,$F258)*'SHWLP-Att'!$R$24</f>
        <v>1.967457657595964E-2</v>
      </c>
      <c r="J258" s="1134">
        <f>SUMIFS(INDEX(ArchetypeDemand!$I$6:$AH$50,,MATCH(J$166,ArchetypeDemand!$I$4:$AH$4,0)),ArchetypeDemand!$F$6:$F$50,$F258)*'SHWLP-Att'!$R$24</f>
        <v>7.2584352832029131E-3</v>
      </c>
      <c r="K258" s="1134">
        <f>SUMIFS(INDEX(ArchetypeDemand!$I$6:$AH$50,,MATCH(K$166,ArchetypeDemand!$I$4:$AH$4,0)),ArchetypeDemand!$F$6:$F$50,$F258)*'SHWLP-Att'!$R$24</f>
        <v>4.5931300031179087E-3</v>
      </c>
      <c r="L258" s="1134">
        <f>SUMIFS(INDEX(ArchetypeDemand!$I$6:$AH$50,,MATCH(L$166,ArchetypeDemand!$I$4:$AH$4,0)),ArchetypeDemand!$F$6:$F$50,$F258)*'SHWLP-Att'!$R$24</f>
        <v>2.9332570532498211E-3</v>
      </c>
      <c r="M258" s="1134">
        <f>SUMIFS(INDEX(ArchetypeDemand!$I$6:$AH$50,,MATCH(M$166,ArchetypeDemand!$I$4:$AH$4,0)),ArchetypeDemand!$F$6:$F$50,$F258)*'SHWLP-Att'!$R$24</f>
        <v>1.0488763979594886E-2</v>
      </c>
      <c r="N258" s="1134">
        <f>SUMIFS(INDEX(ArchetypeDemand!$I$6:$AH$50,,MATCH(N$166,ArchetypeDemand!$I$4:$AH$4,0)),ArchetypeDemand!$F$6:$F$50,$F258)*'SHWLP-Att'!$R$24</f>
        <v>8.2738611994248989E-3</v>
      </c>
      <c r="O258" s="1134">
        <f>SUMIFS(INDEX(ArchetypeDemand!$I$6:$AH$50,,MATCH(O$166,ArchetypeDemand!$I$4:$AH$4,0)),ArchetypeDemand!$F$6:$F$50,$F258)*'SHWLP-Att'!$R$24</f>
        <v>4.2745123541880255E-3</v>
      </c>
      <c r="P258" s="1134">
        <f>SUMIFS(INDEX(ArchetypeDemand!$I$6:$AH$50,,MATCH(P$166,ArchetypeDemand!$I$4:$AH$4,0)),ArchetypeDemand!$F$6:$F$50,$F258)*'SHWLP-Att'!$R$24</f>
        <v>6.9726031108001338E-3</v>
      </c>
      <c r="Q258" s="1134">
        <f>SUMIFS(INDEX(ArchetypeDemand!$I$6:$AH$50,,MATCH(Q$166,ArchetypeDemand!$I$4:$AH$4,0)),ArchetypeDemand!$F$6:$F$50,$F258)*'SHWLP-Att'!$R$24</f>
        <v>1.2361195870878498E-2</v>
      </c>
      <c r="R258" s="1134">
        <f>SUMIFS(INDEX(ArchetypeDemand!$I$6:$AH$50,,MATCH(R$166,ArchetypeDemand!$I$4:$AH$4,0)),ArchetypeDemand!$F$6:$F$50,$F258)*'SHWLP-Att'!$R$24</f>
        <v>1.1852182970475519E-2</v>
      </c>
      <c r="S258" s="1134">
        <f>SUMIFS(INDEX(ArchetypeDemand!$I$6:$AH$50,,MATCH(S$166,ArchetypeDemand!$I$4:$AH$4,0)),ArchetypeDemand!$F$6:$F$50,$F258)*'SHWLP-Att'!$R$24</f>
        <v>1.0903623563843289E-2</v>
      </c>
      <c r="T258" s="1134">
        <f>SUMIFS(INDEX(ArchetypeDemand!$I$6:$AH$50,,MATCH(T$166,ArchetypeDemand!$I$4:$AH$4,0)),ArchetypeDemand!$F$6:$F$50,$F258)*'SHWLP-Att'!$R$24</f>
        <v>4.2255490163106882E-2</v>
      </c>
      <c r="U258" s="1134">
        <f>SUMIFS(INDEX(ArchetypeDemand!$I$6:$AH$50,,MATCH(U$166,ArchetypeDemand!$I$4:$AH$4,0)),ArchetypeDemand!$F$6:$F$50,$F258)*'SHWLP-Att'!$R$24</f>
        <v>9.8509183512074834E-3</v>
      </c>
      <c r="V258" s="1134">
        <f>SUMIFS(INDEX(ArchetypeDemand!$I$6:$AH$50,,MATCH(V$166,ArchetypeDemand!$I$4:$AH$4,0)),ArchetypeDemand!$F$6:$F$50,$F258)*'SHWLP-Att'!$R$24</f>
        <v>1.9857104557388282E-2</v>
      </c>
      <c r="W258" s="1134">
        <f>SUMIFS(INDEX(ArchetypeDemand!$I$6:$AH$50,,MATCH(W$166,ArchetypeDemand!$I$4:$AH$4,0)),ArchetypeDemand!$F$6:$F$50,$F258)*'SHWLP-Att'!$R$24</f>
        <v>1.336774900392709E-2</v>
      </c>
      <c r="X258" s="1134">
        <f>SUMIFS(INDEX(ArchetypeDemand!$I$6:$AH$50,,MATCH(X$166,ArchetypeDemand!$I$4:$AH$4,0)),ArchetypeDemand!$F$6:$F$50,$F258)*'SHWLP-Att'!$R$24</f>
        <v>1.3638113259810495E-2</v>
      </c>
      <c r="Y258" s="1134">
        <f>SUMIFS(INDEX(ArchetypeDemand!$I$6:$AH$50,,MATCH(Y$166,ArchetypeDemand!$I$4:$AH$4,0)),ArchetypeDemand!$F$6:$F$50,$F258)*'SHWLP-Att'!$R$24</f>
        <v>1.6499362816328814E-2</v>
      </c>
      <c r="Z258" s="1134">
        <f>SUMIFS(INDEX(ArchetypeDemand!$I$6:$AH$50,,MATCH(Z$166,ArchetypeDemand!$I$4:$AH$4,0)),ArchetypeDemand!$F$6:$F$50,$F258)*'SHWLP-Att'!$R$24</f>
        <v>1.1502747709471101E-3</v>
      </c>
      <c r="AA258" s="1134">
        <f>SUMIFS(INDEX(ArchetypeDemand!$I$6:$AH$50,,MATCH(AA$166,ArchetypeDemand!$I$4:$AH$4,0)),ArchetypeDemand!$F$6:$F$50,$F258)*'SHWLP-Att'!$R$24</f>
        <v>7.7229661176505841E-3</v>
      </c>
      <c r="AB258" s="1134">
        <f>SUMIFS(INDEX(ArchetypeDemand!$I$6:$AH$50,,MATCH(AB$166,ArchetypeDemand!$I$4:$AH$4,0)),ArchetypeDemand!$F$6:$F$50,$F258)*'SHWLP-Att'!$R$24</f>
        <v>2.2841410238342236E-3</v>
      </c>
      <c r="AC258" s="1134">
        <f>SUMIFS(INDEX(ArchetypeDemand!$I$6:$AH$50,,MATCH(AC$166,ArchetypeDemand!$I$4:$AH$4,0)),ArchetypeDemand!$F$6:$F$50,$F258)*'SHWLP-Att'!$R$24</f>
        <v>5.1871917724962916E-3</v>
      </c>
      <c r="AD258" s="1134">
        <f>SUMIFS(INDEX(ArchetypeDemand!$I$6:$AH$50,,MATCH(AD$166,ArchetypeDemand!$I$4:$AH$4,0)),ArchetypeDemand!$F$6:$F$50,$F258)*'SHWLP-Att'!$R$24</f>
        <v>3.1742233351473559E-3</v>
      </c>
      <c r="AE258" s="1134">
        <f>SUMIFS(INDEX(ArchetypeDemand!$I$6:$AH$50,,MATCH(AE$166,ArchetypeDemand!$I$4:$AH$4,0)),ArchetypeDemand!$F$6:$F$50,$F258)*'SHWLP-Att'!$R$24</f>
        <v>8.5994478630471247E-3</v>
      </c>
      <c r="AF258" s="1134">
        <f>SUMIFS(INDEX(ArchetypeDemand!$I$6:$AH$50,,MATCH(AF$166,ArchetypeDemand!$I$4:$AH$4,0)),ArchetypeDemand!$F$6:$F$50,$F258)*'SHWLP-Att'!$R$24</f>
        <v>4.1360107942897918E-3</v>
      </c>
    </row>
    <row r="259" spans="3:32">
      <c r="C259" s="1136" t="s">
        <v>1150</v>
      </c>
      <c r="D259" s="1136" t="s">
        <v>1094</v>
      </c>
      <c r="E259" s="1136" t="s">
        <v>1152</v>
      </c>
      <c r="F259" s="1136" t="s">
        <v>1099</v>
      </c>
      <c r="G259" s="1136">
        <f>SUMIFS(INDEX(ArchetypeDemand!$I$6:$AH$50,,MATCH($G$166,ArchetypeDemand!$I$4:$AH$4,0)),ArchetypeDemand!$F$6:$F$50,$F259)*'SHWLP-Att'!$R$24</f>
        <v>1.812125300695913E-3</v>
      </c>
      <c r="H259" s="1136">
        <f>SUMIFS(INDEX(ArchetypeDemand!$I$6:$AH$50,,MATCH($H$166,ArchetypeDemand!$I$4:$AH$4,0)),ArchetypeDemand!$F$6:$F$50,$F259)*'SHWLP-Att'!$R$24</f>
        <v>9.2857073451032723E-2</v>
      </c>
      <c r="I259" s="1136">
        <f>SUMIFS(INDEX(ArchetypeDemand!$I$6:$AH$50,,MATCH(I$166,ArchetypeDemand!$I$4:$AH$4,0)),ArchetypeDemand!$F$6:$F$50,$F259)*'SHWLP-Att'!$R$24</f>
        <v>6.1357090619314145E-3</v>
      </c>
      <c r="J259" s="1136">
        <f>SUMIFS(INDEX(ArchetypeDemand!$I$6:$AH$50,,MATCH(J$166,ArchetypeDemand!$I$4:$AH$4,0)),ArchetypeDemand!$F$6:$F$50,$F259)*'SHWLP-Att'!$R$24</f>
        <v>3.3907670738221223E-3</v>
      </c>
      <c r="K259" s="1136">
        <f>SUMIFS(INDEX(ArchetypeDemand!$I$6:$AH$50,,MATCH(K$166,ArchetypeDemand!$I$4:$AH$4,0)),ArchetypeDemand!$F$6:$F$50,$F259)*'SHWLP-Att'!$R$24</f>
        <v>3.6016807378794679E-3</v>
      </c>
      <c r="L259" s="1136">
        <f>SUMIFS(INDEX(ArchetypeDemand!$I$6:$AH$50,,MATCH(L$166,ArchetypeDemand!$I$4:$AH$4,0)),ArchetypeDemand!$F$6:$F$50,$F259)*'SHWLP-Att'!$R$24</f>
        <v>1.2042220357308558E-3</v>
      </c>
      <c r="M259" s="1136">
        <f>SUMIFS(INDEX(ArchetypeDemand!$I$6:$AH$50,,MATCH(M$166,ArchetypeDemand!$I$4:$AH$4,0)),ArchetypeDemand!$F$6:$F$50,$F259)*'SHWLP-Att'!$R$24</f>
        <v>4.2169680115006344E-3</v>
      </c>
      <c r="N259" s="1136">
        <f>SUMIFS(INDEX(ArchetypeDemand!$I$6:$AH$50,,MATCH(N$166,ArchetypeDemand!$I$4:$AH$4,0)),ArchetypeDemand!$F$6:$F$50,$F259)*'SHWLP-Att'!$R$24</f>
        <v>2.8973723501662559E-3</v>
      </c>
      <c r="O259" s="1136">
        <f>SUMIFS(INDEX(ArchetypeDemand!$I$6:$AH$50,,MATCH(O$166,ArchetypeDemand!$I$4:$AH$4,0)),ArchetypeDemand!$F$6:$F$50,$F259)*'SHWLP-Att'!$R$24</f>
        <v>5.0394738926273141E-3</v>
      </c>
      <c r="P259" s="1136">
        <f>SUMIFS(INDEX(ArchetypeDemand!$I$6:$AH$50,,MATCH(P$166,ArchetypeDemand!$I$4:$AH$4,0)),ArchetypeDemand!$F$6:$F$50,$F259)*'SHWLP-Att'!$R$24</f>
        <v>3.4415780779025705E-3</v>
      </c>
      <c r="Q259" s="1136">
        <f>SUMIFS(INDEX(ArchetypeDemand!$I$6:$AH$50,,MATCH(Q$166,ArchetypeDemand!$I$4:$AH$4,0)),ArchetypeDemand!$F$6:$F$50,$F259)*'SHWLP-Att'!$R$24</f>
        <v>5.4077683024694465E-3</v>
      </c>
      <c r="R259" s="1136">
        <f>SUMIFS(INDEX(ArchetypeDemand!$I$6:$AH$50,,MATCH(R$166,ArchetypeDemand!$I$4:$AH$4,0)),ArchetypeDemand!$F$6:$F$50,$F259)*'SHWLP-Att'!$R$24</f>
        <v>6.3725053743434968E-3</v>
      </c>
      <c r="S259" s="1136">
        <f>SUMIFS(INDEX(ArchetypeDemand!$I$6:$AH$50,,MATCH(S$166,ArchetypeDemand!$I$4:$AH$4,0)),ArchetypeDemand!$F$6:$F$50,$F259)*'SHWLP-Att'!$R$24</f>
        <v>4.6946711936664944E-3</v>
      </c>
      <c r="T259" s="1136">
        <f>SUMIFS(INDEX(ArchetypeDemand!$I$6:$AH$50,,MATCH(T$166,ArchetypeDemand!$I$4:$AH$4,0)),ArchetypeDemand!$F$6:$F$50,$F259)*'SHWLP-Att'!$R$24</f>
        <v>2.0884538384553834E-2</v>
      </c>
      <c r="U259" s="1136">
        <f>SUMIFS(INDEX(ArchetypeDemand!$I$6:$AH$50,,MATCH(U$166,ArchetypeDemand!$I$4:$AH$4,0)),ArchetypeDemand!$F$6:$F$50,$F259)*'SHWLP-Att'!$R$24</f>
        <v>5.0262835863249715E-3</v>
      </c>
      <c r="V259" s="1136">
        <f>SUMIFS(INDEX(ArchetypeDemand!$I$6:$AH$50,,MATCH(V$166,ArchetypeDemand!$I$4:$AH$4,0)),ArchetypeDemand!$F$6:$F$50,$F259)*'SHWLP-Att'!$R$24</f>
        <v>8.3312015063256167E-3</v>
      </c>
      <c r="W259" s="1136">
        <f>SUMIFS(INDEX(ArchetypeDemand!$I$6:$AH$50,,MATCH(W$166,ArchetypeDemand!$I$4:$AH$4,0)),ArchetypeDemand!$F$6:$F$50,$F259)*'SHWLP-Att'!$R$24</f>
        <v>7.5234948756631725E-3</v>
      </c>
      <c r="X259" s="1136">
        <f>SUMIFS(INDEX(ArchetypeDemand!$I$6:$AH$50,,MATCH(X$166,ArchetypeDemand!$I$4:$AH$4,0)),ArchetypeDemand!$F$6:$F$50,$F259)*'SHWLP-Att'!$R$24</f>
        <v>5.1310855098873924E-3</v>
      </c>
      <c r="Y259" s="1136">
        <f>SUMIFS(INDEX(ArchetypeDemand!$I$6:$AH$50,,MATCH(Y$166,ArchetypeDemand!$I$4:$AH$4,0)),ArchetypeDemand!$F$6:$F$50,$F259)*'SHWLP-Att'!$R$24</f>
        <v>6.9822830466290788E-3</v>
      </c>
      <c r="Z259" s="1136">
        <f>SUMIFS(INDEX(ArchetypeDemand!$I$6:$AH$50,,MATCH(Z$166,ArchetypeDemand!$I$4:$AH$4,0)),ArchetypeDemand!$F$6:$F$50,$F259)*'SHWLP-Att'!$R$24</f>
        <v>7.2211693953901904E-4</v>
      </c>
      <c r="AA259" s="1136">
        <f>SUMIFS(INDEX(ArchetypeDemand!$I$6:$AH$50,,MATCH(AA$166,ArchetypeDemand!$I$4:$AH$4,0)),ArchetypeDemand!$F$6:$F$50,$F259)*'SHWLP-Att'!$R$24</f>
        <v>2.9608688469630463E-3</v>
      </c>
      <c r="AB259" s="1136">
        <f>SUMIFS(INDEX(ArchetypeDemand!$I$6:$AH$50,,MATCH(AB$166,ArchetypeDemand!$I$4:$AH$4,0)),ArchetypeDemand!$F$6:$F$50,$F259)*'SHWLP-Att'!$R$24</f>
        <v>1.5973553781543385E-3</v>
      </c>
      <c r="AC259" s="1136">
        <f>SUMIFS(INDEX(ArchetypeDemand!$I$6:$AH$50,,MATCH(AC$166,ArchetypeDemand!$I$4:$AH$4,0)),ArchetypeDemand!$F$6:$F$50,$F259)*'SHWLP-Att'!$R$24</f>
        <v>2.8035887349926697E-3</v>
      </c>
      <c r="AD259" s="1136">
        <f>SUMIFS(INDEX(ArchetypeDemand!$I$6:$AH$50,,MATCH(AD$166,ArchetypeDemand!$I$4:$AH$4,0)),ArchetypeDemand!$F$6:$F$50,$F259)*'SHWLP-Att'!$R$24</f>
        <v>1.6784562239807964E-3</v>
      </c>
      <c r="AE259" s="1136">
        <f>SUMIFS(INDEX(ArchetypeDemand!$I$6:$AH$50,,MATCH(AE$166,ArchetypeDemand!$I$4:$AH$4,0)),ArchetypeDemand!$F$6:$F$50,$F259)*'SHWLP-Att'!$R$24</f>
        <v>3.8351654677178282E-3</v>
      </c>
      <c r="AF259" s="1136">
        <f>SUMIFS(INDEX(ArchetypeDemand!$I$6:$AH$50,,MATCH(AF$166,ArchetypeDemand!$I$4:$AH$4,0)),ArchetypeDemand!$F$6:$F$50,$F259)*'SHWLP-Att'!$R$24</f>
        <v>1.6269195728878386E-3</v>
      </c>
    </row>
    <row r="260" spans="3:32">
      <c r="C260" s="1134" t="s">
        <v>1150</v>
      </c>
      <c r="D260" s="1134" t="s">
        <v>1094</v>
      </c>
      <c r="E260" s="1134" t="s">
        <v>1152</v>
      </c>
      <c r="F260" s="1134" t="s">
        <v>1100</v>
      </c>
      <c r="G260" s="1134">
        <f>SUMIFS(INDEX(ArchetypeDemand!$I$6:$AH$50,,MATCH($G$166,ArchetypeDemand!$I$4:$AH$4,0)),ArchetypeDemand!$F$6:$F$50,$F260)*'SHWLP-Att'!$R$24</f>
        <v>9.1314126480379978E-4</v>
      </c>
      <c r="H260" s="1134">
        <f>SUMIFS(INDEX(ArchetypeDemand!$I$6:$AH$50,,MATCH($H$166,ArchetypeDemand!$I$4:$AH$4,0)),ArchetypeDemand!$F$6:$F$50,$F260)*'SHWLP-Att'!$R$24</f>
        <v>4.2984391000374718E-2</v>
      </c>
      <c r="I260" s="1134">
        <f>SUMIFS(INDEX(ArchetypeDemand!$I$6:$AH$50,,MATCH(I$166,ArchetypeDemand!$I$4:$AH$4,0)),ArchetypeDemand!$F$6:$F$50,$F260)*'SHWLP-Att'!$R$24</f>
        <v>2.1676519605655508E-3</v>
      </c>
      <c r="J260" s="1134">
        <f>SUMIFS(INDEX(ArchetypeDemand!$I$6:$AH$50,,MATCH(J$166,ArchetypeDemand!$I$4:$AH$4,0)),ArchetypeDemand!$F$6:$F$50,$F260)*'SHWLP-Att'!$R$24</f>
        <v>1.5451596792100811E-3</v>
      </c>
      <c r="K260" s="1134">
        <f>SUMIFS(INDEX(ArchetypeDemand!$I$6:$AH$50,,MATCH(K$166,ArchetypeDemand!$I$4:$AH$4,0)),ArchetypeDemand!$F$6:$F$50,$F260)*'SHWLP-Att'!$R$24</f>
        <v>1.6231691510540844E-3</v>
      </c>
      <c r="L260" s="1134">
        <f>SUMIFS(INDEX(ArchetypeDemand!$I$6:$AH$50,,MATCH(L$166,ArchetypeDemand!$I$4:$AH$4,0)),ArchetypeDemand!$F$6:$F$50,$F260)*'SHWLP-Att'!$R$24</f>
        <v>5.6956447635918847E-4</v>
      </c>
      <c r="M260" s="1134">
        <f>SUMIFS(INDEX(ArchetypeDemand!$I$6:$AH$50,,MATCH(M$166,ArchetypeDemand!$I$4:$AH$4,0)),ArchetypeDemand!$F$6:$F$50,$F260)*'SHWLP-Att'!$R$24</f>
        <v>1.8998215923631508E-3</v>
      </c>
      <c r="N260" s="1134">
        <f>SUMIFS(INDEX(ArchetypeDemand!$I$6:$AH$50,,MATCH(N$166,ArchetypeDemand!$I$4:$AH$4,0)),ArchetypeDemand!$F$6:$F$50,$F260)*'SHWLP-Att'!$R$24</f>
        <v>1.4220698936511546E-3</v>
      </c>
      <c r="O260" s="1134">
        <f>SUMIFS(INDEX(ArchetypeDemand!$I$6:$AH$50,,MATCH(O$166,ArchetypeDemand!$I$4:$AH$4,0)),ArchetypeDemand!$F$6:$F$50,$F260)*'SHWLP-Att'!$R$24</f>
        <v>2.4339685313977369E-3</v>
      </c>
      <c r="P260" s="1134">
        <f>SUMIFS(INDEX(ArchetypeDemand!$I$6:$AH$50,,MATCH(P$166,ArchetypeDemand!$I$4:$AH$4,0)),ArchetypeDemand!$F$6:$F$50,$F260)*'SHWLP-Att'!$R$24</f>
        <v>1.5546732653891563E-3</v>
      </c>
      <c r="Q260" s="1134">
        <f>SUMIFS(INDEX(ArchetypeDemand!$I$6:$AH$50,,MATCH(Q$166,ArchetypeDemand!$I$4:$AH$4,0)),ArchetypeDemand!$F$6:$F$50,$F260)*'SHWLP-Att'!$R$24</f>
        <v>2.2063368413544268E-3</v>
      </c>
      <c r="R260" s="1134">
        <f>SUMIFS(INDEX(ArchetypeDemand!$I$6:$AH$50,,MATCH(R$166,ArchetypeDemand!$I$4:$AH$4,0)),ArchetypeDemand!$F$6:$F$50,$F260)*'SHWLP-Att'!$R$24</f>
        <v>2.564235230313518E-3</v>
      </c>
      <c r="S260" s="1134">
        <f>SUMIFS(INDEX(ArchetypeDemand!$I$6:$AH$50,,MATCH(S$166,ArchetypeDemand!$I$4:$AH$4,0)),ArchetypeDemand!$F$6:$F$50,$F260)*'SHWLP-Att'!$R$24</f>
        <v>1.7500136024050422E-3</v>
      </c>
      <c r="T260" s="1134">
        <f>SUMIFS(INDEX(ArchetypeDemand!$I$6:$AH$50,,MATCH(T$166,ArchetypeDemand!$I$4:$AH$4,0)),ArchetypeDemand!$F$6:$F$50,$F260)*'SHWLP-Att'!$R$24</f>
        <v>9.1972294039669774E-3</v>
      </c>
      <c r="U260" s="1134">
        <f>SUMIFS(INDEX(ArchetypeDemand!$I$6:$AH$50,,MATCH(U$166,ArchetypeDemand!$I$4:$AH$4,0)),ArchetypeDemand!$F$6:$F$50,$F260)*'SHWLP-Att'!$R$24</f>
        <v>1.9268665160057095E-3</v>
      </c>
      <c r="V260" s="1134">
        <f>SUMIFS(INDEX(ArchetypeDemand!$I$6:$AH$50,,MATCH(V$166,ArchetypeDemand!$I$4:$AH$4,0)),ArchetypeDemand!$F$6:$F$50,$F260)*'SHWLP-Att'!$R$24</f>
        <v>3.4364191899882743E-3</v>
      </c>
      <c r="W260" s="1134">
        <f>SUMIFS(INDEX(ArchetypeDemand!$I$6:$AH$50,,MATCH(W$166,ArchetypeDemand!$I$4:$AH$4,0)),ArchetypeDemand!$F$6:$F$50,$F260)*'SHWLP-Att'!$R$24</f>
        <v>3.6314615177747474E-3</v>
      </c>
      <c r="X260" s="1134">
        <f>SUMIFS(INDEX(ArchetypeDemand!$I$6:$AH$50,,MATCH(X$166,ArchetypeDemand!$I$4:$AH$4,0)),ArchetypeDemand!$F$6:$F$50,$F260)*'SHWLP-Att'!$R$24</f>
        <v>2.266518346006002E-3</v>
      </c>
      <c r="Y260" s="1134">
        <f>SUMIFS(INDEX(ArchetypeDemand!$I$6:$AH$50,,MATCH(Y$166,ArchetypeDemand!$I$4:$AH$4,0)),ArchetypeDemand!$F$6:$F$50,$F260)*'SHWLP-Att'!$R$24</f>
        <v>3.1569038456535463E-3</v>
      </c>
      <c r="Z260" s="1134">
        <f>SUMIFS(INDEX(ArchetypeDemand!$I$6:$AH$50,,MATCH(Z$166,ArchetypeDemand!$I$4:$AH$4,0)),ArchetypeDemand!$F$6:$F$50,$F260)*'SHWLP-Att'!$R$24</f>
        <v>5.3679489310865143E-4</v>
      </c>
      <c r="AA260" s="1134">
        <f>SUMIFS(INDEX(ArchetypeDemand!$I$6:$AH$50,,MATCH(AA$166,ArchetypeDemand!$I$4:$AH$4,0)),ArchetypeDemand!$F$6:$F$50,$F260)*'SHWLP-Att'!$R$24</f>
        <v>1.5661123241675335E-3</v>
      </c>
      <c r="AB260" s="1134">
        <f>SUMIFS(INDEX(ArchetypeDemand!$I$6:$AH$50,,MATCH(AB$166,ArchetypeDemand!$I$4:$AH$4,0)),ArchetypeDemand!$F$6:$F$50,$F260)*'SHWLP-Att'!$R$24</f>
        <v>8.4497784496570093E-4</v>
      </c>
      <c r="AC260" s="1134">
        <f>SUMIFS(INDEX(ArchetypeDemand!$I$6:$AH$50,,MATCH(AC$166,ArchetypeDemand!$I$4:$AH$4,0)),ArchetypeDemand!$F$6:$F$50,$F260)*'SHWLP-Att'!$R$24</f>
        <v>1.1715390508904978E-3</v>
      </c>
      <c r="AD260" s="1134">
        <f>SUMIFS(INDEX(ArchetypeDemand!$I$6:$AH$50,,MATCH(AD$166,ArchetypeDemand!$I$4:$AH$4,0)),ArchetypeDemand!$F$6:$F$50,$F260)*'SHWLP-Att'!$R$24</f>
        <v>7.5359259035872477E-4</v>
      </c>
      <c r="AE260" s="1134">
        <f>SUMIFS(INDEX(ArchetypeDemand!$I$6:$AH$50,,MATCH(AE$166,ArchetypeDemand!$I$4:$AH$4,0)),ArchetypeDemand!$F$6:$F$50,$F260)*'SHWLP-Att'!$R$24</f>
        <v>1.7313500457253376E-3</v>
      </c>
      <c r="AF260" s="1134">
        <f>SUMIFS(INDEX(ArchetypeDemand!$I$6:$AH$50,,MATCH(AF$166,ArchetypeDemand!$I$4:$AH$4,0)),ArchetypeDemand!$F$6:$F$50,$F260)*'SHWLP-Att'!$R$24</f>
        <v>7.2258280757688757E-4</v>
      </c>
    </row>
    <row r="261" spans="3:32" ht="13.5" thickBot="1">
      <c r="C261" s="1138" t="s">
        <v>1150</v>
      </c>
      <c r="D261" s="1138" t="s">
        <v>1094</v>
      </c>
      <c r="E261" s="1138" t="s">
        <v>1152</v>
      </c>
      <c r="F261" s="1138" t="s">
        <v>1101</v>
      </c>
      <c r="G261" s="1138">
        <f>SUMIFS(INDEX(ArchetypeDemand!$I$6:$AH$50,,MATCH($G$166,ArchetypeDemand!$I$4:$AH$4,0)),ArchetypeDemand!$F$6:$F$50,$F261)*'SHWLP-Att'!$R$24</f>
        <v>8.5651234915705258E-4</v>
      </c>
      <c r="H261" s="1138">
        <f>SUMIFS(INDEX(ArchetypeDemand!$I$6:$AH$50,,MATCH($H$166,ArchetypeDemand!$I$4:$AH$4,0)),ArchetypeDemand!$F$6:$F$50,$F261)*'SHWLP-Att'!$R$24</f>
        <v>3.6459187201838286E-2</v>
      </c>
      <c r="I261" s="1138">
        <f>SUMIFS(INDEX(ArchetypeDemand!$I$6:$AH$50,,MATCH(I$166,ArchetypeDemand!$I$4:$AH$4,0)),ArchetypeDemand!$F$6:$F$50,$F261)*'SHWLP-Att'!$R$24</f>
        <v>2.3378395111884661E-3</v>
      </c>
      <c r="J261" s="1138">
        <f>SUMIFS(INDEX(ArchetypeDemand!$I$6:$AH$50,,MATCH(J$166,ArchetypeDemand!$I$4:$AH$4,0)),ArchetypeDemand!$F$6:$F$50,$F261)*'SHWLP-Att'!$R$24</f>
        <v>1.6310018836106412E-3</v>
      </c>
      <c r="K261" s="1138">
        <f>SUMIFS(INDEX(ArchetypeDemand!$I$6:$AH$50,,MATCH(K$166,ArchetypeDemand!$I$4:$AH$4,0)),ArchetypeDemand!$F$6:$F$50,$F261)*'SHWLP-Att'!$R$24</f>
        <v>1.811807728068478E-3</v>
      </c>
      <c r="L261" s="1138">
        <f>SUMIFS(INDEX(ArchetypeDemand!$I$6:$AH$50,,MATCH(L$166,ArchetypeDemand!$I$4:$AH$4,0)),ArchetypeDemand!$F$6:$F$50,$F261)*'SHWLP-Att'!$R$24</f>
        <v>5.2074466409982956E-4</v>
      </c>
      <c r="M261" s="1138">
        <f>SUMIFS(INDEX(ArchetypeDemand!$I$6:$AH$50,,MATCH(M$166,ArchetypeDemand!$I$4:$AH$4,0)),ArchetypeDemand!$F$6:$F$50,$F261)*'SHWLP-Att'!$R$24</f>
        <v>2.7940890783081491E-3</v>
      </c>
      <c r="N261" s="1138">
        <f>SUMIFS(INDEX(ArchetypeDemand!$I$6:$AH$50,,MATCH(N$166,ArchetypeDemand!$I$4:$AH$4,0)),ArchetypeDemand!$F$6:$F$50,$F261)*'SHWLP-Att'!$R$24</f>
        <v>1.3422210493552341E-3</v>
      </c>
      <c r="O261" s="1138">
        <f>SUMIFS(INDEX(ArchetypeDemand!$I$6:$AH$50,,MATCH(O$166,ArchetypeDemand!$I$4:$AH$4,0)),ArchetypeDemand!$F$6:$F$50,$F261)*'SHWLP-Att'!$R$24</f>
        <v>2.3505181817498146E-3</v>
      </c>
      <c r="P261" s="1138">
        <f>SUMIFS(INDEX(ArchetypeDemand!$I$6:$AH$50,,MATCH(P$166,ArchetypeDemand!$I$4:$AH$4,0)),ArchetypeDemand!$F$6:$F$50,$F261)*'SHWLP-Att'!$R$24</f>
        <v>2.1765425715448189E-3</v>
      </c>
      <c r="Q261" s="1138">
        <f>SUMIFS(INDEX(ArchetypeDemand!$I$6:$AH$50,,MATCH(Q$166,ArchetypeDemand!$I$4:$AH$4,0)),ArchetypeDemand!$F$6:$F$50,$F261)*'SHWLP-Att'!$R$24</f>
        <v>2.618240761829098E-3</v>
      </c>
      <c r="R261" s="1138">
        <f>SUMIFS(INDEX(ArchetypeDemand!$I$6:$AH$50,,MATCH(R$166,ArchetypeDemand!$I$4:$AH$4,0)),ArchetypeDemand!$F$6:$F$50,$F261)*'SHWLP-Att'!$R$24</f>
        <v>2.8054256727687503E-3</v>
      </c>
      <c r="S261" s="1138">
        <f>SUMIFS(INDEX(ArchetypeDemand!$I$6:$AH$50,,MATCH(S$166,ArchetypeDemand!$I$4:$AH$4,0)),ArchetypeDemand!$F$6:$F$50,$F261)*'SHWLP-Att'!$R$24</f>
        <v>1.7220453484853269E-3</v>
      </c>
      <c r="T261" s="1138">
        <f>SUMIFS(INDEX(ArchetypeDemand!$I$6:$AH$50,,MATCH(T$166,ArchetypeDemand!$I$4:$AH$4,0)),ArchetypeDemand!$F$6:$F$50,$F261)*'SHWLP-Att'!$R$24</f>
        <v>1.1009007733909041E-2</v>
      </c>
      <c r="U261" s="1138">
        <f>SUMIFS(INDEX(ArchetypeDemand!$I$6:$AH$50,,MATCH(U$166,ArchetypeDemand!$I$4:$AH$4,0)),ArchetypeDemand!$F$6:$F$50,$F261)*'SHWLP-Att'!$R$24</f>
        <v>2.1583892369211244E-3</v>
      </c>
      <c r="V261" s="1138">
        <f>SUMIFS(INDEX(ArchetypeDemand!$I$6:$AH$50,,MATCH(V$166,ArchetypeDemand!$I$4:$AH$4,0)),ArchetypeDemand!$F$6:$F$50,$F261)*'SHWLP-Att'!$R$24</f>
        <v>3.6700795803977933E-3</v>
      </c>
      <c r="W261" s="1138">
        <f>SUMIFS(INDEX(ArchetypeDemand!$I$6:$AH$50,,MATCH(W$166,ArchetypeDemand!$I$4:$AH$4,0)),ArchetypeDemand!$F$6:$F$50,$F261)*'SHWLP-Att'!$R$24</f>
        <v>4.5207146229246003E-3</v>
      </c>
      <c r="X261" s="1138">
        <f>SUMIFS(INDEX(ArchetypeDemand!$I$6:$AH$50,,MATCH(X$166,ArchetypeDemand!$I$4:$AH$4,0)),ArchetypeDemand!$F$6:$F$50,$F261)*'SHWLP-Att'!$R$24</f>
        <v>2.5655427549436962E-3</v>
      </c>
      <c r="Y261" s="1138">
        <f>SUMIFS(INDEX(ArchetypeDemand!$I$6:$AH$50,,MATCH(Y$166,ArchetypeDemand!$I$4:$AH$4,0)),ArchetypeDemand!$F$6:$F$50,$F261)*'SHWLP-Att'!$R$24</f>
        <v>3.0448472832007275E-3</v>
      </c>
      <c r="Z261" s="1138">
        <f>SUMIFS(INDEX(ArchetypeDemand!$I$6:$AH$50,,MATCH(Z$166,ArchetypeDemand!$I$4:$AH$4,0)),ArchetypeDemand!$F$6:$F$50,$F261)*'SHWLP-Att'!$R$24</f>
        <v>5.0803802383497364E-4</v>
      </c>
      <c r="AA261" s="1138">
        <f>SUMIFS(INDEX(ArchetypeDemand!$I$6:$AH$50,,MATCH(AA$166,ArchetypeDemand!$I$4:$AH$4,0)),ArchetypeDemand!$F$6:$F$50,$F261)*'SHWLP-Att'!$R$24</f>
        <v>2.2276254178362621E-3</v>
      </c>
      <c r="AB261" s="1138">
        <f>SUMIFS(INDEX(ArchetypeDemand!$I$6:$AH$50,,MATCH(AB$166,ArchetypeDemand!$I$4:$AH$4,0)),ArchetypeDemand!$F$6:$F$50,$F261)*'SHWLP-Att'!$R$24</f>
        <v>8.1796942069739087E-4</v>
      </c>
      <c r="AC261" s="1138">
        <f>SUMIFS(INDEX(ArchetypeDemand!$I$6:$AH$50,,MATCH(AC$166,ArchetypeDemand!$I$4:$AH$4,0)),ArchetypeDemand!$F$6:$F$50,$F261)*'SHWLP-Att'!$R$24</f>
        <v>1.4220568353576484E-3</v>
      </c>
      <c r="AD261" s="1138">
        <f>SUMIFS(INDEX(ArchetypeDemand!$I$6:$AH$50,,MATCH(AD$166,ArchetypeDemand!$I$4:$AH$4,0)),ArchetypeDemand!$F$6:$F$50,$F261)*'SHWLP-Att'!$R$24</f>
        <v>1.0238202363964494E-3</v>
      </c>
      <c r="AE261" s="1138">
        <f>SUMIFS(INDEX(ArchetypeDemand!$I$6:$AH$50,,MATCH(AE$166,ArchetypeDemand!$I$4:$AH$4,0)),ArchetypeDemand!$F$6:$F$50,$F261)*'SHWLP-Att'!$R$24</f>
        <v>2.1856759442490077E-3</v>
      </c>
      <c r="AF261" s="1138">
        <f>SUMIFS(INDEX(ArchetypeDemand!$I$6:$AH$50,,MATCH(AF$166,ArchetypeDemand!$I$4:$AH$4,0)),ArchetypeDemand!$F$6:$F$50,$F261)*'SHWLP-Att'!$R$24</f>
        <v>7.7134606452992905E-4</v>
      </c>
    </row>
    <row r="262" spans="3:32" ht="13.5" thickBot="1">
      <c r="C262" s="1141" t="s">
        <v>1151</v>
      </c>
      <c r="D262" s="1141" t="s">
        <v>1094</v>
      </c>
      <c r="E262" s="1141" t="s">
        <v>1152</v>
      </c>
      <c r="F262" s="1141" t="s">
        <v>930</v>
      </c>
      <c r="G262" s="1129">
        <f>SUM(ArchetypeDemand!I6:I46)*'SHWLP-Att'!$R$50</f>
        <v>2.2234394403226294E-2</v>
      </c>
      <c r="H262" s="1142">
        <f>SUM(ArchetypeDemand!J6:J46)*'SHWLP-Att'!$R$50</f>
        <v>0.73907745547544978</v>
      </c>
      <c r="I262" s="1142">
        <f>SUM(ArchetypeDemand!K6:K46)*'SHWLP-Att'!$R$50</f>
        <v>9.405329045341243E-2</v>
      </c>
      <c r="J262" s="1142">
        <f>SUM(ArchetypeDemand!L6:L46)*'SHWLP-Att'!$R$50</f>
        <v>3.0842433600192252E-2</v>
      </c>
      <c r="K262" s="1142">
        <f>SUM(ArchetypeDemand!M6:M46)*'SHWLP-Att'!$R$50</f>
        <v>2.8381986454414698E-2</v>
      </c>
      <c r="L262" s="1142">
        <f>SUM(ArchetypeDemand!N6:N46)*'SHWLP-Att'!$R$50</f>
        <v>1.1703035466032886E-2</v>
      </c>
      <c r="M262" s="1142">
        <f>SUM(ArchetypeDemand!O6:O46)*'SHWLP-Att'!$R$50</f>
        <v>5.9891435606855975E-2</v>
      </c>
      <c r="N262" s="1142">
        <f>SUM(ArchetypeDemand!P6:P46)*'SHWLP-Att'!$R$50</f>
        <v>6.6829590230618852E-2</v>
      </c>
      <c r="O262" s="1142">
        <f>SUM(ArchetypeDemand!Q6:Q46)*'SHWLP-Att'!$R$50</f>
        <v>2.5247241665630693E-2</v>
      </c>
      <c r="P262" s="1142">
        <f>SUM(ArchetypeDemand!R6:R46)*'SHWLP-Att'!$R$50</f>
        <v>3.0240194404842061E-2</v>
      </c>
      <c r="Q262" s="1142">
        <f>SUM(ArchetypeDemand!S6:S46)*'SHWLP-Att'!$R$50</f>
        <v>4.5333672593513431E-2</v>
      </c>
      <c r="R262" s="1142">
        <f>SUM(ArchetypeDemand!T6:T46)*'SHWLP-Att'!$R$50</f>
        <v>5.712439185314367E-2</v>
      </c>
      <c r="S262" s="1142">
        <f>SUM(ArchetypeDemand!U6:U46)*'SHWLP-Att'!$R$50</f>
        <v>3.7279339017692835E-2</v>
      </c>
      <c r="T262" s="1142">
        <f>SUM(ArchetypeDemand!V6:V46)*'SHWLP-Att'!$R$50</f>
        <v>0.2254833290721491</v>
      </c>
      <c r="U262" s="1142">
        <f>SUM(ArchetypeDemand!W6:W46)*'SHWLP-Att'!$R$50</f>
        <v>3.8679157587497001E-2</v>
      </c>
      <c r="V262" s="1142">
        <f>SUM(ArchetypeDemand!X6:X46)*'SHWLP-Att'!$R$50</f>
        <v>7.8153637140833676E-2</v>
      </c>
      <c r="W262" s="1142">
        <f>SUM(ArchetypeDemand!Y6:Y46)*'SHWLP-Att'!$R$50</f>
        <v>5.4133198828314688E-2</v>
      </c>
      <c r="X262" s="1142">
        <f>SUM(ArchetypeDemand!Z6:Z46)*'SHWLP-Att'!$R$50</f>
        <v>5.3677025254675839E-2</v>
      </c>
      <c r="Y262" s="1142">
        <f>SUM(ArchetypeDemand!AA6:AA46)*'SHWLP-Att'!$R$50</f>
        <v>6.8028158194477842E-2</v>
      </c>
      <c r="Z262" s="1142">
        <f>SUM(ArchetypeDemand!AB6:AB46)*'SHWLP-Att'!$R$50</f>
        <v>6.7506232473772947E-3</v>
      </c>
      <c r="AA262" s="1142">
        <f>SUM(ArchetypeDemand!AC6:AC46)*'SHWLP-Att'!$R$50</f>
        <v>3.0870196323607355E-2</v>
      </c>
      <c r="AB262" s="1142">
        <f>SUM(ArchetypeDemand!AD6:AD46)*'SHWLP-Att'!$R$50</f>
        <v>1.32466259330249E-2</v>
      </c>
      <c r="AC262" s="1142">
        <f>SUM(ArchetypeDemand!AE6:AE46)*'SHWLP-Att'!$R$50</f>
        <v>2.1919260729123355E-2</v>
      </c>
      <c r="AD262" s="1142">
        <f>SUM(ArchetypeDemand!AF6:AF46)*'SHWLP-Att'!$R$50</f>
        <v>1.9003079614456617E-2</v>
      </c>
      <c r="AE262" s="1142">
        <f>SUM(ArchetypeDemand!AG6:AG46)*'SHWLP-Att'!$R$50</f>
        <v>3.9159685770121085E-2</v>
      </c>
      <c r="AF262" s="1142">
        <f>SUM(ArchetypeDemand!AH6:AH46)*'SHWLP-Att'!$R$50</f>
        <v>1.6320970020648785E-2</v>
      </c>
    </row>
    <row r="263" spans="3:32" ht="15.75" thickBot="1">
      <c r="C263" s="1137" t="s">
        <v>1130</v>
      </c>
      <c r="D263" s="1137"/>
      <c r="E263" s="1137"/>
      <c r="F263" s="1137"/>
      <c r="G263" s="1137"/>
      <c r="H263" s="1137"/>
      <c r="I263" s="1137"/>
      <c r="J263" s="1137"/>
      <c r="K263" s="1137"/>
      <c r="L263" s="1137"/>
      <c r="M263" s="1137"/>
      <c r="N263" s="1137"/>
      <c r="O263" s="1137"/>
      <c r="P263" s="1137"/>
      <c r="Q263" s="1137"/>
      <c r="R263" s="1137"/>
      <c r="S263" s="1137"/>
      <c r="T263" s="1137"/>
      <c r="U263" s="1137"/>
      <c r="V263" s="1137"/>
      <c r="W263" s="1137"/>
      <c r="X263" s="1137"/>
      <c r="Y263" s="1137"/>
      <c r="Z263" s="1137"/>
      <c r="AA263" s="1137"/>
      <c r="AB263" s="1137"/>
      <c r="AC263" s="1137"/>
      <c r="AD263" s="1137"/>
      <c r="AE263" s="1137"/>
      <c r="AF263" s="1137"/>
    </row>
    <row r="264" spans="3:32" ht="13.5" thickBot="1">
      <c r="C264" s="1141" t="s">
        <v>1153</v>
      </c>
      <c r="D264" s="1141" t="s">
        <v>1094</v>
      </c>
      <c r="E264" s="1141" t="s">
        <v>836</v>
      </c>
      <c r="F264" s="1141" t="s">
        <v>930</v>
      </c>
      <c r="G264" s="1129">
        <f>SUM(ArchetypeDemand!I6:I46)*'SHWLP-Att'!$R$51</f>
        <v>9.017369625553881E-2</v>
      </c>
      <c r="H264" s="1142">
        <f>SUM(ArchetypeDemand!J6:J46)*'SHWLP-Att'!$R$51</f>
        <v>2.9973987494657934</v>
      </c>
      <c r="I264" s="1142">
        <f>SUM(ArchetypeDemand!K6:K46)*'SHWLP-Att'!$R$51</f>
        <v>0.38144204386107938</v>
      </c>
      <c r="J264" s="1142">
        <f>SUM(ArchetypeDemand!L6:L46)*'SHWLP-Att'!$R$51</f>
        <v>0.12508441600918088</v>
      </c>
      <c r="K264" s="1142">
        <f>SUM(ArchetypeDemand!M6:M46)*'SHWLP-Att'!$R$51</f>
        <v>0.11510583914522281</v>
      </c>
      <c r="L264" s="1142">
        <f>SUM(ArchetypeDemand!N6:N46)*'SHWLP-Att'!$R$51</f>
        <v>4.746277079751355E-2</v>
      </c>
      <c r="M264" s="1142">
        <f>SUM(ArchetypeDemand!O6:O46)*'SHWLP-Att'!$R$51</f>
        <v>0.24289540001760251</v>
      </c>
      <c r="N264" s="1142">
        <f>SUM(ArchetypeDemand!P6:P46)*'SHWLP-Att'!$R$51</f>
        <v>0.27103374443441169</v>
      </c>
      <c r="O264" s="1142">
        <f>SUM(ArchetypeDemand!Q6:Q46)*'SHWLP-Att'!$R$51</f>
        <v>0.10239258420802401</v>
      </c>
      <c r="P264" s="1142">
        <f>SUM(ArchetypeDemand!R6:R46)*'SHWLP-Att'!$R$51</f>
        <v>0.12264197780781443</v>
      </c>
      <c r="Q264" s="1142">
        <f>SUM(ArchetypeDemand!S6:S46)*'SHWLP-Att'!$R$51</f>
        <v>0.1838550107756636</v>
      </c>
      <c r="R264" s="1142">
        <f>SUM(ArchetypeDemand!T6:T46)*'SHWLP-Att'!$R$51</f>
        <v>0.23167339151815655</v>
      </c>
      <c r="S264" s="1142">
        <f>SUM(ArchetypeDemand!U6:U46)*'SHWLP-Att'!$R$51</f>
        <v>0.15118989670799882</v>
      </c>
      <c r="T264" s="1142">
        <f>SUM(ArchetypeDemand!V6:V46)*'SHWLP-Att'!$R$51</f>
        <v>0.9144690364712309</v>
      </c>
      <c r="U264" s="1142">
        <f>SUM(ArchetypeDemand!W6:W46)*'SHWLP-Att'!$R$51</f>
        <v>0.15686699374231552</v>
      </c>
      <c r="V264" s="1142">
        <f>SUM(ArchetypeDemand!X6:X46)*'SHWLP-Att'!$R$51</f>
        <v>0.31695949118274741</v>
      </c>
      <c r="W264" s="1142">
        <f>SUM(ArchetypeDemand!Y6:Y46)*'SHWLP-Att'!$R$51</f>
        <v>0.21954232438086241</v>
      </c>
      <c r="X264" s="1142">
        <f>SUM(ArchetypeDemand!Z6:Z46)*'SHWLP-Att'!$R$51</f>
        <v>0.21769226916806361</v>
      </c>
      <c r="Y264" s="1142">
        <f>SUM(ArchetypeDemand!AA6:AA46)*'SHWLP-Att'!$R$51</f>
        <v>0.27589465054026707</v>
      </c>
      <c r="Z264" s="1142">
        <f>SUM(ArchetypeDemand!AB6:AB46)*'SHWLP-Att'!$R$51</f>
        <v>2.7377793125602307E-2</v>
      </c>
      <c r="AA264" s="1142">
        <f>SUM(ArchetypeDemand!AC6:AC46)*'SHWLP-Att'!$R$51</f>
        <v>0.12519701036831021</v>
      </c>
      <c r="AB264" s="1142">
        <f>SUM(ArchetypeDemand!AD6:AD46)*'SHWLP-Att'!$R$51</f>
        <v>5.3722948402948403E-2</v>
      </c>
      <c r="AC264" s="1142">
        <f>SUM(ArchetypeDemand!AE6:AE46)*'SHWLP-Att'!$R$51</f>
        <v>8.8895641738149886E-2</v>
      </c>
      <c r="AD264" s="1142">
        <f>SUM(ArchetypeDemand!AF6:AF46)*'SHWLP-Att'!$R$51</f>
        <v>7.7068792520168045E-2</v>
      </c>
      <c r="AE264" s="1142">
        <f>SUM(ArchetypeDemand!AG6:AG46)*'SHWLP-Att'!$R$51</f>
        <v>0.15881582138278783</v>
      </c>
      <c r="AF264" s="1142">
        <f>SUM(ArchetypeDemand!AH6:AH46)*'SHWLP-Att'!$R$51</f>
        <v>6.6191242565355704E-2</v>
      </c>
    </row>
  </sheetData>
  <mergeCells count="3">
    <mergeCell ref="C165:H165"/>
    <mergeCell ref="C121:D123"/>
    <mergeCell ref="C124:D126"/>
  </mergeCells>
  <phoneticPr fontId="102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53" zoomScale="50" zoomScaleNormal="50" workbookViewId="0">
      <selection activeCell="AK124" sqref="AK124"/>
    </sheetView>
  </sheetViews>
  <sheetFormatPr defaultRowHeight="12.75"/>
  <cols>
    <col min="1" max="2" width="9.140625" style="1164"/>
    <col min="3" max="3" width="20.140625" style="1164" customWidth="1"/>
    <col min="4" max="4" width="18" style="1164" customWidth="1"/>
    <col min="5" max="5" width="13" style="1164" customWidth="1"/>
    <col min="6" max="6" width="9.7109375" style="1164" customWidth="1"/>
    <col min="7" max="7" width="9.140625" style="1164" customWidth="1"/>
    <col min="8" max="32" width="9.140625" style="1164"/>
    <col min="33" max="33" width="9.140625" style="1167"/>
    <col min="34" max="36" width="9.140625" style="1164"/>
    <col min="37" max="37" width="13.42578125" style="1164" customWidth="1"/>
    <col min="38" max="39" width="9.140625" style="1164"/>
    <col min="40" max="40" width="18.85546875" style="1164" customWidth="1"/>
    <col min="41" max="41" width="9.140625" style="1164"/>
    <col min="42" max="42" width="13.42578125" style="1164" customWidth="1"/>
    <col min="43" max="43" width="14.140625" style="1164" bestFit="1" customWidth="1"/>
    <col min="44" max="44" width="14.7109375" style="1164" bestFit="1" customWidth="1"/>
    <col min="45" max="45" width="15.5703125" style="1164" bestFit="1" customWidth="1"/>
    <col min="46" max="46" width="12.7109375" style="1164" bestFit="1" customWidth="1"/>
    <col min="47" max="47" width="17" style="1164" bestFit="1" customWidth="1"/>
    <col min="48" max="48" width="17" style="1164" customWidth="1"/>
    <col min="49" max="49" width="13.7109375" style="1164" bestFit="1" customWidth="1"/>
    <col min="50" max="50" width="14" style="1164" bestFit="1" customWidth="1"/>
    <col min="51" max="51" width="18.42578125" style="1164" bestFit="1" customWidth="1"/>
    <col min="52" max="52" width="16.5703125" style="1164" bestFit="1" customWidth="1"/>
    <col min="53" max="53" width="16.28515625" style="1164" bestFit="1" customWidth="1"/>
    <col min="54" max="54" width="13.28515625" style="1164" bestFit="1" customWidth="1"/>
    <col min="55" max="55" width="13" style="1164" bestFit="1" customWidth="1"/>
    <col min="56" max="56" width="13.28515625" style="1164" bestFit="1" customWidth="1"/>
    <col min="57" max="57" width="15.5703125" style="1164" bestFit="1" customWidth="1"/>
    <col min="58" max="58" width="17.28515625" style="1164" bestFit="1" customWidth="1"/>
    <col min="59" max="59" width="13.5703125" style="1164" customWidth="1"/>
    <col min="60" max="60" width="14.85546875" style="1164" bestFit="1" customWidth="1"/>
    <col min="61" max="61" width="12.7109375" style="1164" customWidth="1"/>
    <col min="62" max="62" width="13.7109375" style="1164" bestFit="1" customWidth="1"/>
    <col min="63" max="63" width="13.85546875" style="1164" customWidth="1"/>
    <col min="64" max="64" width="12.7109375" style="1164" bestFit="1" customWidth="1"/>
    <col min="65" max="65" width="13.42578125" style="1164" customWidth="1"/>
    <col min="66" max="66" width="16.140625" style="1164" bestFit="1" customWidth="1"/>
    <col min="67" max="67" width="13.7109375" style="1164" customWidth="1"/>
    <col min="68" max="16384" width="9.140625" style="1164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ht="15.95" customHeight="1" thickBot="1">
      <c r="D4" s="501" t="s">
        <v>1095</v>
      </c>
      <c r="AE4" s="1167"/>
      <c r="AG4" s="1164"/>
      <c r="AH4" s="1178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G5" s="1164"/>
      <c r="AH5" s="1178"/>
      <c r="AL5" s="1144" t="s">
        <v>401</v>
      </c>
      <c r="AM5" s="1144" t="s">
        <v>48</v>
      </c>
      <c r="AN5" s="1135">
        <f>SUMIFS(Table9[Count of EnergyRating],Table9[MainSpaceHeatingFuel],AL5,Table9[EnergyRating (group)],AM5,Table9[CountyName (group)],AN$4)</f>
        <v>0</v>
      </c>
      <c r="AO5" s="1164">
        <f>SUMIFS(Table9[Count of EnergyRating],Table9[MainSpaceHeatingFuel],AL5,Table9[EnergyRating (group)],AM5,Table9[CountyName (group)],AO$4)</f>
        <v>0</v>
      </c>
      <c r="AP5" s="1164">
        <f>SUMIFS(Table9[Count of EnergyRating],Table9[MainSpaceHeatingFuel],AL5,Table9[EnergyRating (group)],AM5,Table9[CountyName (group)],AP$4)</f>
        <v>0</v>
      </c>
      <c r="AQ5" s="1164">
        <f>SUMIFS(Table9[Count of EnergyRating],Table9[MainSpaceHeatingFuel],AL5,Table9[EnergyRating (group)],AM5,Table9[CountyName (group)],AQ$4)</f>
        <v>0</v>
      </c>
      <c r="AR5" s="1164">
        <f>SUMIFS(Table9[Count of EnergyRating],Table9[MainSpaceHeatingFuel],AL5,Table9[EnergyRating (group)],AM5,Table9[CountyName (group)],AR$4)</f>
        <v>0</v>
      </c>
      <c r="AS5" s="1164">
        <f>SUMIFS(Table9[Count of EnergyRating],Table9[MainSpaceHeatingFuel],AL5,Table9[EnergyRating (group)],AM5,Table9[CountyName (group)],AS$4)</f>
        <v>0</v>
      </c>
      <c r="AT5" s="1164">
        <f>SUMIFS(Table9[Count of EnergyRating],Table9[MainSpaceHeatingFuel],AL5,Table9[EnergyRating (group)],AM5,Table9[CountyName (group)],AT$4)</f>
        <v>0</v>
      </c>
      <c r="AU5" s="1164">
        <f>SUMIFS(Table9[Count of EnergyRating],Table9[MainSpaceHeatingFuel],AL5,Table9[EnergyRating (group)],AM5,Table9[CountyName (group)],AU$4)</f>
        <v>0</v>
      </c>
      <c r="AV5" s="1164">
        <f>SUMIFS(Table9[Count of EnergyRating],Table9[MainSpaceHeatingFuel],AL5,Table9[EnergyRating (group)],AM5,Table9[CountyName (group)],AV$4)</f>
        <v>0</v>
      </c>
      <c r="AW5" s="1164">
        <f>SUMIFS(Table9[Count of EnergyRating],Table9[MainSpaceHeatingFuel],AL5,Table9[EnergyRating (group)],AM5,Table9[CountyName (group)],AW$4)</f>
        <v>0</v>
      </c>
      <c r="AX5" s="1164">
        <f>SUMIFS(Table9[Count of EnergyRating],Table9[MainSpaceHeatingFuel],AL5,Table9[EnergyRating (group)],AM5,Table9[CountyName (group)],AX$4)</f>
        <v>0</v>
      </c>
      <c r="AY5" s="1164">
        <f>SUMIFS(Table9[Count of EnergyRating],Table9[MainSpaceHeatingFuel],AL5,Table9[EnergyRating (group)],AM5,Table9[CountyName (group)],AY$4)</f>
        <v>0</v>
      </c>
      <c r="AZ5" s="1164">
        <f>SUMIFS(Table9[Count of EnergyRating],Table9[MainSpaceHeatingFuel],AL5,Table9[EnergyRating (group)],AM5,Table9[CountyName (group)],AZ$4)</f>
        <v>0</v>
      </c>
      <c r="BA5" s="1164">
        <f>SUMIFS(Table9[Count of EnergyRating],Table9[MainSpaceHeatingFuel],AL5,Table9[EnergyRating (group)],AM5,Table9[CountyName (group)],BA$4)</f>
        <v>3</v>
      </c>
      <c r="BB5" s="1164">
        <f>SUMIFS(Table9[Count of EnergyRating],Table9[MainSpaceHeatingFuel],AL5,Table9[EnergyRating (group)],AM5,Table9[CountyName (group)],BB$4)</f>
        <v>0</v>
      </c>
      <c r="BC5" s="1164">
        <f>SUMIFS(Table9[Count of EnergyRating],Table9[MainSpaceHeatingFuel],AL5,Table9[EnergyRating (group)],AM5,Table9[CountyName (group)],BC$4)</f>
        <v>0</v>
      </c>
      <c r="BD5" s="1164">
        <f>SUMIFS(Table9[Count of EnergyRating],Table9[MainSpaceHeatingFuel],AL5,Table9[EnergyRating (group)],AM5,Table9[CountyName (group)],BD$4)</f>
        <v>0</v>
      </c>
      <c r="BE5" s="1164">
        <f>SUMIFS(Table9[Count of EnergyRating],Table9[MainSpaceHeatingFuel],AL5,Table9[EnergyRating (group)],AM5,Table9[CountyName (group)],BE$4)</f>
        <v>0</v>
      </c>
      <c r="BF5" s="1164">
        <f>SUMIFS(Table9[Count of EnergyRating],Table9[MainSpaceHeatingFuel],AL5,Table9[EnergyRating (group)],AM5,Table9[CountyName (group)],BF$4)</f>
        <v>1</v>
      </c>
      <c r="BG5" s="1164">
        <f>SUMIFS(Table9[Count of EnergyRating],Table9[MainSpaceHeatingFuel],AL5,Table9[EnergyRating (group)],AM5,Table9[CountyName (group)],BG$4)</f>
        <v>0</v>
      </c>
      <c r="BH5" s="1164">
        <f>SUMIFS(Table9[Count of EnergyRating],Table9[MainSpaceHeatingFuel],AL5,Table9[EnergyRating (group)],AM5,Table9[CountyName (group)],BH$4)</f>
        <v>0</v>
      </c>
      <c r="BI5" s="1164">
        <f>SUMIFS(Table9[Count of EnergyRating],Table9[MainSpaceHeatingFuel],AL5,Table9[EnergyRating (group)],AM5,Table9[CountyName (group)],BI$4)</f>
        <v>0</v>
      </c>
      <c r="BJ5" s="1164">
        <f>SUMIFS(Table9[Count of EnergyRating],Table9[MainSpaceHeatingFuel],AL5,Table9[EnergyRating (group)],AM5,Table9[CountyName (group)],BJ$4)</f>
        <v>0</v>
      </c>
      <c r="BK5" s="1135">
        <f>SUMIFS(Table9[Count of EnergyRating],Table9[MainSpaceHeatingFuel],AL5,Table9[EnergyRating (group)],AM5,Table9[CountyName (group)],BK$4)</f>
        <v>0</v>
      </c>
      <c r="BL5" s="1164">
        <f>SUMIFS(Table9[Count of EnergyRating],Table9[MainSpaceHeatingFuel],AL5,Table9[EnergyRating (group)],AM5,Table9[CountyName (group)],BL$4)</f>
        <v>0</v>
      </c>
      <c r="BM5" s="1164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39" t="s">
        <v>1208</v>
      </c>
      <c r="C6" s="1139"/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G6" s="1177"/>
      <c r="AH6" s="1178"/>
      <c r="AL6" s="1144" t="s">
        <v>401</v>
      </c>
      <c r="AM6" s="1144" t="s">
        <v>50</v>
      </c>
      <c r="AN6" s="1135">
        <f>SUMIFS(Table9[Count of EnergyRating],Table9[MainSpaceHeatingFuel],AL6,Table9[EnergyRating (group)],AM6,Table9[CountyName (group)],AN$4)</f>
        <v>0</v>
      </c>
      <c r="AO6" s="1164">
        <f>SUMIFS(Table9[Count of EnergyRating],Table9[MainSpaceHeatingFuel],AL6,Table9[EnergyRating (group)],AM6,Table9[CountyName (group)],AO$4)</f>
        <v>1</v>
      </c>
      <c r="AP6" s="1164">
        <f>SUMIFS(Table9[Count of EnergyRating],Table9[MainSpaceHeatingFuel],AL6,Table9[EnergyRating (group)],AM6,Table9[CountyName (group)],AP$4)</f>
        <v>0</v>
      </c>
      <c r="AQ6" s="1164">
        <f>SUMIFS(Table9[Count of EnergyRating],Table9[MainSpaceHeatingFuel],AL6,Table9[EnergyRating (group)],AM6,Table9[CountyName (group)],AQ$4)</f>
        <v>0</v>
      </c>
      <c r="AR6" s="1164">
        <f>SUMIFS(Table9[Count of EnergyRating],Table9[MainSpaceHeatingFuel],AL6,Table9[EnergyRating (group)],AM6,Table9[CountyName (group)],AR$4)</f>
        <v>0</v>
      </c>
      <c r="AS6" s="1164">
        <f>SUMIFS(Table9[Count of EnergyRating],Table9[MainSpaceHeatingFuel],AL6,Table9[EnergyRating (group)],AM6,Table9[CountyName (group)],AS$4)</f>
        <v>0</v>
      </c>
      <c r="AT6" s="1164">
        <f>SUMIFS(Table9[Count of EnergyRating],Table9[MainSpaceHeatingFuel],AL6,Table9[EnergyRating (group)],AM6,Table9[CountyName (group)],AT$4)</f>
        <v>0</v>
      </c>
      <c r="AU6" s="1164">
        <f>SUMIFS(Table9[Count of EnergyRating],Table9[MainSpaceHeatingFuel],AL6,Table9[EnergyRating (group)],AM6,Table9[CountyName (group)],AU$4)</f>
        <v>3</v>
      </c>
      <c r="AV6" s="1164">
        <f>SUMIFS(Table9[Count of EnergyRating],Table9[MainSpaceHeatingFuel],AL6,Table9[EnergyRating (group)],AM6,Table9[CountyName (group)],AV$4)</f>
        <v>0</v>
      </c>
      <c r="AW6" s="1164">
        <f>SUMIFS(Table9[Count of EnergyRating],Table9[MainSpaceHeatingFuel],AL6,Table9[EnergyRating (group)],AM6,Table9[CountyName (group)],AW$4)</f>
        <v>0</v>
      </c>
      <c r="AX6" s="1164">
        <f>SUMIFS(Table9[Count of EnergyRating],Table9[MainSpaceHeatingFuel],AL6,Table9[EnergyRating (group)],AM6,Table9[CountyName (group)],AX$4)</f>
        <v>0</v>
      </c>
      <c r="AY6" s="1164">
        <f>SUMIFS(Table9[Count of EnergyRating],Table9[MainSpaceHeatingFuel],AL6,Table9[EnergyRating (group)],AM6,Table9[CountyName (group)],AY$4)</f>
        <v>0</v>
      </c>
      <c r="AZ6" s="1164">
        <f>SUMIFS(Table9[Count of EnergyRating],Table9[MainSpaceHeatingFuel],AL6,Table9[EnergyRating (group)],AM6,Table9[CountyName (group)],AZ$4)</f>
        <v>0</v>
      </c>
      <c r="BA6" s="1164">
        <f>SUMIFS(Table9[Count of EnergyRating],Table9[MainSpaceHeatingFuel],AL6,Table9[EnergyRating (group)],AM6,Table9[CountyName (group)],BA$4)</f>
        <v>3</v>
      </c>
      <c r="BB6" s="1164">
        <f>SUMIFS(Table9[Count of EnergyRating],Table9[MainSpaceHeatingFuel],AL6,Table9[EnergyRating (group)],AM6,Table9[CountyName (group)],BB$4)</f>
        <v>0</v>
      </c>
      <c r="BC6" s="1164">
        <f>SUMIFS(Table9[Count of EnergyRating],Table9[MainSpaceHeatingFuel],AL6,Table9[EnergyRating (group)],AM6,Table9[CountyName (group)],BC$4)</f>
        <v>1</v>
      </c>
      <c r="BD6" s="1164">
        <f>SUMIFS(Table9[Count of EnergyRating],Table9[MainSpaceHeatingFuel],AL6,Table9[EnergyRating (group)],AM6,Table9[CountyName (group)],BD$4)</f>
        <v>0</v>
      </c>
      <c r="BE6" s="1164">
        <f>SUMIFS(Table9[Count of EnergyRating],Table9[MainSpaceHeatingFuel],AL6,Table9[EnergyRating (group)],AM6,Table9[CountyName (group)],BE$4)</f>
        <v>0</v>
      </c>
      <c r="BF6" s="1164">
        <f>SUMIFS(Table9[Count of EnergyRating],Table9[MainSpaceHeatingFuel],AL6,Table9[EnergyRating (group)],AM6,Table9[CountyName (group)],BF$4)</f>
        <v>4</v>
      </c>
      <c r="BG6" s="1164">
        <f>SUMIFS(Table9[Count of EnergyRating],Table9[MainSpaceHeatingFuel],AL6,Table9[EnergyRating (group)],AM6,Table9[CountyName (group)],BG$4)</f>
        <v>0</v>
      </c>
      <c r="BH6" s="1164">
        <f>SUMIFS(Table9[Count of EnergyRating],Table9[MainSpaceHeatingFuel],AL6,Table9[EnergyRating (group)],AM6,Table9[CountyName (group)],BH$4)</f>
        <v>0</v>
      </c>
      <c r="BI6" s="1164">
        <f>SUMIFS(Table9[Count of EnergyRating],Table9[MainSpaceHeatingFuel],AL6,Table9[EnergyRating (group)],AM6,Table9[CountyName (group)],BI$4)</f>
        <v>0</v>
      </c>
      <c r="BJ6" s="1164">
        <f>SUMIFS(Table9[Count of EnergyRating],Table9[MainSpaceHeatingFuel],AL6,Table9[EnergyRating (group)],AM6,Table9[CountyName (group)],BJ$4)</f>
        <v>0</v>
      </c>
      <c r="BK6" s="1135">
        <f>SUMIFS(Table9[Count of EnergyRating],Table9[MainSpaceHeatingFuel],AL6,Table9[EnergyRating (group)],AM6,Table9[CountyName (group)],BK$4)</f>
        <v>1</v>
      </c>
      <c r="BL6" s="1164">
        <f>SUMIFS(Table9[Count of EnergyRating],Table9[MainSpaceHeatingFuel],AL6,Table9[EnergyRating (group)],AM6,Table9[CountyName (group)],BL$4)</f>
        <v>0</v>
      </c>
      <c r="BM6" s="1164">
        <f>SUMIFS(Table9[Count of EnergyRating],Table9[MainSpaceHeatingFuel],AL6,Table9[EnergyRating (group)],AM6,Table9[CountyName (group)],BM$4)</f>
        <v>1</v>
      </c>
    </row>
    <row r="7" spans="1:67" ht="15.95" customHeight="1">
      <c r="B7" s="1134" t="s">
        <v>1259</v>
      </c>
      <c r="C7" s="1134" t="s">
        <v>1164</v>
      </c>
      <c r="D7" s="1134" t="s">
        <v>1094</v>
      </c>
      <c r="E7" s="1145">
        <f t="shared" ref="E7:AA7" si="0">IFERROR(G131*((SUM(AN$5:AN$8)/SUM(AN$5:AN$13))/(SUM(G$131)/SUM(G$131:G$136))),G131)</f>
        <v>7.5116645644919475E-3</v>
      </c>
      <c r="F7" s="1145">
        <f t="shared" si="0"/>
        <v>9.7324918379859654E-2</v>
      </c>
      <c r="G7" s="1145">
        <f t="shared" si="0"/>
        <v>3.7777364148109713E-2</v>
      </c>
      <c r="H7" s="1145">
        <f t="shared" si="0"/>
        <v>9.3056358313700852E-3</v>
      </c>
      <c r="I7" s="1145">
        <f t="shared" si="0"/>
        <v>3.7966488901554907E-3</v>
      </c>
      <c r="J7" s="1145">
        <f t="shared" si="0"/>
        <v>1.4452138367309476E-3</v>
      </c>
      <c r="K7" s="1145">
        <f t="shared" si="0"/>
        <v>1.0012003415727421E-2</v>
      </c>
      <c r="L7" s="1145">
        <f t="shared" si="0"/>
        <v>1.4418090778942357E-2</v>
      </c>
      <c r="M7" s="1145">
        <f t="shared" si="0"/>
        <v>2.8568108532296588E-3</v>
      </c>
      <c r="N7" s="1145">
        <f t="shared" si="0"/>
        <v>1.3498675404750341E-2</v>
      </c>
      <c r="O7" s="1145">
        <f t="shared" si="0"/>
        <v>6.9742524403151093E-3</v>
      </c>
      <c r="P7" s="1145">
        <f t="shared" si="0"/>
        <v>3.4080750979788611E-2</v>
      </c>
      <c r="Q7" s="1145">
        <f t="shared" si="0"/>
        <v>7.7254865235923554E-3</v>
      </c>
      <c r="R7" s="1145">
        <f t="shared" si="0"/>
        <v>6.2193857283465256E-2</v>
      </c>
      <c r="S7" s="1145">
        <f t="shared" si="0"/>
        <v>1.0141902183640047E-2</v>
      </c>
      <c r="T7" s="1145">
        <f t="shared" si="0"/>
        <v>9.5099087329842333E-3</v>
      </c>
      <c r="U7" s="1145">
        <f t="shared" si="0"/>
        <v>4.2013954826015439E-3</v>
      </c>
      <c r="V7" s="1145">
        <f t="shared" si="0"/>
        <v>3.5134438055884989E-3</v>
      </c>
      <c r="W7" s="1145">
        <f t="shared" si="0"/>
        <v>1.8027793976824073E-2</v>
      </c>
      <c r="X7" s="1145">
        <f t="shared" si="0"/>
        <v>2.9818413442330458E-4</v>
      </c>
      <c r="Y7" s="1145">
        <f t="shared" si="0"/>
        <v>5.4129875148182576E-3</v>
      </c>
      <c r="Z7" s="1145">
        <f t="shared" si="0"/>
        <v>2.9828691032541339E-4</v>
      </c>
      <c r="AA7" s="1145">
        <f t="shared" si="0"/>
        <v>2.8978075498911748E-3</v>
      </c>
      <c r="AB7" s="1145">
        <f>IFERROR(AD131*((SUM(BK$5:BK$8)/SUM(BK$5:BK$13))/(SUM(AD$131)/SUM(AD$131:AD$136))),AD131)</f>
        <v>4.840041364362788E-3</v>
      </c>
      <c r="AC7" s="1145">
        <f>IFERROR(AE131*((SUM(BL$5:BL$8)/SUM(BL$5:BL$13))/(SUM(AE$131)/SUM(AE$131:AE$136))),AE131)</f>
        <v>1.0438696489603433E-2</v>
      </c>
      <c r="AD7" s="1145">
        <f>IFERROR(AF131*((SUM(BM$5:BM$8)/SUM(BM$5:BM$13))/(SUM(AF$131)/SUM(AF$131:AF$136))),AF131)</f>
        <v>2.0323524370820536E-3</v>
      </c>
      <c r="AE7" s="1172">
        <f>SUM(E7:AD7)</f>
        <v>0.38053417391267375</v>
      </c>
      <c r="AG7" s="1177"/>
      <c r="AL7" s="1144" t="s">
        <v>401</v>
      </c>
      <c r="AM7" s="1144" t="s">
        <v>52</v>
      </c>
      <c r="AN7" s="1135">
        <f>SUMIFS(Table9[Count of EnergyRating],Table9[MainSpaceHeatingFuel],AL7,Table9[EnergyRating (group)],AM7,Table9[CountyName (group)],AN$4)</f>
        <v>2</v>
      </c>
      <c r="AO7" s="1164">
        <f>SUMIFS(Table9[Count of EnergyRating],Table9[MainSpaceHeatingFuel],AL7,Table9[EnergyRating (group)],AM7,Table9[CountyName (group)],AO$4)</f>
        <v>3</v>
      </c>
      <c r="AP7" s="1164">
        <f>SUMIFS(Table9[Count of EnergyRating],Table9[MainSpaceHeatingFuel],AL7,Table9[EnergyRating (group)],AM7,Table9[CountyName (group)],AP$4)</f>
        <v>0</v>
      </c>
      <c r="AQ7" s="1164">
        <f>SUMIFS(Table9[Count of EnergyRating],Table9[MainSpaceHeatingFuel],AL7,Table9[EnergyRating (group)],AM7,Table9[CountyName (group)],AQ$4)</f>
        <v>0</v>
      </c>
      <c r="AR7" s="1164">
        <f>SUMIFS(Table9[Count of EnergyRating],Table9[MainSpaceHeatingFuel],AL7,Table9[EnergyRating (group)],AM7,Table9[CountyName (group)],AR$4)</f>
        <v>3</v>
      </c>
      <c r="AS7" s="1164">
        <f>SUMIFS(Table9[Count of EnergyRating],Table9[MainSpaceHeatingFuel],AL7,Table9[EnergyRating (group)],AM7,Table9[CountyName (group)],AS$4)</f>
        <v>0</v>
      </c>
      <c r="AT7" s="1164">
        <f>SUMIFS(Table9[Count of EnergyRating],Table9[MainSpaceHeatingFuel],AL7,Table9[EnergyRating (group)],AM7,Table9[CountyName (group)],AT$4)</f>
        <v>2</v>
      </c>
      <c r="AU7" s="1164">
        <f>SUMIFS(Table9[Count of EnergyRating],Table9[MainSpaceHeatingFuel],AL7,Table9[EnergyRating (group)],AM7,Table9[CountyName (group)],AU$4)</f>
        <v>1</v>
      </c>
      <c r="AV7" s="1164">
        <f>SUMIFS(Table9[Count of EnergyRating],Table9[MainSpaceHeatingFuel],AL7,Table9[EnergyRating (group)],AM7,Table9[CountyName (group)],AV$4)</f>
        <v>0</v>
      </c>
      <c r="AW7" s="1164">
        <f>SUMIFS(Table9[Count of EnergyRating],Table9[MainSpaceHeatingFuel],AL7,Table9[EnergyRating (group)],AM7,Table9[CountyName (group)],AW$4)</f>
        <v>0</v>
      </c>
      <c r="AX7" s="1164">
        <f>SUMIFS(Table9[Count of EnergyRating],Table9[MainSpaceHeatingFuel],AL7,Table9[EnergyRating (group)],AM7,Table9[CountyName (group)],AX$4)</f>
        <v>0</v>
      </c>
      <c r="AY7" s="1164">
        <f>SUMIFS(Table9[Count of EnergyRating],Table9[MainSpaceHeatingFuel],AL7,Table9[EnergyRating (group)],AM7,Table9[CountyName (group)],AY$4)</f>
        <v>0</v>
      </c>
      <c r="AZ7" s="1164">
        <f>SUMIFS(Table9[Count of EnergyRating],Table9[MainSpaceHeatingFuel],AL7,Table9[EnergyRating (group)],AM7,Table9[CountyName (group)],AZ$4)</f>
        <v>0</v>
      </c>
      <c r="BA7" s="1164">
        <f>SUMIFS(Table9[Count of EnergyRating],Table9[MainSpaceHeatingFuel],AL7,Table9[EnergyRating (group)],AM7,Table9[CountyName (group)],BA$4)</f>
        <v>9</v>
      </c>
      <c r="BB7" s="1164">
        <f>SUMIFS(Table9[Count of EnergyRating],Table9[MainSpaceHeatingFuel],AL7,Table9[EnergyRating (group)],AM7,Table9[CountyName (group)],BB$4)</f>
        <v>0</v>
      </c>
      <c r="BC7" s="1164">
        <f>SUMIFS(Table9[Count of EnergyRating],Table9[MainSpaceHeatingFuel],AL7,Table9[EnergyRating (group)],AM7,Table9[CountyName (group)],BC$4)</f>
        <v>0</v>
      </c>
      <c r="BD7" s="1164">
        <f>SUMIFS(Table9[Count of EnergyRating],Table9[MainSpaceHeatingFuel],AL7,Table9[EnergyRating (group)],AM7,Table9[CountyName (group)],BD$4)</f>
        <v>0</v>
      </c>
      <c r="BE7" s="1164">
        <f>SUMIFS(Table9[Count of EnergyRating],Table9[MainSpaceHeatingFuel],AL7,Table9[EnergyRating (group)],AM7,Table9[CountyName (group)],BE$4)</f>
        <v>0</v>
      </c>
      <c r="BF7" s="1164">
        <f>SUMIFS(Table9[Count of EnergyRating],Table9[MainSpaceHeatingFuel],AL7,Table9[EnergyRating (group)],AM7,Table9[CountyName (group)],BF$4)</f>
        <v>4</v>
      </c>
      <c r="BG7" s="1164">
        <f>SUMIFS(Table9[Count of EnergyRating],Table9[MainSpaceHeatingFuel],AL7,Table9[EnergyRating (group)],AM7,Table9[CountyName (group)],BG$4)</f>
        <v>0</v>
      </c>
      <c r="BH7" s="1164">
        <f>SUMIFS(Table9[Count of EnergyRating],Table9[MainSpaceHeatingFuel],AL7,Table9[EnergyRating (group)],AM7,Table9[CountyName (group)],BH$4)</f>
        <v>0</v>
      </c>
      <c r="BI7" s="1164">
        <f>SUMIFS(Table9[Count of EnergyRating],Table9[MainSpaceHeatingFuel],AL7,Table9[EnergyRating (group)],AM7,Table9[CountyName (group)],BI$4)</f>
        <v>1</v>
      </c>
      <c r="BJ7" s="1164">
        <f>SUMIFS(Table9[Count of EnergyRating],Table9[MainSpaceHeatingFuel],AL7,Table9[EnergyRating (group)],AM7,Table9[CountyName (group)],BJ$4)</f>
        <v>2</v>
      </c>
      <c r="BK7" s="1135">
        <f>SUMIFS(Table9[Count of EnergyRating],Table9[MainSpaceHeatingFuel],AL7,Table9[EnergyRating (group)],AM7,Table9[CountyName (group)],BK$4)</f>
        <v>3</v>
      </c>
      <c r="BL7" s="1164">
        <f>SUMIFS(Table9[Count of EnergyRating],Table9[MainSpaceHeatingFuel],AL7,Table9[EnergyRating (group)],AM7,Table9[CountyName (group)],BL$4)</f>
        <v>0</v>
      </c>
      <c r="BM7" s="1164">
        <f>SUMIFS(Table9[Count of EnergyRating],Table9[MainSpaceHeatingFuel],AL7,Table9[EnergyRating (group)],AM7,Table9[CountyName (group)],BM$4)</f>
        <v>1</v>
      </c>
    </row>
    <row r="8" spans="1:67" ht="15.95" customHeight="1">
      <c r="B8" s="1136" t="s">
        <v>56</v>
      </c>
      <c r="C8" s="1136" t="s">
        <v>1164</v>
      </c>
      <c r="D8" s="1136" t="s">
        <v>1094</v>
      </c>
      <c r="E8" s="1146">
        <f t="shared" ref="E8:N12" si="1">IFERROR(G132*((SUM(AN9)/SUM(AN$5:AN$13))/(SUM(G132)/SUM(G$131:G$136))),G132)</f>
        <v>1.6632971535660738E-2</v>
      </c>
      <c r="F8" s="1146">
        <f t="shared" si="1"/>
        <v>0.76643373224139499</v>
      </c>
      <c r="G8" s="1146">
        <f t="shared" si="1"/>
        <v>8.5597901146200236E-2</v>
      </c>
      <c r="H8" s="1146">
        <f t="shared" si="1"/>
        <v>2.1025516270705084E-2</v>
      </c>
      <c r="I8" s="1146">
        <f t="shared" si="1"/>
        <v>1.5186595560621963E-2</v>
      </c>
      <c r="J8" s="1146">
        <f t="shared" si="1"/>
        <v>5.5302682289307655E-3</v>
      </c>
      <c r="K8" s="1146">
        <f t="shared" si="1"/>
        <v>2.0858340449432126E-2</v>
      </c>
      <c r="L8" s="1146">
        <f t="shared" si="1"/>
        <v>4.7690607961117015E-2</v>
      </c>
      <c r="M8" s="1146">
        <f t="shared" si="1"/>
        <v>9.3631042268367114E-3</v>
      </c>
      <c r="N8" s="1146">
        <f t="shared" si="1"/>
        <v>2.5485942301753203E-2</v>
      </c>
      <c r="O8" s="1146">
        <f t="shared" ref="O8:X12" si="2">IFERROR(Q132*((SUM(AX9)/SUM(AX$5:AX$13))/(SUM(Q132)/SUM(Q$131:Q$136))),Q132)</f>
        <v>2.1407400259878685E-2</v>
      </c>
      <c r="P8" s="1146">
        <f t="shared" si="2"/>
        <v>4.5154234440778221E-2</v>
      </c>
      <c r="Q8" s="1146">
        <f t="shared" si="2"/>
        <v>2.230340977013438E-2</v>
      </c>
      <c r="R8" s="1146">
        <f t="shared" si="2"/>
        <v>0.19124611114665563</v>
      </c>
      <c r="S8" s="1146">
        <f t="shared" si="2"/>
        <v>2.8409723459661036E-2</v>
      </c>
      <c r="T8" s="1146">
        <f t="shared" si="2"/>
        <v>8.2419209019196693E-2</v>
      </c>
      <c r="U8" s="1146">
        <f t="shared" si="2"/>
        <v>1.3734385908970463E-2</v>
      </c>
      <c r="V8" s="1146">
        <f t="shared" si="2"/>
        <v>2.9864272347502246E-2</v>
      </c>
      <c r="W8" s="1146">
        <f t="shared" si="2"/>
        <v>0.11675142765943212</v>
      </c>
      <c r="X8" s="1146">
        <f t="shared" si="2"/>
        <v>7.1564192261593098E-3</v>
      </c>
      <c r="Y8" s="1146">
        <f t="shared" ref="Y8:AA12" si="3">IFERROR(AA132*((SUM(BH9)/SUM(BH$5:BH$13))/(SUM(AA132)/SUM(AA$131:AA$136))),AA132)</f>
        <v>1.8514571384610705E-2</v>
      </c>
      <c r="Z8" s="1146">
        <f t="shared" si="3"/>
        <v>7.4571727581353364E-3</v>
      </c>
      <c r="AA8" s="1146">
        <f t="shared" si="3"/>
        <v>2.173355662418381E-2</v>
      </c>
      <c r="AB8" s="1146">
        <f t="shared" ref="AB8:AD12" si="4">IFERROR(AD132*((SUM(BK9)/SUM(BK$5:BK$13))/(SUM(AD132)/SUM(AD$131:AD$136))),AD132)</f>
        <v>1.521155857371162E-2</v>
      </c>
      <c r="AC8" s="1146">
        <f t="shared" si="4"/>
        <v>2.6128709131506337E-2</v>
      </c>
      <c r="AD8" s="1146">
        <f t="shared" si="4"/>
        <v>1.1032770372731147E-2</v>
      </c>
      <c r="AE8" s="1173">
        <f t="shared" ref="AE8:AE79" si="5">SUM(E8:AD8)</f>
        <v>1.6723299120059008</v>
      </c>
      <c r="AG8" s="1177"/>
      <c r="AL8" s="1144" t="s">
        <v>401</v>
      </c>
      <c r="AM8" s="1144" t="s">
        <v>54</v>
      </c>
      <c r="AN8" s="1135">
        <f>SUMIFS(Table9[Count of EnergyRating],Table9[MainSpaceHeatingFuel],AL8,Table9[EnergyRating (group)],AM8,Table9[CountyName (group)],AN$4)</f>
        <v>12</v>
      </c>
      <c r="AO8" s="1164">
        <f>SUMIFS(Table9[Count of EnergyRating],Table9[MainSpaceHeatingFuel],AL8,Table9[EnergyRating (group)],AM8,Table9[CountyName (group)],AO$4)</f>
        <v>4</v>
      </c>
      <c r="AP8" s="1164">
        <f>SUMIFS(Table9[Count of EnergyRating],Table9[MainSpaceHeatingFuel],AL8,Table9[EnergyRating (group)],AM8,Table9[CountyName (group)],AP$4)</f>
        <v>0</v>
      </c>
      <c r="AQ8" s="1164">
        <f>SUMIFS(Table9[Count of EnergyRating],Table9[MainSpaceHeatingFuel],AL8,Table9[EnergyRating (group)],AM8,Table9[CountyName (group)],AQ$4)</f>
        <v>0</v>
      </c>
      <c r="AR8" s="1164">
        <f>SUMIFS(Table9[Count of EnergyRating],Table9[MainSpaceHeatingFuel],AL8,Table9[EnergyRating (group)],AM8,Table9[CountyName (group)],AR$4)</f>
        <v>4</v>
      </c>
      <c r="AS8" s="1164">
        <f>SUMIFS(Table9[Count of EnergyRating],Table9[MainSpaceHeatingFuel],AL8,Table9[EnergyRating (group)],AM8,Table9[CountyName (group)],AS$4)</f>
        <v>0</v>
      </c>
      <c r="AT8" s="1164">
        <f>SUMIFS(Table9[Count of EnergyRating],Table9[MainSpaceHeatingFuel],AL8,Table9[EnergyRating (group)],AM8,Table9[CountyName (group)],AT$4)</f>
        <v>10</v>
      </c>
      <c r="AU8" s="1164">
        <f>SUMIFS(Table9[Count of EnergyRating],Table9[MainSpaceHeatingFuel],AL8,Table9[EnergyRating (group)],AM8,Table9[CountyName (group)],AU$4)</f>
        <v>9</v>
      </c>
      <c r="AV8" s="1164">
        <f>SUMIFS(Table9[Count of EnergyRating],Table9[MainSpaceHeatingFuel],AL8,Table9[EnergyRating (group)],AM8,Table9[CountyName (group)],AV$4)</f>
        <v>0</v>
      </c>
      <c r="AW8" s="1164">
        <f>SUMIFS(Table9[Count of EnergyRating],Table9[MainSpaceHeatingFuel],AL8,Table9[EnergyRating (group)],AM8,Table9[CountyName (group)],AW$4)</f>
        <v>0</v>
      </c>
      <c r="AX8" s="1164">
        <f>SUMIFS(Table9[Count of EnergyRating],Table9[MainSpaceHeatingFuel],AL8,Table9[EnergyRating (group)],AM8,Table9[CountyName (group)],AX$4)</f>
        <v>0</v>
      </c>
      <c r="AY8" s="1164">
        <f>SUMIFS(Table9[Count of EnergyRating],Table9[MainSpaceHeatingFuel],AL8,Table9[EnergyRating (group)],AM8,Table9[CountyName (group)],AY$4)</f>
        <v>0</v>
      </c>
      <c r="AZ8" s="1164">
        <f>SUMIFS(Table9[Count of EnergyRating],Table9[MainSpaceHeatingFuel],AL8,Table9[EnergyRating (group)],AM8,Table9[CountyName (group)],AZ$4)</f>
        <v>0</v>
      </c>
      <c r="BA8" s="1164">
        <f>SUMIFS(Table9[Count of EnergyRating],Table9[MainSpaceHeatingFuel],AL8,Table9[EnergyRating (group)],AM8,Table9[CountyName (group)],BA$4)</f>
        <v>25</v>
      </c>
      <c r="BB8" s="1164">
        <f>SUMIFS(Table9[Count of EnergyRating],Table9[MainSpaceHeatingFuel],AL8,Table9[EnergyRating (group)],AM8,Table9[CountyName (group)],BB$4)</f>
        <v>0</v>
      </c>
      <c r="BC8" s="1164">
        <f>SUMIFS(Table9[Count of EnergyRating],Table9[MainSpaceHeatingFuel],AL8,Table9[EnergyRating (group)],AM8,Table9[CountyName (group)],BC$4)</f>
        <v>5</v>
      </c>
      <c r="BD8" s="1164">
        <f>SUMIFS(Table9[Count of EnergyRating],Table9[MainSpaceHeatingFuel],AL8,Table9[EnergyRating (group)],AM8,Table9[CountyName (group)],BD$4)</f>
        <v>0</v>
      </c>
      <c r="BE8" s="1164">
        <f>SUMIFS(Table9[Count of EnergyRating],Table9[MainSpaceHeatingFuel],AL8,Table9[EnergyRating (group)],AM8,Table9[CountyName (group)],BE$4)</f>
        <v>2</v>
      </c>
      <c r="BF8" s="1164">
        <f>SUMIFS(Table9[Count of EnergyRating],Table9[MainSpaceHeatingFuel],AL8,Table9[EnergyRating (group)],AM8,Table9[CountyName (group)],BF$4)</f>
        <v>12</v>
      </c>
      <c r="BG8" s="1164">
        <f>SUMIFS(Table9[Count of EnergyRating],Table9[MainSpaceHeatingFuel],AL8,Table9[EnergyRating (group)],AM8,Table9[CountyName (group)],BG$4)</f>
        <v>1</v>
      </c>
      <c r="BH8" s="1164">
        <f>SUMIFS(Table9[Count of EnergyRating],Table9[MainSpaceHeatingFuel],AL8,Table9[EnergyRating (group)],AM8,Table9[CountyName (group)],BH$4)</f>
        <v>0</v>
      </c>
      <c r="BI8" s="1164">
        <f>SUMIFS(Table9[Count of EnergyRating],Table9[MainSpaceHeatingFuel],AL8,Table9[EnergyRating (group)],AM8,Table9[CountyName (group)],BI$4)</f>
        <v>0</v>
      </c>
      <c r="BJ8" s="1164">
        <f>SUMIFS(Table9[Count of EnergyRating],Table9[MainSpaceHeatingFuel],AL8,Table9[EnergyRating (group)],AM8,Table9[CountyName (group)],BJ$4)</f>
        <v>4</v>
      </c>
      <c r="BK8" s="1135">
        <f>SUMIFS(Table9[Count of EnergyRating],Table9[MainSpaceHeatingFuel],AL8,Table9[EnergyRating (group)],AM8,Table9[CountyName (group)],BK$4)</f>
        <v>10</v>
      </c>
      <c r="BL8" s="1164">
        <f>SUMIFS(Table9[Count of EnergyRating],Table9[MainSpaceHeatingFuel],AL8,Table9[EnergyRating (group)],AM8,Table9[CountyName (group)],BL$4)</f>
        <v>0</v>
      </c>
      <c r="BM8" s="1164">
        <f>SUMIFS(Table9[Count of EnergyRating],Table9[MainSpaceHeatingFuel],AL8,Table9[EnergyRating (group)],AM8,Table9[CountyName (group)],BM$4)</f>
        <v>5</v>
      </c>
    </row>
    <row r="9" spans="1:67" ht="15.95" customHeight="1">
      <c r="B9" s="1134" t="s">
        <v>58</v>
      </c>
      <c r="C9" s="1134" t="s">
        <v>1164</v>
      </c>
      <c r="D9" s="1134" t="s">
        <v>1094</v>
      </c>
      <c r="E9" s="1145">
        <f t="shared" si="1"/>
        <v>6.4385696267073838E-3</v>
      </c>
      <c r="F9" s="1145">
        <f t="shared" si="1"/>
        <v>0.8880898802162196</v>
      </c>
      <c r="G9" s="1145">
        <f t="shared" si="1"/>
        <v>4.808528176027637E-2</v>
      </c>
      <c r="H9" s="1145">
        <f t="shared" si="1"/>
        <v>1.0464534474181201E-2</v>
      </c>
      <c r="I9" s="1145">
        <f t="shared" si="1"/>
        <v>1.3559460321983895E-2</v>
      </c>
      <c r="J9" s="1145">
        <f t="shared" si="1"/>
        <v>7.7562881449783679E-3</v>
      </c>
      <c r="K9" s="1145">
        <f t="shared" si="1"/>
        <v>1.8355339595500276E-2</v>
      </c>
      <c r="L9" s="1145">
        <f t="shared" si="1"/>
        <v>4.9908775773262005E-2</v>
      </c>
      <c r="M9" s="1145">
        <f t="shared" si="1"/>
        <v>1.0648236179539789E-2</v>
      </c>
      <c r="N9" s="1145">
        <f t="shared" si="1"/>
        <v>2.5524615962302148E-2</v>
      </c>
      <c r="O9" s="1145">
        <f t="shared" si="2"/>
        <v>2.3412106638730199E-2</v>
      </c>
      <c r="P9" s="1145">
        <f t="shared" si="2"/>
        <v>2.7783071370371303E-2</v>
      </c>
      <c r="Q9" s="1145">
        <f t="shared" si="2"/>
        <v>2.0207787375625112E-2</v>
      </c>
      <c r="R9" s="1145">
        <f t="shared" si="2"/>
        <v>0.11972317527067063</v>
      </c>
      <c r="S9" s="1145">
        <f t="shared" si="2"/>
        <v>2.4981592515876519E-2</v>
      </c>
      <c r="T9" s="1145">
        <f t="shared" si="2"/>
        <v>5.54744676090747E-2</v>
      </c>
      <c r="U9" s="1145">
        <f t="shared" si="2"/>
        <v>2.3544661558235078E-2</v>
      </c>
      <c r="V9" s="1145">
        <f t="shared" si="2"/>
        <v>3.3377716153090743E-2</v>
      </c>
      <c r="W9" s="1145">
        <f t="shared" si="2"/>
        <v>9.2714369023666671E-2</v>
      </c>
      <c r="X9" s="1145">
        <f t="shared" si="2"/>
        <v>3.5782096130796549E-3</v>
      </c>
      <c r="Y9" s="1145">
        <f t="shared" si="3"/>
        <v>2.1961006750577203E-2</v>
      </c>
      <c r="Z9" s="1145">
        <f t="shared" si="3"/>
        <v>3.8777298342303739E-3</v>
      </c>
      <c r="AA9" s="1145">
        <f t="shared" si="3"/>
        <v>1.4489037749455874E-2</v>
      </c>
      <c r="AB9" s="1145">
        <f t="shared" si="4"/>
        <v>6.9143448062325549E-3</v>
      </c>
      <c r="AC9" s="1145">
        <f t="shared" si="4"/>
        <v>1.6189162019139423E-2</v>
      </c>
      <c r="AD9" s="1145">
        <f t="shared" si="4"/>
        <v>5.5163851863655753E-3</v>
      </c>
      <c r="AE9" s="1172">
        <f t="shared" si="5"/>
        <v>1.5725758055293724</v>
      </c>
      <c r="AG9" s="1164"/>
      <c r="AL9" s="1144" t="s">
        <v>401</v>
      </c>
      <c r="AM9" s="1144" t="s">
        <v>56</v>
      </c>
      <c r="AN9" s="1135">
        <f>SUMIFS(Table9[Count of EnergyRating],Table9[MainSpaceHeatingFuel],AL9,Table9[EnergyRating (group)],AM9,Table9[CountyName (group)],AN$4)</f>
        <v>31</v>
      </c>
      <c r="AO9" s="1164">
        <f>SUMIFS(Table9[Count of EnergyRating],Table9[MainSpaceHeatingFuel],AL9,Table9[EnergyRating (group)],AM9,Table9[CountyName (group)],AO$4)</f>
        <v>63</v>
      </c>
      <c r="AP9" s="1164">
        <f>SUMIFS(Table9[Count of EnergyRating],Table9[MainSpaceHeatingFuel],AL9,Table9[EnergyRating (group)],AM9,Table9[CountyName (group)],AP$4)</f>
        <v>0</v>
      </c>
      <c r="AQ9" s="1164">
        <f>SUMIFS(Table9[Count of EnergyRating],Table9[MainSpaceHeatingFuel],AL9,Table9[EnergyRating (group)],AM9,Table9[CountyName (group)],AQ$4)</f>
        <v>0</v>
      </c>
      <c r="AR9" s="1164">
        <f>SUMIFS(Table9[Count of EnergyRating],Table9[MainSpaceHeatingFuel],AL9,Table9[EnergyRating (group)],AM9,Table9[CountyName (group)],AR$4)</f>
        <v>28</v>
      </c>
      <c r="AS9" s="1164">
        <f>SUMIFS(Table9[Count of EnergyRating],Table9[MainSpaceHeatingFuel],AL9,Table9[EnergyRating (group)],AM9,Table9[CountyName (group)],AS$4)</f>
        <v>0</v>
      </c>
      <c r="AT9" s="1164">
        <f>SUMIFS(Table9[Count of EnergyRating],Table9[MainSpaceHeatingFuel],AL9,Table9[EnergyRating (group)],AM9,Table9[CountyName (group)],AT$4)</f>
        <v>25</v>
      </c>
      <c r="AU9" s="1164">
        <f>SUMIFS(Table9[Count of EnergyRating],Table9[MainSpaceHeatingFuel],AL9,Table9[EnergyRating (group)],AM9,Table9[CountyName (group)],AU$4)</f>
        <v>43</v>
      </c>
      <c r="AV9" s="1164">
        <f>SUMIFS(Table9[Count of EnergyRating],Table9[MainSpaceHeatingFuel],AL9,Table9[EnergyRating (group)],AM9,Table9[CountyName (group)],AV$4)</f>
        <v>0</v>
      </c>
      <c r="AW9" s="1164">
        <f>SUMIFS(Table9[Count of EnergyRating],Table9[MainSpaceHeatingFuel],AL9,Table9[EnergyRating (group)],AM9,Table9[CountyName (group)],AW$4)</f>
        <v>0</v>
      </c>
      <c r="AX9" s="1164">
        <f>SUMIFS(Table9[Count of EnergyRating],Table9[MainSpaceHeatingFuel],AL9,Table9[EnergyRating (group)],AM9,Table9[CountyName (group)],AX$4)</f>
        <v>0</v>
      </c>
      <c r="AY9" s="1164">
        <f>SUMIFS(Table9[Count of EnergyRating],Table9[MainSpaceHeatingFuel],AL9,Table9[EnergyRating (group)],AM9,Table9[CountyName (group)],AY$4)</f>
        <v>0</v>
      </c>
      <c r="AZ9" s="1164">
        <f>SUMIFS(Table9[Count of EnergyRating],Table9[MainSpaceHeatingFuel],AL9,Table9[EnergyRating (group)],AM9,Table9[CountyName (group)],AZ$4)</f>
        <v>0</v>
      </c>
      <c r="BA9" s="1164">
        <f>SUMIFS(Table9[Count of EnergyRating],Table9[MainSpaceHeatingFuel],AL9,Table9[EnergyRating (group)],AM9,Table9[CountyName (group)],BA$4)</f>
        <v>123</v>
      </c>
      <c r="BB9" s="1164">
        <f>SUMIFS(Table9[Count of EnergyRating],Table9[MainSpaceHeatingFuel],AL9,Table9[EnergyRating (group)],AM9,Table9[CountyName (group)],BB$4)</f>
        <v>0</v>
      </c>
      <c r="BC9" s="1164">
        <f>SUMIFS(Table9[Count of EnergyRating],Table9[MainSpaceHeatingFuel],AL9,Table9[EnergyRating (group)],AM9,Table9[CountyName (group)],BC$4)</f>
        <v>52</v>
      </c>
      <c r="BD9" s="1164">
        <f>SUMIFS(Table9[Count of EnergyRating],Table9[MainSpaceHeatingFuel],AL9,Table9[EnergyRating (group)],AM9,Table9[CountyName (group)],BD$4)</f>
        <v>0</v>
      </c>
      <c r="BE9" s="1164">
        <f>SUMIFS(Table9[Count of EnergyRating],Table9[MainSpaceHeatingFuel],AL9,Table9[EnergyRating (group)],AM9,Table9[CountyName (group)],BE$4)</f>
        <v>17</v>
      </c>
      <c r="BF9" s="1164">
        <f>SUMIFS(Table9[Count of EnergyRating],Table9[MainSpaceHeatingFuel],AL9,Table9[EnergyRating (group)],AM9,Table9[CountyName (group)],BF$4)</f>
        <v>136</v>
      </c>
      <c r="BG9" s="1164">
        <f>SUMIFS(Table9[Count of EnergyRating],Table9[MainSpaceHeatingFuel],AL9,Table9[EnergyRating (group)],AM9,Table9[CountyName (group)],BG$4)</f>
        <v>24</v>
      </c>
      <c r="BH9" s="1164">
        <f>SUMIFS(Table9[Count of EnergyRating],Table9[MainSpaceHeatingFuel],AL9,Table9[EnergyRating (group)],AM9,Table9[CountyName (group)],BH$4)</f>
        <v>0</v>
      </c>
      <c r="BI9" s="1164">
        <f>SUMIFS(Table9[Count of EnergyRating],Table9[MainSpaceHeatingFuel],AL9,Table9[EnergyRating (group)],AM9,Table9[CountyName (group)],BI$4)</f>
        <v>25</v>
      </c>
      <c r="BJ9" s="1164">
        <f>SUMIFS(Table9[Count of EnergyRating],Table9[MainSpaceHeatingFuel],AL9,Table9[EnergyRating (group)],AM9,Table9[CountyName (group)],BJ$4)</f>
        <v>45</v>
      </c>
      <c r="BK9" s="1135">
        <f>SUMIFS(Table9[Count of EnergyRating],Table9[MainSpaceHeatingFuel],AL9,Table9[EnergyRating (group)],AM9,Table9[CountyName (group)],BK$4)</f>
        <v>44</v>
      </c>
      <c r="BL9" s="1164">
        <f>SUMIFS(Table9[Count of EnergyRating],Table9[MainSpaceHeatingFuel],AL9,Table9[EnergyRating (group)],AM9,Table9[CountyName (group)],BL$4)</f>
        <v>0</v>
      </c>
      <c r="BM9" s="1164">
        <f>SUMIFS(Table9[Count of EnergyRating],Table9[MainSpaceHeatingFuel],AL9,Table9[EnergyRating (group)],AM9,Table9[CountyName (group)],BM$4)</f>
        <v>38</v>
      </c>
    </row>
    <row r="10" spans="1:67" ht="15.95" customHeight="1">
      <c r="B10" s="1136" t="s">
        <v>60</v>
      </c>
      <c r="C10" s="1136" t="s">
        <v>1164</v>
      </c>
      <c r="D10" s="1136" t="s">
        <v>1094</v>
      </c>
      <c r="E10" s="1146">
        <f t="shared" si="1"/>
        <v>5.3654746889228195E-4</v>
      </c>
      <c r="F10" s="1146">
        <f t="shared" si="1"/>
        <v>0.80293057663384237</v>
      </c>
      <c r="G10" s="1146">
        <f t="shared" si="1"/>
        <v>2.6685806473726318E-2</v>
      </c>
      <c r="H10" s="1146">
        <f t="shared" si="1"/>
        <v>4.8705897783055362E-3</v>
      </c>
      <c r="I10" s="1146">
        <f t="shared" si="1"/>
        <v>4.8814057159142022E-3</v>
      </c>
      <c r="J10" s="1146">
        <f t="shared" si="1"/>
        <v>3.3390298740714054E-3</v>
      </c>
      <c r="K10" s="1146">
        <f t="shared" si="1"/>
        <v>9.1776697977501345E-3</v>
      </c>
      <c r="L10" s="1146">
        <f t="shared" si="1"/>
        <v>2.5508929839667245E-2</v>
      </c>
      <c r="M10" s="1146">
        <f t="shared" si="1"/>
        <v>5.8748889266426428E-3</v>
      </c>
      <c r="N10" s="1146">
        <f t="shared" si="1"/>
        <v>1.1640771825231737E-2</v>
      </c>
      <c r="O10" s="1146">
        <f t="shared" si="2"/>
        <v>1.5572272764293019E-2</v>
      </c>
      <c r="P10" s="1146">
        <f t="shared" si="2"/>
        <v>1.2300078198921666E-2</v>
      </c>
      <c r="Q10" s="1146">
        <f t="shared" si="2"/>
        <v>1.3284749108049842E-2</v>
      </c>
      <c r="R10" s="1146">
        <f t="shared" si="2"/>
        <v>7.9297168036418203E-2</v>
      </c>
      <c r="S10" s="1146">
        <f t="shared" si="2"/>
        <v>1.1889049868869702E-2</v>
      </c>
      <c r="T10" s="1146">
        <f t="shared" si="2"/>
        <v>3.1699695776614113E-2</v>
      </c>
      <c r="U10" s="1146">
        <f t="shared" si="2"/>
        <v>1.3298373657892036E-2</v>
      </c>
      <c r="V10" s="1146">
        <f t="shared" si="2"/>
        <v>8.7836095139712488E-3</v>
      </c>
      <c r="W10" s="1146">
        <f t="shared" si="2"/>
        <v>3.4338655193950622E-2</v>
      </c>
      <c r="X10" s="1146">
        <f t="shared" si="2"/>
        <v>1.7891048065398275E-3</v>
      </c>
      <c r="Y10" s="1146">
        <f t="shared" si="3"/>
        <v>9.0969863729580755E-3</v>
      </c>
      <c r="Z10" s="1146">
        <f t="shared" si="3"/>
        <v>4.1760167445557871E-3</v>
      </c>
      <c r="AA10" s="1146">
        <f t="shared" si="3"/>
        <v>4.8296792498186249E-3</v>
      </c>
      <c r="AB10" s="1146">
        <f t="shared" si="4"/>
        <v>3.1114551628046495E-3</v>
      </c>
      <c r="AC10" s="1146">
        <f t="shared" si="4"/>
        <v>9.6071207875385901E-3</v>
      </c>
      <c r="AD10" s="1146">
        <f t="shared" si="4"/>
        <v>6.3873933736864549E-3</v>
      </c>
      <c r="AE10" s="1173">
        <f t="shared" si="5"/>
        <v>1.1549076249509262</v>
      </c>
      <c r="AG10" s="1164"/>
      <c r="AL10" s="1144" t="s">
        <v>401</v>
      </c>
      <c r="AM10" s="1144" t="s">
        <v>58</v>
      </c>
      <c r="AN10" s="1135">
        <f>SUMIFS(Table9[Count of EnergyRating],Table9[MainSpaceHeatingFuel],AL10,Table9[EnergyRating (group)],AM10,Table9[CountyName (group)],AN$4)</f>
        <v>12</v>
      </c>
      <c r="AO10" s="1164">
        <f>SUMIFS(Table9[Count of EnergyRating],Table9[MainSpaceHeatingFuel],AL10,Table9[EnergyRating (group)],AM10,Table9[CountyName (group)],AO$4)</f>
        <v>73</v>
      </c>
      <c r="AP10" s="1164">
        <f>SUMIFS(Table9[Count of EnergyRating],Table9[MainSpaceHeatingFuel],AL10,Table9[EnergyRating (group)],AM10,Table9[CountyName (group)],AP$4)</f>
        <v>0</v>
      </c>
      <c r="AQ10" s="1164">
        <f>SUMIFS(Table9[Count of EnergyRating],Table9[MainSpaceHeatingFuel],AL10,Table9[EnergyRating (group)],AM10,Table9[CountyName (group)],AQ$4)</f>
        <v>0</v>
      </c>
      <c r="AR10" s="1164">
        <f>SUMIFS(Table9[Count of EnergyRating],Table9[MainSpaceHeatingFuel],AL10,Table9[EnergyRating (group)],AM10,Table9[CountyName (group)],AR$4)</f>
        <v>25</v>
      </c>
      <c r="AS10" s="1164">
        <f>SUMIFS(Table9[Count of EnergyRating],Table9[MainSpaceHeatingFuel],AL10,Table9[EnergyRating (group)],AM10,Table9[CountyName (group)],AS$4)</f>
        <v>0</v>
      </c>
      <c r="AT10" s="1164">
        <f>SUMIFS(Table9[Count of EnergyRating],Table9[MainSpaceHeatingFuel],AL10,Table9[EnergyRating (group)],AM10,Table9[CountyName (group)],AT$4)</f>
        <v>22</v>
      </c>
      <c r="AU10" s="1164">
        <f>SUMIFS(Table9[Count of EnergyRating],Table9[MainSpaceHeatingFuel],AL10,Table9[EnergyRating (group)],AM10,Table9[CountyName (group)],AU$4)</f>
        <v>45</v>
      </c>
      <c r="AV10" s="1164">
        <f>SUMIFS(Table9[Count of EnergyRating],Table9[MainSpaceHeatingFuel],AL10,Table9[EnergyRating (group)],AM10,Table9[CountyName (group)],AV$4)</f>
        <v>0</v>
      </c>
      <c r="AW10" s="1164">
        <f>SUMIFS(Table9[Count of EnergyRating],Table9[MainSpaceHeatingFuel],AL10,Table9[EnergyRating (group)],AM10,Table9[CountyName (group)],AW$4)</f>
        <v>0</v>
      </c>
      <c r="AX10" s="1164">
        <f>SUMIFS(Table9[Count of EnergyRating],Table9[MainSpaceHeatingFuel],AL10,Table9[EnergyRating (group)],AM10,Table9[CountyName (group)],AX$4)</f>
        <v>0</v>
      </c>
      <c r="AY10" s="1164">
        <f>SUMIFS(Table9[Count of EnergyRating],Table9[MainSpaceHeatingFuel],AL10,Table9[EnergyRating (group)],AM10,Table9[CountyName (group)],AY$4)</f>
        <v>0</v>
      </c>
      <c r="AZ10" s="1164">
        <f>SUMIFS(Table9[Count of EnergyRating],Table9[MainSpaceHeatingFuel],AL10,Table9[EnergyRating (group)],AM10,Table9[CountyName (group)],AZ$4)</f>
        <v>0</v>
      </c>
      <c r="BA10" s="1164">
        <f>SUMIFS(Table9[Count of EnergyRating],Table9[MainSpaceHeatingFuel],AL10,Table9[EnergyRating (group)],AM10,Table9[CountyName (group)],BA$4)</f>
        <v>77</v>
      </c>
      <c r="BB10" s="1164">
        <f>SUMIFS(Table9[Count of EnergyRating],Table9[MainSpaceHeatingFuel],AL10,Table9[EnergyRating (group)],AM10,Table9[CountyName (group)],BB$4)</f>
        <v>0</v>
      </c>
      <c r="BC10" s="1164">
        <f>SUMIFS(Table9[Count of EnergyRating],Table9[MainSpaceHeatingFuel],AL10,Table9[EnergyRating (group)],AM10,Table9[CountyName (group)],BC$4)</f>
        <v>35</v>
      </c>
      <c r="BD10" s="1164">
        <f>SUMIFS(Table9[Count of EnergyRating],Table9[MainSpaceHeatingFuel],AL10,Table9[EnergyRating (group)],AM10,Table9[CountyName (group)],BD$4)</f>
        <v>0</v>
      </c>
      <c r="BE10" s="1164">
        <f>SUMIFS(Table9[Count of EnergyRating],Table9[MainSpaceHeatingFuel],AL10,Table9[EnergyRating (group)],AM10,Table9[CountyName (group)],BE$4)</f>
        <v>19</v>
      </c>
      <c r="BF10" s="1164">
        <f>SUMIFS(Table9[Count of EnergyRating],Table9[MainSpaceHeatingFuel],AL10,Table9[EnergyRating (group)],AM10,Table9[CountyName (group)],BF$4)</f>
        <v>108</v>
      </c>
      <c r="BG10" s="1164">
        <f>SUMIFS(Table9[Count of EnergyRating],Table9[MainSpaceHeatingFuel],AL10,Table9[EnergyRating (group)],AM10,Table9[CountyName (group)],BG$4)</f>
        <v>12</v>
      </c>
      <c r="BH10" s="1164">
        <f>SUMIFS(Table9[Count of EnergyRating],Table9[MainSpaceHeatingFuel],AL10,Table9[EnergyRating (group)],AM10,Table9[CountyName (group)],BH$4)</f>
        <v>0</v>
      </c>
      <c r="BI10" s="1164">
        <f>SUMIFS(Table9[Count of EnergyRating],Table9[MainSpaceHeatingFuel],AL10,Table9[EnergyRating (group)],AM10,Table9[CountyName (group)],BI$4)</f>
        <v>13</v>
      </c>
      <c r="BJ10" s="1164">
        <f>SUMIFS(Table9[Count of EnergyRating],Table9[MainSpaceHeatingFuel],AL10,Table9[EnergyRating (group)],AM10,Table9[CountyName (group)],BJ$4)</f>
        <v>30</v>
      </c>
      <c r="BK10" s="1135">
        <f>SUMIFS(Table9[Count of EnergyRating],Table9[MainSpaceHeatingFuel],AL10,Table9[EnergyRating (group)],AM10,Table9[CountyName (group)],BK$4)</f>
        <v>20</v>
      </c>
      <c r="BL10" s="1164">
        <f>SUMIFS(Table9[Count of EnergyRating],Table9[MainSpaceHeatingFuel],AL10,Table9[EnergyRating (group)],AM10,Table9[CountyName (group)],BL$4)</f>
        <v>0</v>
      </c>
      <c r="BM10" s="1164">
        <f>SUMIFS(Table9[Count of EnergyRating],Table9[MainSpaceHeatingFuel],AL10,Table9[EnergyRating (group)],AM10,Table9[CountyName (group)],BM$4)</f>
        <v>19</v>
      </c>
    </row>
    <row r="11" spans="1:67" ht="15.95" customHeight="1">
      <c r="B11" s="1134" t="s">
        <v>62</v>
      </c>
      <c r="C11" s="1134" t="s">
        <v>1164</v>
      </c>
      <c r="D11" s="1134" t="s">
        <v>1094</v>
      </c>
      <c r="E11" s="1145">
        <f t="shared" si="1"/>
        <v>3.2192848133536915E-3</v>
      </c>
      <c r="F11" s="1145">
        <f t="shared" si="1"/>
        <v>0.53528705108922825</v>
      </c>
      <c r="G11" s="1145">
        <f t="shared" si="1"/>
        <v>8.7427785018684336E-3</v>
      </c>
      <c r="H11" s="1145">
        <f t="shared" si="1"/>
        <v>2.0736174303677031E-3</v>
      </c>
      <c r="I11" s="1145">
        <f t="shared" si="1"/>
        <v>1.0847568257587117E-3</v>
      </c>
      <c r="J11" s="1145">
        <f t="shared" si="1"/>
        <v>8.6953902970609502E-4</v>
      </c>
      <c r="K11" s="1145">
        <f t="shared" si="1"/>
        <v>1.168067065168199E-2</v>
      </c>
      <c r="L11" s="1145">
        <f t="shared" si="1"/>
        <v>9.9817551546523987E-3</v>
      </c>
      <c r="M11" s="1145">
        <f t="shared" si="1"/>
        <v>2.7079566146243433E-3</v>
      </c>
      <c r="N11" s="1145">
        <f t="shared" si="1"/>
        <v>4.4474709631284045E-3</v>
      </c>
      <c r="O11" s="1145">
        <f t="shared" si="2"/>
        <v>4.725379321578572E-3</v>
      </c>
      <c r="P11" s="1145">
        <f t="shared" si="2"/>
        <v>4.4237123346998978E-3</v>
      </c>
      <c r="Q11" s="1145">
        <f t="shared" si="2"/>
        <v>3.5550737049710839E-3</v>
      </c>
      <c r="R11" s="1145">
        <f t="shared" si="2"/>
        <v>3.7316314370079151E-2</v>
      </c>
      <c r="S11" s="1145">
        <f t="shared" si="2"/>
        <v>3.6104783344113509E-3</v>
      </c>
      <c r="T11" s="1145">
        <f t="shared" si="2"/>
        <v>1.2679878310645647E-2</v>
      </c>
      <c r="U11" s="1145">
        <f t="shared" si="2"/>
        <v>5.5046546698651463E-3</v>
      </c>
      <c r="V11" s="1145">
        <f t="shared" si="2"/>
        <v>7.0268876111769978E-3</v>
      </c>
      <c r="W11" s="1145">
        <f t="shared" si="2"/>
        <v>1.545239483727778E-2</v>
      </c>
      <c r="X11" s="1145">
        <f t="shared" si="2"/>
        <v>8.9455240326991373E-4</v>
      </c>
      <c r="Y11" s="1145">
        <f t="shared" si="3"/>
        <v>3.4865101958033149E-3</v>
      </c>
      <c r="Z11" s="1145">
        <f t="shared" si="3"/>
        <v>1.4914345516270672E-3</v>
      </c>
      <c r="AA11" s="1145">
        <f t="shared" si="3"/>
        <v>1.9318716999274501E-3</v>
      </c>
      <c r="AB11" s="1145">
        <f t="shared" si="4"/>
        <v>2.420020682181394E-3</v>
      </c>
      <c r="AC11" s="1145">
        <f t="shared" si="4"/>
        <v>3.2910206158004167E-3</v>
      </c>
      <c r="AD11" s="1145">
        <f t="shared" si="4"/>
        <v>2.0323524370820536E-3</v>
      </c>
      <c r="AE11" s="1172">
        <f t="shared" si="5"/>
        <v>0.6899374171547672</v>
      </c>
      <c r="AG11" s="1164"/>
      <c r="AH11" s="1137" t="s">
        <v>1157</v>
      </c>
      <c r="AI11" s="1137" t="s">
        <v>1160</v>
      </c>
      <c r="AJ11" s="1159" t="s">
        <v>1159</v>
      </c>
      <c r="AL11" s="1144" t="s">
        <v>401</v>
      </c>
      <c r="AM11" s="1144" t="s">
        <v>60</v>
      </c>
      <c r="AN11" s="1135">
        <f>SUMIFS(Table9[Count of EnergyRating],Table9[MainSpaceHeatingFuel],AL11,Table9[EnergyRating (group)],AM11,Table9[CountyName (group)],AN$4)</f>
        <v>1</v>
      </c>
      <c r="AO11" s="1164">
        <f>SUMIFS(Table9[Count of EnergyRating],Table9[MainSpaceHeatingFuel],AL11,Table9[EnergyRating (group)],AM11,Table9[CountyName (group)],AO$4)</f>
        <v>66</v>
      </c>
      <c r="AP11" s="1164">
        <f>SUMIFS(Table9[Count of EnergyRating],Table9[MainSpaceHeatingFuel],AL11,Table9[EnergyRating (group)],AM11,Table9[CountyName (group)],AP$4)</f>
        <v>0</v>
      </c>
      <c r="AQ11" s="1164">
        <f>SUMIFS(Table9[Count of EnergyRating],Table9[MainSpaceHeatingFuel],AL11,Table9[EnergyRating (group)],AM11,Table9[CountyName (group)],AQ$4)</f>
        <v>0</v>
      </c>
      <c r="AR11" s="1164">
        <f>SUMIFS(Table9[Count of EnergyRating],Table9[MainSpaceHeatingFuel],AL11,Table9[EnergyRating (group)],AM11,Table9[CountyName (group)],AR$4)</f>
        <v>9</v>
      </c>
      <c r="AS11" s="1164">
        <f>SUMIFS(Table9[Count of EnergyRating],Table9[MainSpaceHeatingFuel],AL11,Table9[EnergyRating (group)],AM11,Table9[CountyName (group)],AS$4)</f>
        <v>0</v>
      </c>
      <c r="AT11" s="1164">
        <f>SUMIFS(Table9[Count of EnergyRating],Table9[MainSpaceHeatingFuel],AL11,Table9[EnergyRating (group)],AM11,Table9[CountyName (group)],AT$4)</f>
        <v>11</v>
      </c>
      <c r="AU11" s="1164">
        <f>SUMIFS(Table9[Count of EnergyRating],Table9[MainSpaceHeatingFuel],AL11,Table9[EnergyRating (group)],AM11,Table9[CountyName (group)],AU$4)</f>
        <v>23</v>
      </c>
      <c r="AV11" s="1164">
        <f>SUMIFS(Table9[Count of EnergyRating],Table9[MainSpaceHeatingFuel],AL11,Table9[EnergyRating (group)],AM11,Table9[CountyName (group)],AV$4)</f>
        <v>0</v>
      </c>
      <c r="AW11" s="1164">
        <f>SUMIFS(Table9[Count of EnergyRating],Table9[MainSpaceHeatingFuel],AL11,Table9[EnergyRating (group)],AM11,Table9[CountyName (group)],AW$4)</f>
        <v>0</v>
      </c>
      <c r="AX11" s="1164">
        <f>SUMIFS(Table9[Count of EnergyRating],Table9[MainSpaceHeatingFuel],AL11,Table9[EnergyRating (group)],AM11,Table9[CountyName (group)],AX$4)</f>
        <v>0</v>
      </c>
      <c r="AY11" s="1164">
        <f>SUMIFS(Table9[Count of EnergyRating],Table9[MainSpaceHeatingFuel],AL11,Table9[EnergyRating (group)],AM11,Table9[CountyName (group)],AY$4)</f>
        <v>0</v>
      </c>
      <c r="AZ11" s="1164">
        <f>SUMIFS(Table9[Count of EnergyRating],Table9[MainSpaceHeatingFuel],AL11,Table9[EnergyRating (group)],AM11,Table9[CountyName (group)],AZ$4)</f>
        <v>0</v>
      </c>
      <c r="BA11" s="1164">
        <f>SUMIFS(Table9[Count of EnergyRating],Table9[MainSpaceHeatingFuel],AL11,Table9[EnergyRating (group)],AM11,Table9[CountyName (group)],BA$4)</f>
        <v>51</v>
      </c>
      <c r="BB11" s="1164">
        <f>SUMIFS(Table9[Count of EnergyRating],Table9[MainSpaceHeatingFuel],AL11,Table9[EnergyRating (group)],AM11,Table9[CountyName (group)],BB$4)</f>
        <v>0</v>
      </c>
      <c r="BC11" s="1164">
        <f>SUMIFS(Table9[Count of EnergyRating],Table9[MainSpaceHeatingFuel],AL11,Table9[EnergyRating (group)],AM11,Table9[CountyName (group)],BC$4)</f>
        <v>20</v>
      </c>
      <c r="BD11" s="1164">
        <f>SUMIFS(Table9[Count of EnergyRating],Table9[MainSpaceHeatingFuel],AL11,Table9[EnergyRating (group)],AM11,Table9[CountyName (group)],BD$4)</f>
        <v>0</v>
      </c>
      <c r="BE11" s="1164">
        <f>SUMIFS(Table9[Count of EnergyRating],Table9[MainSpaceHeatingFuel],AL11,Table9[EnergyRating (group)],AM11,Table9[CountyName (group)],BE$4)</f>
        <v>5</v>
      </c>
      <c r="BF11" s="1164">
        <f>SUMIFS(Table9[Count of EnergyRating],Table9[MainSpaceHeatingFuel],AL11,Table9[EnergyRating (group)],AM11,Table9[CountyName (group)],BF$4)</f>
        <v>40</v>
      </c>
      <c r="BG11" s="1164">
        <f>SUMIFS(Table9[Count of EnergyRating],Table9[MainSpaceHeatingFuel],AL11,Table9[EnergyRating (group)],AM11,Table9[CountyName (group)],BG$4)</f>
        <v>6</v>
      </c>
      <c r="BH11" s="1164">
        <f>SUMIFS(Table9[Count of EnergyRating],Table9[MainSpaceHeatingFuel],AL11,Table9[EnergyRating (group)],AM11,Table9[CountyName (group)],BH$4)</f>
        <v>0</v>
      </c>
      <c r="BI11" s="1164">
        <f>SUMIFS(Table9[Count of EnergyRating],Table9[MainSpaceHeatingFuel],AL11,Table9[EnergyRating (group)],AM11,Table9[CountyName (group)],BI$4)</f>
        <v>14</v>
      </c>
      <c r="BJ11" s="1164">
        <f>SUMIFS(Table9[Count of EnergyRating],Table9[MainSpaceHeatingFuel],AL11,Table9[EnergyRating (group)],AM11,Table9[CountyName (group)],BJ$4)</f>
        <v>10</v>
      </c>
      <c r="BK11" s="1135">
        <f>SUMIFS(Table9[Count of EnergyRating],Table9[MainSpaceHeatingFuel],AL11,Table9[EnergyRating (group)],AM11,Table9[CountyName (group)],BK$4)</f>
        <v>9</v>
      </c>
      <c r="BL11" s="1164">
        <f>SUMIFS(Table9[Count of EnergyRating],Table9[MainSpaceHeatingFuel],AL11,Table9[EnergyRating (group)],AM11,Table9[CountyName (group)],BL$4)</f>
        <v>0</v>
      </c>
      <c r="BM11" s="1164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38" t="s">
        <v>64</v>
      </c>
      <c r="C12" s="1138" t="s">
        <v>1164</v>
      </c>
      <c r="D12" s="1138" t="s">
        <v>1094</v>
      </c>
      <c r="E12" s="1147">
        <f t="shared" si="1"/>
        <v>2.6827373444614096E-3</v>
      </c>
      <c r="F12" s="1147">
        <f t="shared" si="1"/>
        <v>0.49879020669678081</v>
      </c>
      <c r="G12" s="1147">
        <f t="shared" si="1"/>
        <v>7.4211957050743663E-3</v>
      </c>
      <c r="H12" s="1147">
        <f t="shared" si="1"/>
        <v>3.2309852984799101E-3</v>
      </c>
      <c r="I12" s="1147">
        <f t="shared" si="1"/>
        <v>3.2542704772761349E-3</v>
      </c>
      <c r="J12" s="1147">
        <f t="shared" si="1"/>
        <v>1.1825730804002892E-3</v>
      </c>
      <c r="K12" s="1147">
        <f t="shared" si="1"/>
        <v>1.8355339595500272E-2</v>
      </c>
      <c r="L12" s="1147">
        <f t="shared" si="1"/>
        <v>9.9817551546524004E-3</v>
      </c>
      <c r="M12" s="1147">
        <f t="shared" si="1"/>
        <v>2.7538541843637387E-3</v>
      </c>
      <c r="N12" s="1147">
        <f t="shared" si="1"/>
        <v>3.4806294494048383E-3</v>
      </c>
      <c r="O12" s="1147">
        <f t="shared" si="2"/>
        <v>5.5845391982292216E-3</v>
      </c>
      <c r="P12" s="1147">
        <f t="shared" si="2"/>
        <v>7.6066273072278711E-3</v>
      </c>
      <c r="Q12" s="1147">
        <f t="shared" si="2"/>
        <v>5.4261651286400753E-3</v>
      </c>
      <c r="R12" s="1147">
        <f t="shared" si="2"/>
        <v>3.8871160802165787E-2</v>
      </c>
      <c r="S12" s="1147">
        <f t="shared" si="2"/>
        <v>5.5433606750558114E-3</v>
      </c>
      <c r="T12" s="1147">
        <f t="shared" si="2"/>
        <v>2.535975662129129E-2</v>
      </c>
      <c r="U12" s="1147">
        <f t="shared" si="2"/>
        <v>9.0472542098773683E-3</v>
      </c>
      <c r="V12" s="1147">
        <f t="shared" si="2"/>
        <v>1.0540331416765497E-2</v>
      </c>
      <c r="W12" s="1147">
        <f t="shared" si="2"/>
        <v>1.0301596558185187E-2</v>
      </c>
      <c r="X12" s="1147">
        <f t="shared" si="2"/>
        <v>2.0872889409631321E-3</v>
      </c>
      <c r="Y12" s="1147">
        <f t="shared" si="3"/>
        <v>3.847183664334692E-3</v>
      </c>
      <c r="Z12" s="1147">
        <f t="shared" si="3"/>
        <v>2.3862952826033072E-3</v>
      </c>
      <c r="AA12" s="1147">
        <f t="shared" si="3"/>
        <v>2.8978075498911743E-3</v>
      </c>
      <c r="AB12" s="1147">
        <f t="shared" si="4"/>
        <v>4.49432412405116E-3</v>
      </c>
      <c r="AC12" s="1147">
        <f t="shared" si="4"/>
        <v>3.9891158979398992E-3</v>
      </c>
      <c r="AD12" s="1147">
        <f t="shared" si="4"/>
        <v>2.9033606244029341E-3</v>
      </c>
      <c r="AE12" s="1174">
        <f t="shared" si="5"/>
        <v>0.69201971498801829</v>
      </c>
      <c r="AG12" s="58" t="s">
        <v>1163</v>
      </c>
      <c r="AH12" s="1158">
        <f>SUM(E7:AD12)</f>
        <v>6.1623046485416575</v>
      </c>
      <c r="AI12" s="1140">
        <f>'SHWLP-Apt'!S14</f>
        <v>6.1623046485416584</v>
      </c>
      <c r="AJ12" s="1160">
        <f>(AI12-AH12)/AI12</f>
        <v>1.4413088452391221E-16</v>
      </c>
      <c r="AL12" s="1144" t="s">
        <v>401</v>
      </c>
      <c r="AM12" s="1144" t="s">
        <v>62</v>
      </c>
      <c r="AN12" s="1135">
        <f>SUMIFS(Table9[Count of EnergyRating],Table9[MainSpaceHeatingFuel],AL12,Table9[EnergyRating (group)],AM12,Table9[CountyName (group)],AN$4)</f>
        <v>6</v>
      </c>
      <c r="AO12" s="1164">
        <f>SUMIFS(Table9[Count of EnergyRating],Table9[MainSpaceHeatingFuel],AL12,Table9[EnergyRating (group)],AM12,Table9[CountyName (group)],AO$4)</f>
        <v>44</v>
      </c>
      <c r="AP12" s="1164">
        <f>SUMIFS(Table9[Count of EnergyRating],Table9[MainSpaceHeatingFuel],AL12,Table9[EnergyRating (group)],AM12,Table9[CountyName (group)],AP$4)</f>
        <v>0</v>
      </c>
      <c r="AQ12" s="1164">
        <f>SUMIFS(Table9[Count of EnergyRating],Table9[MainSpaceHeatingFuel],AL12,Table9[EnergyRating (group)],AM12,Table9[CountyName (group)],AQ$4)</f>
        <v>0</v>
      </c>
      <c r="AR12" s="1164">
        <f>SUMIFS(Table9[Count of EnergyRating],Table9[MainSpaceHeatingFuel],AL12,Table9[EnergyRating (group)],AM12,Table9[CountyName (group)],AR$4)</f>
        <v>2</v>
      </c>
      <c r="AS12" s="1164">
        <f>SUMIFS(Table9[Count of EnergyRating],Table9[MainSpaceHeatingFuel],AL12,Table9[EnergyRating (group)],AM12,Table9[CountyName (group)],AS$4)</f>
        <v>0</v>
      </c>
      <c r="AT12" s="1164">
        <f>SUMIFS(Table9[Count of EnergyRating],Table9[MainSpaceHeatingFuel],AL12,Table9[EnergyRating (group)],AM12,Table9[CountyName (group)],AT$4)</f>
        <v>14</v>
      </c>
      <c r="AU12" s="1164">
        <f>SUMIFS(Table9[Count of EnergyRating],Table9[MainSpaceHeatingFuel],AL12,Table9[EnergyRating (group)],AM12,Table9[CountyName (group)],AU$4)</f>
        <v>9</v>
      </c>
      <c r="AV12" s="1164">
        <f>SUMIFS(Table9[Count of EnergyRating],Table9[MainSpaceHeatingFuel],AL12,Table9[EnergyRating (group)],AM12,Table9[CountyName (group)],AV$4)</f>
        <v>0</v>
      </c>
      <c r="AW12" s="1164">
        <f>SUMIFS(Table9[Count of EnergyRating],Table9[MainSpaceHeatingFuel],AL12,Table9[EnergyRating (group)],AM12,Table9[CountyName (group)],AW$4)</f>
        <v>0</v>
      </c>
      <c r="AX12" s="1164">
        <f>SUMIFS(Table9[Count of EnergyRating],Table9[MainSpaceHeatingFuel],AL12,Table9[EnergyRating (group)],AM12,Table9[CountyName (group)],AX$4)</f>
        <v>0</v>
      </c>
      <c r="AY12" s="1164">
        <f>SUMIFS(Table9[Count of EnergyRating],Table9[MainSpaceHeatingFuel],AL12,Table9[EnergyRating (group)],AM12,Table9[CountyName (group)],AY$4)</f>
        <v>0</v>
      </c>
      <c r="AZ12" s="1164">
        <f>SUMIFS(Table9[Count of EnergyRating],Table9[MainSpaceHeatingFuel],AL12,Table9[EnergyRating (group)],AM12,Table9[CountyName (group)],AZ$4)</f>
        <v>0</v>
      </c>
      <c r="BA12" s="1164">
        <f>SUMIFS(Table9[Count of EnergyRating],Table9[MainSpaceHeatingFuel],AL12,Table9[EnergyRating (group)],AM12,Table9[CountyName (group)],BA$4)</f>
        <v>24</v>
      </c>
      <c r="BB12" s="1164">
        <f>SUMIFS(Table9[Count of EnergyRating],Table9[MainSpaceHeatingFuel],AL12,Table9[EnergyRating (group)],AM12,Table9[CountyName (group)],BB$4)</f>
        <v>0</v>
      </c>
      <c r="BC12" s="1164">
        <f>SUMIFS(Table9[Count of EnergyRating],Table9[MainSpaceHeatingFuel],AL12,Table9[EnergyRating (group)],AM12,Table9[CountyName (group)],BC$4)</f>
        <v>8</v>
      </c>
      <c r="BD12" s="1164">
        <f>SUMIFS(Table9[Count of EnergyRating],Table9[MainSpaceHeatingFuel],AL12,Table9[EnergyRating (group)],AM12,Table9[CountyName (group)],BD$4)</f>
        <v>0</v>
      </c>
      <c r="BE12" s="1164">
        <f>SUMIFS(Table9[Count of EnergyRating],Table9[MainSpaceHeatingFuel],AL12,Table9[EnergyRating (group)],AM12,Table9[CountyName (group)],BE$4)</f>
        <v>4</v>
      </c>
      <c r="BF12" s="1164">
        <f>SUMIFS(Table9[Count of EnergyRating],Table9[MainSpaceHeatingFuel],AL12,Table9[EnergyRating (group)],AM12,Table9[CountyName (group)],BF$4)</f>
        <v>18</v>
      </c>
      <c r="BG12" s="1164">
        <f>SUMIFS(Table9[Count of EnergyRating],Table9[MainSpaceHeatingFuel],AL12,Table9[EnergyRating (group)],AM12,Table9[CountyName (group)],BG$4)</f>
        <v>3</v>
      </c>
      <c r="BH12" s="1164">
        <f>SUMIFS(Table9[Count of EnergyRating],Table9[MainSpaceHeatingFuel],AL12,Table9[EnergyRating (group)],AM12,Table9[CountyName (group)],BH$4)</f>
        <v>0</v>
      </c>
      <c r="BI12" s="1164">
        <f>SUMIFS(Table9[Count of EnergyRating],Table9[MainSpaceHeatingFuel],AL12,Table9[EnergyRating (group)],AM12,Table9[CountyName (group)],BI$4)</f>
        <v>5</v>
      </c>
      <c r="BJ12" s="1164">
        <f>SUMIFS(Table9[Count of EnergyRating],Table9[MainSpaceHeatingFuel],AL12,Table9[EnergyRating (group)],AM12,Table9[CountyName (group)],BJ$4)</f>
        <v>4</v>
      </c>
      <c r="BK12" s="1135">
        <f>SUMIFS(Table9[Count of EnergyRating],Table9[MainSpaceHeatingFuel],AL12,Table9[EnergyRating (group)],AM12,Table9[CountyName (group)],BK$4)</f>
        <v>7</v>
      </c>
      <c r="BL12" s="1164">
        <f>SUMIFS(Table9[Count of EnergyRating],Table9[MainSpaceHeatingFuel],AL12,Table9[EnergyRating (group)],AM12,Table9[CountyName (group)],BL$4)</f>
        <v>0</v>
      </c>
      <c r="BM12" s="1164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38" t="s">
        <v>1075</v>
      </c>
      <c r="C13" s="1138" t="s">
        <v>1164</v>
      </c>
      <c r="D13" s="1138" t="s">
        <v>1094</v>
      </c>
      <c r="E13" s="1147">
        <f>SUM(E7:E12)</f>
        <v>3.7021775353567446E-2</v>
      </c>
      <c r="F13" s="1147">
        <f t="shared" ref="F13:AE13" si="6">SUM(F7:F12)</f>
        <v>3.5888563652573255</v>
      </c>
      <c r="G13" s="1147">
        <f t="shared" si="6"/>
        <v>0.21431032773525546</v>
      </c>
      <c r="H13" s="1147">
        <f t="shared" si="6"/>
        <v>5.0970879083409512E-2</v>
      </c>
      <c r="I13" s="1147">
        <f t="shared" si="6"/>
        <v>4.176313779171039E-2</v>
      </c>
      <c r="J13" s="1147">
        <f t="shared" si="6"/>
        <v>2.012291219481787E-2</v>
      </c>
      <c r="K13" s="1147">
        <f t="shared" si="6"/>
        <v>8.8439363505592214E-2</v>
      </c>
      <c r="L13" s="1147">
        <f t="shared" si="6"/>
        <v>0.15748991466229345</v>
      </c>
      <c r="M13" s="1147">
        <f t="shared" si="6"/>
        <v>3.4204850985236887E-2</v>
      </c>
      <c r="N13" s="1147">
        <f t="shared" si="6"/>
        <v>8.4078105906570666E-2</v>
      </c>
      <c r="O13" s="1147">
        <f t="shared" si="6"/>
        <v>7.7675950623024806E-2</v>
      </c>
      <c r="P13" s="1147">
        <f t="shared" si="6"/>
        <v>0.13134847463178759</v>
      </c>
      <c r="Q13" s="1147">
        <f t="shared" si="6"/>
        <v>7.2502671611012856E-2</v>
      </c>
      <c r="R13" s="1147">
        <f t="shared" si="6"/>
        <v>0.52864778690945458</v>
      </c>
      <c r="S13" s="1147">
        <f t="shared" si="6"/>
        <v>8.4576107037514461E-2</v>
      </c>
      <c r="T13" s="1147">
        <f t="shared" si="6"/>
        <v>0.21714291606980668</v>
      </c>
      <c r="U13" s="1147">
        <f t="shared" si="6"/>
        <v>6.9330725487441638E-2</v>
      </c>
      <c r="V13" s="1147">
        <f t="shared" si="6"/>
        <v>9.3106260848095229E-2</v>
      </c>
      <c r="W13" s="1147">
        <f t="shared" si="6"/>
        <v>0.28758623724933646</v>
      </c>
      <c r="X13" s="1147">
        <f t="shared" si="6"/>
        <v>1.5803759124435143E-2</v>
      </c>
      <c r="Y13" s="1147">
        <f t="shared" si="6"/>
        <v>6.2319245883102253E-2</v>
      </c>
      <c r="Z13" s="1147">
        <f t="shared" si="6"/>
        <v>1.9686936081477285E-2</v>
      </c>
      <c r="AA13" s="1147">
        <f t="shared" si="6"/>
        <v>4.8779760423168117E-2</v>
      </c>
      <c r="AB13" s="1147">
        <f t="shared" si="6"/>
        <v>3.6991744713344168E-2</v>
      </c>
      <c r="AC13" s="1147">
        <f t="shared" si="6"/>
        <v>6.9643824941528099E-2</v>
      </c>
      <c r="AD13" s="1147">
        <f t="shared" si="6"/>
        <v>2.9904614431350215E-2</v>
      </c>
      <c r="AE13" s="1147">
        <f t="shared" si="6"/>
        <v>6.1623046485416584</v>
      </c>
      <c r="AG13" s="58" t="s">
        <v>1107</v>
      </c>
      <c r="AH13" s="1158">
        <f>SUM(E14:AD14)</f>
        <v>5.7044657531277538</v>
      </c>
      <c r="AI13" s="1140">
        <f>'SHWLP-Apt'!S40</f>
        <v>5.7044657531277529</v>
      </c>
      <c r="AJ13" s="1160">
        <f>(AI13-AH13)/AI13</f>
        <v>-1.5569879076110465E-16</v>
      </c>
      <c r="AL13" s="1144" t="s">
        <v>401</v>
      </c>
      <c r="AM13" s="1144" t="s">
        <v>64</v>
      </c>
      <c r="AN13" s="1135">
        <f>SUMIFS(Table9[Count of EnergyRating],Table9[MainSpaceHeatingFuel],AL13,Table9[EnergyRating (group)],AM13,Table9[CountyName (group)],AN$4)</f>
        <v>5</v>
      </c>
      <c r="AO13" s="1164">
        <f>SUMIFS(Table9[Count of EnergyRating],Table9[MainSpaceHeatingFuel],AL13,Table9[EnergyRating (group)],AM13,Table9[CountyName (group)],AO$4)</f>
        <v>41</v>
      </c>
      <c r="AP13" s="1164">
        <f>SUMIFS(Table9[Count of EnergyRating],Table9[MainSpaceHeatingFuel],AL13,Table9[EnergyRating (group)],AM13,Table9[CountyName (group)],AP$4)</f>
        <v>0</v>
      </c>
      <c r="AQ13" s="1164">
        <f>SUMIFS(Table9[Count of EnergyRating],Table9[MainSpaceHeatingFuel],AL13,Table9[EnergyRating (group)],AM13,Table9[CountyName (group)],AQ$4)</f>
        <v>0</v>
      </c>
      <c r="AR13" s="1164">
        <f>SUMIFS(Table9[Count of EnergyRating],Table9[MainSpaceHeatingFuel],AL13,Table9[EnergyRating (group)],AM13,Table9[CountyName (group)],AR$4)</f>
        <v>6</v>
      </c>
      <c r="AS13" s="1164">
        <f>SUMIFS(Table9[Count of EnergyRating],Table9[MainSpaceHeatingFuel],AL13,Table9[EnergyRating (group)],AM13,Table9[CountyName (group)],AS$4)</f>
        <v>0</v>
      </c>
      <c r="AT13" s="1164">
        <f>SUMIFS(Table9[Count of EnergyRating],Table9[MainSpaceHeatingFuel],AL13,Table9[EnergyRating (group)],AM13,Table9[CountyName (group)],AT$4)</f>
        <v>22</v>
      </c>
      <c r="AU13" s="1164">
        <f>SUMIFS(Table9[Count of EnergyRating],Table9[MainSpaceHeatingFuel],AL13,Table9[EnergyRating (group)],AM13,Table9[CountyName (group)],AU$4)</f>
        <v>9</v>
      </c>
      <c r="AV13" s="1164">
        <f>SUMIFS(Table9[Count of EnergyRating],Table9[MainSpaceHeatingFuel],AL13,Table9[EnergyRating (group)],AM13,Table9[CountyName (group)],AV$4)</f>
        <v>0</v>
      </c>
      <c r="AW13" s="1164">
        <f>SUMIFS(Table9[Count of EnergyRating],Table9[MainSpaceHeatingFuel],AL13,Table9[EnergyRating (group)],AM13,Table9[CountyName (group)],AW$4)</f>
        <v>0</v>
      </c>
      <c r="AX13" s="1164">
        <f>SUMIFS(Table9[Count of EnergyRating],Table9[MainSpaceHeatingFuel],AL13,Table9[EnergyRating (group)],AM13,Table9[CountyName (group)],AX$4)</f>
        <v>0</v>
      </c>
      <c r="AY13" s="1164">
        <f>SUMIFS(Table9[Count of EnergyRating],Table9[MainSpaceHeatingFuel],AL13,Table9[EnergyRating (group)],AM13,Table9[CountyName (group)],AY$4)</f>
        <v>0</v>
      </c>
      <c r="AZ13" s="1164">
        <f>SUMIFS(Table9[Count of EnergyRating],Table9[MainSpaceHeatingFuel],AL13,Table9[EnergyRating (group)],AM13,Table9[CountyName (group)],AZ$4)</f>
        <v>0</v>
      </c>
      <c r="BA13" s="1164">
        <f>SUMIFS(Table9[Count of EnergyRating],Table9[MainSpaceHeatingFuel],AL13,Table9[EnergyRating (group)],AM13,Table9[CountyName (group)],BA$4)</f>
        <v>25</v>
      </c>
      <c r="BB13" s="1164">
        <f>SUMIFS(Table9[Count of EnergyRating],Table9[MainSpaceHeatingFuel],AL13,Table9[EnergyRating (group)],AM13,Table9[CountyName (group)],BB$4)</f>
        <v>0</v>
      </c>
      <c r="BC13" s="1164">
        <f>SUMIFS(Table9[Count of EnergyRating],Table9[MainSpaceHeatingFuel],AL13,Table9[EnergyRating (group)],AM13,Table9[CountyName (group)],BC$4)</f>
        <v>16</v>
      </c>
      <c r="BD13" s="1164">
        <f>SUMIFS(Table9[Count of EnergyRating],Table9[MainSpaceHeatingFuel],AL13,Table9[EnergyRating (group)],AM13,Table9[CountyName (group)],BD$4)</f>
        <v>0</v>
      </c>
      <c r="BE13" s="1164">
        <f>SUMIFS(Table9[Count of EnergyRating],Table9[MainSpaceHeatingFuel],AL13,Table9[EnergyRating (group)],AM13,Table9[CountyName (group)],BE$4)</f>
        <v>6</v>
      </c>
      <c r="BF13" s="1164">
        <f>SUMIFS(Table9[Count of EnergyRating],Table9[MainSpaceHeatingFuel],AL13,Table9[EnergyRating (group)],AM13,Table9[CountyName (group)],BF$4)</f>
        <v>12</v>
      </c>
      <c r="BG13" s="1164">
        <f>SUMIFS(Table9[Count of EnergyRating],Table9[MainSpaceHeatingFuel],AL13,Table9[EnergyRating (group)],AM13,Table9[CountyName (group)],BG$4)</f>
        <v>7</v>
      </c>
      <c r="BH13" s="1164">
        <f>SUMIFS(Table9[Count of EnergyRating],Table9[MainSpaceHeatingFuel],AL13,Table9[EnergyRating (group)],AM13,Table9[CountyName (group)],BH$4)</f>
        <v>0</v>
      </c>
      <c r="BI13" s="1164">
        <f>SUMIFS(Table9[Count of EnergyRating],Table9[MainSpaceHeatingFuel],AL13,Table9[EnergyRating (group)],AM13,Table9[CountyName (group)],BI$4)</f>
        <v>8</v>
      </c>
      <c r="BJ13" s="1164">
        <f>SUMIFS(Table9[Count of EnergyRating],Table9[MainSpaceHeatingFuel],AL13,Table9[EnergyRating (group)],AM13,Table9[CountyName (group)],BJ$4)</f>
        <v>6</v>
      </c>
      <c r="BK13" s="1135">
        <f>SUMIFS(Table9[Count of EnergyRating],Table9[MainSpaceHeatingFuel],AL13,Table9[EnergyRating (group)],AM13,Table9[CountyName (group)],BK$4)</f>
        <v>13</v>
      </c>
      <c r="BL13" s="1164">
        <f>SUMIFS(Table9[Count of EnergyRating],Table9[MainSpaceHeatingFuel],AL13,Table9[EnergyRating (group)],AM13,Table9[CountyName (group)],BL$4)</f>
        <v>0</v>
      </c>
      <c r="BM13" s="1164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65"/>
      <c r="C14" s="1165" t="s">
        <v>1171</v>
      </c>
      <c r="D14" s="1165" t="s">
        <v>1094</v>
      </c>
      <c r="E14" s="1166">
        <f t="shared" ref="E14:AA14" si="7">G137</f>
        <v>3.4271179642894438E-2</v>
      </c>
      <c r="F14" s="1166">
        <f t="shared" si="7"/>
        <v>3.3222161830882357</v>
      </c>
      <c r="G14" s="1166">
        <f t="shared" si="7"/>
        <v>0.19838777776049527</v>
      </c>
      <c r="H14" s="1166">
        <f t="shared" si="7"/>
        <v>4.7183911007537667E-2</v>
      </c>
      <c r="I14" s="1166">
        <f t="shared" si="7"/>
        <v>3.8660274501739748E-2</v>
      </c>
      <c r="J14" s="1166">
        <f t="shared" si="7"/>
        <v>1.8627846238614819E-2</v>
      </c>
      <c r="K14" s="1166">
        <f t="shared" si="7"/>
        <v>8.1868610709705747E-2</v>
      </c>
      <c r="L14" s="1166">
        <f t="shared" si="7"/>
        <v>0.14578893383122099</v>
      </c>
      <c r="M14" s="1166">
        <f t="shared" si="7"/>
        <v>3.1663543457283984E-2</v>
      </c>
      <c r="N14" s="1166">
        <f t="shared" si="7"/>
        <v>7.7831380155050492E-2</v>
      </c>
      <c r="O14" s="1166">
        <f t="shared" si="7"/>
        <v>7.1904883877422263E-2</v>
      </c>
      <c r="P14" s="1166">
        <f t="shared" si="7"/>
        <v>0.12158971650970242</v>
      </c>
      <c r="Q14" s="1166">
        <f t="shared" si="7"/>
        <v>6.711596242051561E-2</v>
      </c>
      <c r="R14" s="1166">
        <f t="shared" si="7"/>
        <v>0.48937100125444655</v>
      </c>
      <c r="S14" s="1166">
        <f t="shared" si="7"/>
        <v>7.8292381445721843E-2</v>
      </c>
      <c r="T14" s="1166">
        <f t="shared" si="7"/>
        <v>0.2010099141313384</v>
      </c>
      <c r="U14" s="1166">
        <f t="shared" si="7"/>
        <v>6.417968142425548E-2</v>
      </c>
      <c r="V14" s="1166">
        <f t="shared" si="7"/>
        <v>8.6188772983729581E-2</v>
      </c>
      <c r="W14" s="1166">
        <f t="shared" si="7"/>
        <v>0.26621952906011415</v>
      </c>
      <c r="X14" s="1166">
        <f t="shared" si="7"/>
        <v>1.4629591985095291E-2</v>
      </c>
      <c r="Y14" s="1166">
        <f t="shared" si="7"/>
        <v>5.7689131611666569E-2</v>
      </c>
      <c r="Z14" s="1166">
        <f t="shared" si="7"/>
        <v>1.8224261711465281E-2</v>
      </c>
      <c r="AA14" s="1166">
        <f t="shared" si="7"/>
        <v>4.5155585231507721E-2</v>
      </c>
      <c r="AB14" s="1166">
        <f>AD137</f>
        <v>3.4243380180117335E-2</v>
      </c>
      <c r="AC14" s="1166">
        <f>AE137</f>
        <v>6.4469518622353408E-2</v>
      </c>
      <c r="AD14" s="1166">
        <f>AF137</f>
        <v>2.7682800285522766E-2</v>
      </c>
      <c r="AE14" s="1175">
        <f t="shared" si="5"/>
        <v>5.7044657531277538</v>
      </c>
      <c r="AG14" s="1164"/>
      <c r="AL14" s="1148" t="s">
        <v>401</v>
      </c>
      <c r="AM14" s="1148" t="s">
        <v>1107</v>
      </c>
      <c r="AN14" s="1149">
        <f>SUMIFS(Table9[Count of EnergyRating],Table9[MainWaterHeatingFuel],AL14,Table9[CountyName (group)],AN$4)</f>
        <v>110</v>
      </c>
      <c r="AO14" s="1150">
        <f>SUMIFS(Table9[Count of EnergyRating],Table9[MainWaterHeatingFuel],$AL$14,Table9[CountyName (group)],AO4)</f>
        <v>244</v>
      </c>
      <c r="AP14" s="1150">
        <f>SUMIFS(Table9[Count of EnergyRating],Table9[MainWaterHeatingFuel],$AL$14,Table9[CountyName (group)],AP4)</f>
        <v>0</v>
      </c>
      <c r="AQ14" s="1150">
        <f>SUMIFS(Table9[Count of EnergyRating],Table9[MainWaterHeatingFuel],$AL$14,Table9[CountyName (group)],AQ4)</f>
        <v>0</v>
      </c>
      <c r="AR14" s="1150">
        <f>SUMIFS(Table9[Count of EnergyRating],Table9[MainWaterHeatingFuel],$AL$14,Table9[CountyName (group)],AR4)</f>
        <v>76</v>
      </c>
      <c r="AS14" s="1150">
        <f>SUMIFS(Table9[Count of EnergyRating],Table9[MainWaterHeatingFuel],$AL$14,Table9[CountyName (group)],AS4)</f>
        <v>0</v>
      </c>
      <c r="AT14" s="1150">
        <f>SUMIFS(Table9[Count of EnergyRating],Table9[MainWaterHeatingFuel],$AL$14,Table9[CountyName (group)],AT4)</f>
        <v>102</v>
      </c>
      <c r="AU14" s="1150">
        <f>SUMIFS(Table9[Count of EnergyRating],Table9[MainWaterHeatingFuel],$AL$14,Table9[CountyName (group)],AU4)</f>
        <v>138</v>
      </c>
      <c r="AV14" s="1150">
        <f>SUMIFS(Table9[Count of EnergyRating],Table9[MainWaterHeatingFuel],$AL$14,Table9[CountyName (group)],AV4)</f>
        <v>0</v>
      </c>
      <c r="AW14" s="1150">
        <f>SUMIFS(Table9[Count of EnergyRating],Table9[MainWaterHeatingFuel],$AL$14,Table9[CountyName (group)],AW4)</f>
        <v>0</v>
      </c>
      <c r="AX14" s="1150">
        <f>SUMIFS(Table9[Count of EnergyRating],Table9[MainWaterHeatingFuel],$AL$14,Table9[CountyName (group)],AX4)</f>
        <v>0</v>
      </c>
      <c r="AY14" s="1150">
        <f>SUMIFS(Table9[Count of EnergyRating],Table9[MainWaterHeatingFuel],$AL$14,Table9[CountyName (group)],AY4)</f>
        <v>0</v>
      </c>
      <c r="AZ14" s="1149">
        <f>SUMIFS(Table9[Count of EnergyRating],Table9[MainWaterHeatingFuel],$AL$14,Table9[CountyName (group)],AZ4)</f>
        <v>0</v>
      </c>
      <c r="BA14" s="1150">
        <f>SUMIFS(Table9[Count of EnergyRating],Table9[MainWaterHeatingFuel],$AL$14,Table9[CountyName (group)],BA4)</f>
        <v>322</v>
      </c>
      <c r="BB14" s="1150">
        <f>SUMIFS(Table9[Count of EnergyRating],Table9[MainWaterHeatingFuel],$AL$14,Table9[CountyName (group)],BB4)</f>
        <v>0</v>
      </c>
      <c r="BC14" s="1150">
        <f>SUMIFS(Table9[Count of EnergyRating],Table9[MainWaterHeatingFuel],$AL$14,Table9[CountyName (group)],BC4)</f>
        <v>136</v>
      </c>
      <c r="BD14" s="1150">
        <f>SUMIFS(Table9[Count of EnergyRating],Table9[MainWaterHeatingFuel],$AL$14,Table9[CountyName (group)],BD4)</f>
        <v>0</v>
      </c>
      <c r="BE14" s="1150">
        <f>SUMIFS(Table9[Count of EnergyRating],Table9[MainWaterHeatingFuel],$AL$14,Table9[CountyName (group)],BE4)</f>
        <v>50</v>
      </c>
      <c r="BF14" s="1150">
        <f>SUMIFS(Table9[Count of EnergyRating],Table9[MainWaterHeatingFuel],$AL$14,Table9[CountyName (group)],BF4)</f>
        <v>328</v>
      </c>
      <c r="BG14" s="1150">
        <f>SUMIFS(Table9[Count of EnergyRating],Table9[MainWaterHeatingFuel],$AL$14,Table9[CountyName (group)],BG4)</f>
        <v>53</v>
      </c>
      <c r="BH14" s="1150">
        <f>SUMIFS(Table9[Count of EnergyRating],Table9[MainWaterHeatingFuel],$AL$14,Table9[CountyName (group)],BH4)</f>
        <v>0</v>
      </c>
      <c r="BI14" s="1150">
        <f>SUMIFS(Table9[Count of EnergyRating],Table9[MainWaterHeatingFuel],$AL$14,Table9[CountyName (group)],BI4)</f>
        <v>62</v>
      </c>
      <c r="BJ14" s="1150">
        <f>SUMIFS(Table9[Count of EnergyRating],Table9[MainWaterHeatingFuel],$AL$14,Table9[CountyName (group)],BJ4)</f>
        <v>169</v>
      </c>
      <c r="BK14" s="1149">
        <f>SUMIFS(Table9[Count of EnergyRating],Table9[MainWaterHeatingFuel],$AL$14,Table9[CountyName (group)],BK4)</f>
        <v>103</v>
      </c>
      <c r="BL14" s="1150">
        <f>SUMIFS(Table9[Count of EnergyRating],Table9[MainWaterHeatingFuel],$AL$14,Table9[CountyName (group)],BL4)</f>
        <v>0</v>
      </c>
      <c r="BM14" s="1150">
        <f>SUMIFS(Table9[Count of EnergyRating],Table9[MainWaterHeatingFuel],$AL$14,Table9[CountyName (group)],BM4)</f>
        <v>96</v>
      </c>
    </row>
    <row r="15" spans="1:67" ht="15">
      <c r="B15" s="1137"/>
      <c r="C15" s="1137" t="s">
        <v>1196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G15" s="1164"/>
      <c r="AL15" s="1144" t="s">
        <v>402</v>
      </c>
      <c r="AM15" s="1144" t="s">
        <v>48</v>
      </c>
      <c r="AN15" s="1135">
        <f>SUMIFS(Table9[Count of EnergyRating],Table9[MainSpaceHeatingFuel],AL15,Table9[EnergyRating (group)],AM15,Table9[CountyName (group)],AN$4)</f>
        <v>4</v>
      </c>
      <c r="AO15" s="1164">
        <f>SUMIFS(Table9[Count of EnergyRating],Table9[MainSpaceHeatingFuel],AL15,Table9[EnergyRating (group)],AM15,Table9[CountyName (group)],AO$4)</f>
        <v>1564</v>
      </c>
      <c r="AP15" s="1164">
        <f>SUMIFS(Table9[Count of EnergyRating],Table9[MainSpaceHeatingFuel],AL15,Table9[EnergyRating (group)],AM15,Table9[CountyName (group)],AP$4)</f>
        <v>0</v>
      </c>
      <c r="AQ15" s="1164">
        <f>SUMIFS(Table9[Count of EnergyRating],Table9[MainSpaceHeatingFuel],AL15,Table9[EnergyRating (group)],AM15,Table9[CountyName (group)],AQ$4)</f>
        <v>0</v>
      </c>
      <c r="AR15" s="1164">
        <f>SUMIFS(Table9[Count of EnergyRating],Table9[MainSpaceHeatingFuel],AL15,Table9[EnergyRating (group)],AM15,Table9[CountyName (group)],AR$4)</f>
        <v>0</v>
      </c>
      <c r="AS15" s="1164">
        <f>SUMIFS(Table9[Count of EnergyRating],Table9[MainSpaceHeatingFuel],AL15,Table9[EnergyRating (group)],AM15,Table9[CountyName (group)],AS$4)</f>
        <v>0</v>
      </c>
      <c r="AT15" s="1164">
        <f>SUMIFS(Table9[Count of EnergyRating],Table9[MainSpaceHeatingFuel],AL15,Table9[EnergyRating (group)],AM15,Table9[CountyName (group)],AT$4)</f>
        <v>45</v>
      </c>
      <c r="AU15" s="1164">
        <f>SUMIFS(Table9[Count of EnergyRating],Table9[MainSpaceHeatingFuel],AL15,Table9[EnergyRating (group)],AM15,Table9[CountyName (group)],AU$4)</f>
        <v>19</v>
      </c>
      <c r="AV15" s="1164">
        <f>SUMIFS(Table9[Count of EnergyRating],Table9[MainSpaceHeatingFuel],AL15,Table9[EnergyRating (group)],AM15,Table9[CountyName (group)],AV$4)</f>
        <v>0</v>
      </c>
      <c r="AW15" s="1164">
        <f>SUMIFS(Table9[Count of EnergyRating],Table9[MainSpaceHeatingFuel],AL15,Table9[EnergyRating (group)],AM15,Table9[CountyName (group)],AW$4)</f>
        <v>0</v>
      </c>
      <c r="AX15" s="1164">
        <f>SUMIFS(Table9[Count of EnergyRating],Table9[MainSpaceHeatingFuel],AL15,Table9[EnergyRating (group)],AM15,Table9[CountyName (group)],AX$4)</f>
        <v>0</v>
      </c>
      <c r="AY15" s="1164">
        <f>SUMIFS(Table9[Count of EnergyRating],Table9[MainSpaceHeatingFuel],AL15,Table9[EnergyRating (group)],AM15,Table9[CountyName (group)],AY$4)</f>
        <v>0</v>
      </c>
      <c r="AZ15" s="1164">
        <f>SUMIFS(Table9[Count of EnergyRating],Table9[MainSpaceHeatingFuel],AL15,Table9[EnergyRating (group)],AM15,Table9[CountyName (group)],AZ$4)</f>
        <v>0</v>
      </c>
      <c r="BA15" s="1164">
        <f>SUMIFS(Table9[Count of EnergyRating],Table9[MainSpaceHeatingFuel],AL15,Table9[EnergyRating (group)],AM15,Table9[CountyName (group)],BA$4)</f>
        <v>45</v>
      </c>
      <c r="BB15" s="1164">
        <f>SUMIFS(Table9[Count of EnergyRating],Table9[MainSpaceHeatingFuel],AL15,Table9[EnergyRating (group)],AM15,Table9[CountyName (group)],BB$4)</f>
        <v>0</v>
      </c>
      <c r="BC15" s="1164">
        <f>SUMIFS(Table9[Count of EnergyRating],Table9[MainSpaceHeatingFuel],AL15,Table9[EnergyRating (group)],AM15,Table9[CountyName (group)],BC$4)</f>
        <v>7</v>
      </c>
      <c r="BD15" s="1164">
        <f>SUMIFS(Table9[Count of EnergyRating],Table9[MainSpaceHeatingFuel],AL15,Table9[EnergyRating (group)],AM15,Table9[CountyName (group)],BD$4)</f>
        <v>0</v>
      </c>
      <c r="BE15" s="1164">
        <f>SUMIFS(Table9[Count of EnergyRating],Table9[MainSpaceHeatingFuel],AL15,Table9[EnergyRating (group)],AM15,Table9[CountyName (group)],BE$4)</f>
        <v>15</v>
      </c>
      <c r="BF15" s="1164">
        <f>SUMIFS(Table9[Count of EnergyRating],Table9[MainSpaceHeatingFuel],AL15,Table9[EnergyRating (group)],AM15,Table9[CountyName (group)],BF$4)</f>
        <v>14</v>
      </c>
      <c r="BG15" s="1164">
        <f>SUMIFS(Table9[Count of EnergyRating],Table9[MainSpaceHeatingFuel],AL15,Table9[EnergyRating (group)],AM15,Table9[CountyName (group)],BG$4)</f>
        <v>0</v>
      </c>
      <c r="BH15" s="1164">
        <f>SUMIFS(Table9[Count of EnergyRating],Table9[MainSpaceHeatingFuel],AL15,Table9[EnergyRating (group)],AM15,Table9[CountyName (group)],BH$4)</f>
        <v>0</v>
      </c>
      <c r="BI15" s="1164">
        <f>SUMIFS(Table9[Count of EnergyRating],Table9[MainSpaceHeatingFuel],AL15,Table9[EnergyRating (group)],AM15,Table9[CountyName (group)],BI$4)</f>
        <v>0</v>
      </c>
      <c r="BJ15" s="1164">
        <f>SUMIFS(Table9[Count of EnergyRating],Table9[MainSpaceHeatingFuel],AL15,Table9[EnergyRating (group)],AM15,Table9[CountyName (group)],BJ$4)</f>
        <v>0</v>
      </c>
      <c r="BK15" s="1135">
        <f>SUMIFS(Table9[Count of EnergyRating],Table9[MainSpaceHeatingFuel],AL15,Table9[EnergyRating (group)],AM15,Table9[CountyName (group)],BK$4)</f>
        <v>0</v>
      </c>
      <c r="BL15" s="1164">
        <f>SUMIFS(Table9[Count of EnergyRating],Table9[MainSpaceHeatingFuel],AL15,Table9[EnergyRating (group)],AM15,Table9[CountyName (group)],BL$4)</f>
        <v>0</v>
      </c>
      <c r="BM15" s="1164">
        <f>SUMIFS(Table9[Count of EnergyRating],Table9[MainSpaceHeatingFuel],AL15,Table9[EnergyRating (group)],AM15,Table9[CountyName (group)],BM$4)</f>
        <v>0</v>
      </c>
    </row>
    <row r="16" spans="1:67">
      <c r="B16" s="1134" t="s">
        <v>1259</v>
      </c>
      <c r="C16" s="1134" t="s">
        <v>1172</v>
      </c>
      <c r="D16" s="1134" t="s">
        <v>1094</v>
      </c>
      <c r="E16" s="1145">
        <f t="shared" ref="E16:AA16" si="8">IFERROR(G139*((SUM(AN$15:AN$18)/SUM(AN$15:AN$23))/(SUM(G$139)/SUM(G$139:G$144))),G139)</f>
        <v>0.14696324042779466</v>
      </c>
      <c r="F16" s="1145">
        <f t="shared" si="8"/>
        <v>21.175314753262732</v>
      </c>
      <c r="G16" s="1145">
        <f t="shared" si="8"/>
        <v>0.52881569008244833</v>
      </c>
      <c r="H16" s="1145">
        <f t="shared" si="8"/>
        <v>0.13026229713986445</v>
      </c>
      <c r="I16" s="1145">
        <f t="shared" si="8"/>
        <v>0.25289283426614978</v>
      </c>
      <c r="J16" s="1145">
        <f t="shared" si="8"/>
        <v>2.0230414948784092E-2</v>
      </c>
      <c r="K16" s="1145">
        <f t="shared" si="8"/>
        <v>0.42023625182856011</v>
      </c>
      <c r="L16" s="1145">
        <f t="shared" si="8"/>
        <v>0.81586737049010916</v>
      </c>
      <c r="M16" s="1145">
        <f t="shared" si="8"/>
        <v>3.9990254398446778E-2</v>
      </c>
      <c r="N16" s="1145">
        <f t="shared" si="8"/>
        <v>0.18895736932242288</v>
      </c>
      <c r="O16" s="1145">
        <f t="shared" si="8"/>
        <v>9.7627089666047467E-2</v>
      </c>
      <c r="P16" s="1145">
        <f t="shared" si="8"/>
        <v>0.47706970177290131</v>
      </c>
      <c r="Q16" s="1145">
        <f t="shared" si="8"/>
        <v>0.10814302636835947</v>
      </c>
      <c r="R16" s="1145">
        <f t="shared" si="8"/>
        <v>3.4258041213960491</v>
      </c>
      <c r="S16" s="1145">
        <f t="shared" si="8"/>
        <v>0.14196853388085476</v>
      </c>
      <c r="T16" s="1145">
        <f t="shared" si="8"/>
        <v>0.75173233790079719</v>
      </c>
      <c r="U16" s="1145">
        <f t="shared" si="8"/>
        <v>5.8812040001800611E-2</v>
      </c>
      <c r="V16" s="1145">
        <f t="shared" si="8"/>
        <v>0.29499046700006315</v>
      </c>
      <c r="W16" s="1145">
        <f t="shared" si="8"/>
        <v>1.3116702637008717</v>
      </c>
      <c r="X16" s="1145">
        <f t="shared" si="8"/>
        <v>7.3741476108280718E-2</v>
      </c>
      <c r="Y16" s="1145">
        <f t="shared" si="8"/>
        <v>7.5772166550151579E-2</v>
      </c>
      <c r="Z16" s="1145">
        <f t="shared" si="8"/>
        <v>8.3112024743665455E-2</v>
      </c>
      <c r="AA16" s="1145">
        <f t="shared" si="8"/>
        <v>0.27682281317093338</v>
      </c>
      <c r="AB16" s="1145">
        <f>IFERROR(AD139*((SUM(BK$15:BK$18)/SUM(BK$15:BK$23))/(SUM(AD$139)/SUM(AD$139:AD$144))),AD139)</f>
        <v>6.9557698184071953E-2</v>
      </c>
      <c r="AC16" s="1145">
        <f>IFERROR(AE139*((SUM(BL$15:BL$18)/SUM(BL$15:BL$23))/(SUM(AE$139)/SUM(AE$139:AE$144))),AE139)</f>
        <v>0.14612312457980436</v>
      </c>
      <c r="AD16" s="1145">
        <f>IFERROR(AF139*((SUM(BM$15:BM$18)/SUM(BM$15:BM$23))/(SUM(AF$139)/SUM(AF$139:AF$144))),AF139)</f>
        <v>9.3024720395252919E-2</v>
      </c>
      <c r="AE16" s="1172">
        <f t="shared" si="5"/>
        <v>31.205502081587223</v>
      </c>
      <c r="AG16" s="1164"/>
      <c r="AL16" s="1144" t="s">
        <v>402</v>
      </c>
      <c r="AM16" s="1144" t="s">
        <v>50</v>
      </c>
      <c r="AN16" s="1135">
        <f>SUMIFS(Table9[Count of EnergyRating],Table9[MainSpaceHeatingFuel],AL16,Table9[EnergyRating (group)],AM16,Table9[CountyName (group)],AN$4)</f>
        <v>14</v>
      </c>
      <c r="AO16" s="1164">
        <f>SUMIFS(Table9[Count of EnergyRating],Table9[MainSpaceHeatingFuel],AL16,Table9[EnergyRating (group)],AM16,Table9[CountyName (group)],AO$4)</f>
        <v>1695</v>
      </c>
      <c r="AP16" s="1164">
        <f>SUMIFS(Table9[Count of EnergyRating],Table9[MainSpaceHeatingFuel],AL16,Table9[EnergyRating (group)],AM16,Table9[CountyName (group)],AP$4)</f>
        <v>0</v>
      </c>
      <c r="AQ16" s="1164">
        <f>SUMIFS(Table9[Count of EnergyRating],Table9[MainSpaceHeatingFuel],AL16,Table9[EnergyRating (group)],AM16,Table9[CountyName (group)],AQ$4)</f>
        <v>0</v>
      </c>
      <c r="AR16" s="1164">
        <f>SUMIFS(Table9[Count of EnergyRating],Table9[MainSpaceHeatingFuel],AL16,Table9[EnergyRating (group)],AM16,Table9[CountyName (group)],AR$4)</f>
        <v>5</v>
      </c>
      <c r="AS16" s="1164">
        <f>SUMIFS(Table9[Count of EnergyRating],Table9[MainSpaceHeatingFuel],AL16,Table9[EnergyRating (group)],AM16,Table9[CountyName (group)],AS$4)</f>
        <v>0</v>
      </c>
      <c r="AT16" s="1164">
        <f>SUMIFS(Table9[Count of EnergyRating],Table9[MainSpaceHeatingFuel],AL16,Table9[EnergyRating (group)],AM16,Table9[CountyName (group)],AT$4)</f>
        <v>33</v>
      </c>
      <c r="AU16" s="1164">
        <f>SUMIFS(Table9[Count of EnergyRating],Table9[MainSpaceHeatingFuel],AL16,Table9[EnergyRating (group)],AM16,Table9[CountyName (group)],AU$4)</f>
        <v>41</v>
      </c>
      <c r="AV16" s="1164">
        <f>SUMIFS(Table9[Count of EnergyRating],Table9[MainSpaceHeatingFuel],AL16,Table9[EnergyRating (group)],AM16,Table9[CountyName (group)],AV$4)</f>
        <v>0</v>
      </c>
      <c r="AW16" s="1164">
        <f>SUMIFS(Table9[Count of EnergyRating],Table9[MainSpaceHeatingFuel],AL16,Table9[EnergyRating (group)],AM16,Table9[CountyName (group)],AW$4)</f>
        <v>0</v>
      </c>
      <c r="AX16" s="1164">
        <f>SUMIFS(Table9[Count of EnergyRating],Table9[MainSpaceHeatingFuel],AL16,Table9[EnergyRating (group)],AM16,Table9[CountyName (group)],AX$4)</f>
        <v>0</v>
      </c>
      <c r="AY16" s="1164">
        <f>SUMIFS(Table9[Count of EnergyRating],Table9[MainSpaceHeatingFuel],AL16,Table9[EnergyRating (group)],AM16,Table9[CountyName (group)],AY$4)</f>
        <v>0</v>
      </c>
      <c r="AZ16" s="1164">
        <f>SUMIFS(Table9[Count of EnergyRating],Table9[MainSpaceHeatingFuel],AL16,Table9[EnergyRating (group)],AM16,Table9[CountyName (group)],AZ$4)</f>
        <v>0</v>
      </c>
      <c r="BA16" s="1164">
        <f>SUMIFS(Table9[Count of EnergyRating],Table9[MainSpaceHeatingFuel],AL16,Table9[EnergyRating (group)],AM16,Table9[CountyName (group)],BA$4)</f>
        <v>357</v>
      </c>
      <c r="BB16" s="1164">
        <f>SUMIFS(Table9[Count of EnergyRating],Table9[MainSpaceHeatingFuel],AL16,Table9[EnergyRating (group)],AM16,Table9[CountyName (group)],BB$4)</f>
        <v>0</v>
      </c>
      <c r="BC16" s="1164">
        <f>SUMIFS(Table9[Count of EnergyRating],Table9[MainSpaceHeatingFuel],AL16,Table9[EnergyRating (group)],AM16,Table9[CountyName (group)],BC$4)</f>
        <v>33</v>
      </c>
      <c r="BD16" s="1164">
        <f>SUMIFS(Table9[Count of EnergyRating],Table9[MainSpaceHeatingFuel],AL16,Table9[EnergyRating (group)],AM16,Table9[CountyName (group)],BD$4)</f>
        <v>0</v>
      </c>
      <c r="BE16" s="1164">
        <f>SUMIFS(Table9[Count of EnergyRating],Table9[MainSpaceHeatingFuel],AL16,Table9[EnergyRating (group)],AM16,Table9[CountyName (group)],BE$4)</f>
        <v>1</v>
      </c>
      <c r="BF16" s="1164">
        <f>SUMIFS(Table9[Count of EnergyRating],Table9[MainSpaceHeatingFuel],AL16,Table9[EnergyRating (group)],AM16,Table9[CountyName (group)],BF$4)</f>
        <v>22</v>
      </c>
      <c r="BG16" s="1164">
        <f>SUMIFS(Table9[Count of EnergyRating],Table9[MainSpaceHeatingFuel],AL16,Table9[EnergyRating (group)],AM16,Table9[CountyName (group)],BG$4)</f>
        <v>1</v>
      </c>
      <c r="BH16" s="1164">
        <f>SUMIFS(Table9[Count of EnergyRating],Table9[MainSpaceHeatingFuel],AL16,Table9[EnergyRating (group)],AM16,Table9[CountyName (group)],BH$4)</f>
        <v>0</v>
      </c>
      <c r="BI16" s="1164">
        <f>SUMIFS(Table9[Count of EnergyRating],Table9[MainSpaceHeatingFuel],AL16,Table9[EnergyRating (group)],AM16,Table9[CountyName (group)],BI$4)</f>
        <v>0</v>
      </c>
      <c r="BJ16" s="1164">
        <f>SUMIFS(Table9[Count of EnergyRating],Table9[MainSpaceHeatingFuel],AL16,Table9[EnergyRating (group)],AM16,Table9[CountyName (group)],BJ$4)</f>
        <v>0</v>
      </c>
      <c r="BK16" s="1135">
        <f>SUMIFS(Table9[Count of EnergyRating],Table9[MainSpaceHeatingFuel],AL16,Table9[EnergyRating (group)],AM16,Table9[CountyName (group)],BK$4)</f>
        <v>0</v>
      </c>
      <c r="BL16" s="1164">
        <f>SUMIFS(Table9[Count of EnergyRating],Table9[MainSpaceHeatingFuel],AL16,Table9[EnergyRating (group)],AM16,Table9[CountyName (group)],BL$4)</f>
        <v>0</v>
      </c>
      <c r="BM16" s="1164">
        <f>SUMIFS(Table9[Count of EnergyRating],Table9[MainSpaceHeatingFuel],AL16,Table9[EnergyRating (group)],AM16,Table9[CountyName (group)],BM$4)</f>
        <v>2</v>
      </c>
    </row>
    <row r="17" spans="2:65">
      <c r="B17" s="1136" t="s">
        <v>56</v>
      </c>
      <c r="C17" s="1136" t="s">
        <v>1172</v>
      </c>
      <c r="D17" s="1136" t="s">
        <v>1094</v>
      </c>
      <c r="E17" s="1146">
        <f t="shared" ref="E17:AA17" si="9">IFERROR(G140*((SUM(AN$19)/SUM(AN$15:AN$23))/(SUM(G$140)/SUM(G$139:G$144))),G140)</f>
        <v>0.25911939759637481</v>
      </c>
      <c r="F17" s="1146">
        <f t="shared" si="9"/>
        <v>20.596543896213873</v>
      </c>
      <c r="G17" s="1146">
        <f t="shared" si="9"/>
        <v>1.1982178795420817</v>
      </c>
      <c r="H17" s="1146">
        <f t="shared" si="9"/>
        <v>0.29431971093697928</v>
      </c>
      <c r="I17" s="1146">
        <f t="shared" si="9"/>
        <v>0.26931444688083489</v>
      </c>
      <c r="J17" s="1146">
        <f t="shared" si="9"/>
        <v>7.7413887278035429E-2</v>
      </c>
      <c r="K17" s="1146">
        <f t="shared" si="9"/>
        <v>0.62642285355733385</v>
      </c>
      <c r="L17" s="1146">
        <f t="shared" si="9"/>
        <v>1.2084451232300306</v>
      </c>
      <c r="M17" s="1146">
        <f t="shared" si="9"/>
        <v>0.13106675213273974</v>
      </c>
      <c r="N17" s="1146">
        <f t="shared" si="9"/>
        <v>0.35675771641620624</v>
      </c>
      <c r="O17" s="1146">
        <f t="shared" si="9"/>
        <v>0.29966540537120517</v>
      </c>
      <c r="P17" s="1146">
        <f t="shared" si="9"/>
        <v>0.63207871127079684</v>
      </c>
      <c r="Q17" s="1146">
        <f t="shared" si="9"/>
        <v>0.31220793972136873</v>
      </c>
      <c r="R17" s="1146">
        <f t="shared" si="9"/>
        <v>3.0425362099630093</v>
      </c>
      <c r="S17" s="1146">
        <f t="shared" si="9"/>
        <v>0.39768543558177055</v>
      </c>
      <c r="T17" s="1146">
        <f t="shared" si="9"/>
        <v>1.759776159433674</v>
      </c>
      <c r="U17" s="1146">
        <f t="shared" si="9"/>
        <v>0.19225689579176983</v>
      </c>
      <c r="V17" s="1146">
        <f t="shared" si="9"/>
        <v>0.63020690677286229</v>
      </c>
      <c r="W17" s="1146">
        <f t="shared" si="9"/>
        <v>2.3124260945245001</v>
      </c>
      <c r="X17" s="1146">
        <f t="shared" si="9"/>
        <v>0</v>
      </c>
      <c r="Y17" s="1146">
        <f t="shared" si="9"/>
        <v>0.25917096293293318</v>
      </c>
      <c r="Z17" s="1146">
        <f t="shared" si="9"/>
        <v>0.17497268367087465</v>
      </c>
      <c r="AA17" s="1146">
        <f t="shared" si="9"/>
        <v>0.40600679265070233</v>
      </c>
      <c r="AB17" s="1146">
        <f>IFERROR(AD140*((SUM(BK$19)/SUM(BK$15:BK$23))/(SUM(AD$140)/SUM(AD$139:AD$144))),AD140)</f>
        <v>0.34005985778879622</v>
      </c>
      <c r="AC17" s="1146">
        <f>IFERROR(AE140*((SUM(BL$19)/SUM(BL$15:BL$23))/(SUM(AE$140)/SUM(AE$139:AE$144))),AE140)</f>
        <v>0.36575530511258492</v>
      </c>
      <c r="AD17" s="1146">
        <f>IFERROR(AF140*((SUM(BM$19)/SUM(BM$15:BM$23))/(SUM(AF$140)/SUM(AF$139:AF$144))),AF140)</f>
        <v>0.25000393606224219</v>
      </c>
      <c r="AE17" s="1173">
        <f t="shared" si="5"/>
        <v>36.392430960433565</v>
      </c>
      <c r="AG17" s="1164"/>
      <c r="AL17" s="1144" t="s">
        <v>402</v>
      </c>
      <c r="AM17" s="1144" t="s">
        <v>52</v>
      </c>
      <c r="AN17" s="1135">
        <f>SUMIFS(Table9[Count of EnergyRating],Table9[MainSpaceHeatingFuel],AL17,Table9[EnergyRating (group)],AM17,Table9[CountyName (group)],AN$4)</f>
        <v>12</v>
      </c>
      <c r="AO17" s="1164">
        <f>SUMIFS(Table9[Count of EnergyRating],Table9[MainSpaceHeatingFuel],AL17,Table9[EnergyRating (group)],AM17,Table9[CountyName (group)],AO$4)</f>
        <v>4909</v>
      </c>
      <c r="AP17" s="1164">
        <f>SUMIFS(Table9[Count of EnergyRating],Table9[MainSpaceHeatingFuel],AL17,Table9[EnergyRating (group)],AM17,Table9[CountyName (group)],AP$4)</f>
        <v>0</v>
      </c>
      <c r="AQ17" s="1164">
        <f>SUMIFS(Table9[Count of EnergyRating],Table9[MainSpaceHeatingFuel],AL17,Table9[EnergyRating (group)],AM17,Table9[CountyName (group)],AQ$4)</f>
        <v>0</v>
      </c>
      <c r="AR17" s="1164">
        <f>SUMIFS(Table9[Count of EnergyRating],Table9[MainSpaceHeatingFuel],AL17,Table9[EnergyRating (group)],AM17,Table9[CountyName (group)],AR$4)</f>
        <v>66</v>
      </c>
      <c r="AS17" s="1164">
        <f>SUMIFS(Table9[Count of EnergyRating],Table9[MainSpaceHeatingFuel],AL17,Table9[EnergyRating (group)],AM17,Table9[CountyName (group)],AS$4)</f>
        <v>0</v>
      </c>
      <c r="AT17" s="1164">
        <f>SUMIFS(Table9[Count of EnergyRating],Table9[MainSpaceHeatingFuel],AL17,Table9[EnergyRating (group)],AM17,Table9[CountyName (group)],AT$4)</f>
        <v>154</v>
      </c>
      <c r="AU17" s="1164">
        <f>SUMIFS(Table9[Count of EnergyRating],Table9[MainSpaceHeatingFuel],AL17,Table9[EnergyRating (group)],AM17,Table9[CountyName (group)],AU$4)</f>
        <v>210</v>
      </c>
      <c r="AV17" s="1164">
        <f>SUMIFS(Table9[Count of EnergyRating],Table9[MainSpaceHeatingFuel],AL17,Table9[EnergyRating (group)],AM17,Table9[CountyName (group)],AV$4)</f>
        <v>0</v>
      </c>
      <c r="AW17" s="1164">
        <f>SUMIFS(Table9[Count of EnergyRating],Table9[MainSpaceHeatingFuel],AL17,Table9[EnergyRating (group)],AM17,Table9[CountyName (group)],AW$4)</f>
        <v>0</v>
      </c>
      <c r="AX17" s="1164">
        <f>SUMIFS(Table9[Count of EnergyRating],Table9[MainSpaceHeatingFuel],AL17,Table9[EnergyRating (group)],AM17,Table9[CountyName (group)],AX$4)</f>
        <v>0</v>
      </c>
      <c r="AY17" s="1164">
        <f>SUMIFS(Table9[Count of EnergyRating],Table9[MainSpaceHeatingFuel],AL17,Table9[EnergyRating (group)],AM17,Table9[CountyName (group)],AY$4)</f>
        <v>0</v>
      </c>
      <c r="AZ17" s="1164">
        <f>SUMIFS(Table9[Count of EnergyRating],Table9[MainSpaceHeatingFuel],AL17,Table9[EnergyRating (group)],AM17,Table9[CountyName (group)],AZ$4)</f>
        <v>0</v>
      </c>
      <c r="BA17" s="1164">
        <f>SUMIFS(Table9[Count of EnergyRating],Table9[MainSpaceHeatingFuel],AL17,Table9[EnergyRating (group)],AM17,Table9[CountyName (group)],BA$4)</f>
        <v>800</v>
      </c>
      <c r="BB17" s="1164">
        <f>SUMIFS(Table9[Count of EnergyRating],Table9[MainSpaceHeatingFuel],AL17,Table9[EnergyRating (group)],AM17,Table9[CountyName (group)],BB$4)</f>
        <v>0</v>
      </c>
      <c r="BC17" s="1164">
        <f>SUMIFS(Table9[Count of EnergyRating],Table9[MainSpaceHeatingFuel],AL17,Table9[EnergyRating (group)],AM17,Table9[CountyName (group)],BC$4)</f>
        <v>145</v>
      </c>
      <c r="BD17" s="1164">
        <f>SUMIFS(Table9[Count of EnergyRating],Table9[MainSpaceHeatingFuel],AL17,Table9[EnergyRating (group)],AM17,Table9[CountyName (group)],BD$4)</f>
        <v>0</v>
      </c>
      <c r="BE17" s="1164">
        <f>SUMIFS(Table9[Count of EnergyRating],Table9[MainSpaceHeatingFuel],AL17,Table9[EnergyRating (group)],AM17,Table9[CountyName (group)],BE$4)</f>
        <v>17</v>
      </c>
      <c r="BF17" s="1164">
        <f>SUMIFS(Table9[Count of EnergyRating],Table9[MainSpaceHeatingFuel],AL17,Table9[EnergyRating (group)],AM17,Table9[CountyName (group)],BF$4)</f>
        <v>136</v>
      </c>
      <c r="BG17" s="1164">
        <f>SUMIFS(Table9[Count of EnergyRating],Table9[MainSpaceHeatingFuel],AL17,Table9[EnergyRating (group)],AM17,Table9[CountyName (group)],BG$4)</f>
        <v>0</v>
      </c>
      <c r="BH17" s="1164">
        <f>SUMIFS(Table9[Count of EnergyRating],Table9[MainSpaceHeatingFuel],AL17,Table9[EnergyRating (group)],AM17,Table9[CountyName (group)],BH$4)</f>
        <v>0</v>
      </c>
      <c r="BI17" s="1164">
        <f>SUMIFS(Table9[Count of EnergyRating],Table9[MainSpaceHeatingFuel],AL17,Table9[EnergyRating (group)],AM17,Table9[CountyName (group)],BI$4)</f>
        <v>5</v>
      </c>
      <c r="BJ17" s="1164">
        <f>SUMIFS(Table9[Count of EnergyRating],Table9[MainSpaceHeatingFuel],AL17,Table9[EnergyRating (group)],AM17,Table9[CountyName (group)],BJ$4)</f>
        <v>5</v>
      </c>
      <c r="BK17" s="1135">
        <f>SUMIFS(Table9[Count of EnergyRating],Table9[MainSpaceHeatingFuel],AL17,Table9[EnergyRating (group)],AM17,Table9[CountyName (group)],BK$4)</f>
        <v>2</v>
      </c>
      <c r="BL17" s="1164">
        <f>SUMIFS(Table9[Count of EnergyRating],Table9[MainSpaceHeatingFuel],AL17,Table9[EnergyRating (group)],AM17,Table9[CountyName (group)],BL$4)</f>
        <v>0</v>
      </c>
      <c r="BM17" s="1164">
        <f>SUMIFS(Table9[Count of EnergyRating],Table9[MainSpaceHeatingFuel],AL17,Table9[EnergyRating (group)],AM17,Table9[CountyName (group)],BM$4)</f>
        <v>2</v>
      </c>
    </row>
    <row r="18" spans="2:65">
      <c r="B18" s="1134" t="s">
        <v>58</v>
      </c>
      <c r="C18" s="1134" t="s">
        <v>1172</v>
      </c>
      <c r="D18" s="1134" t="s">
        <v>1094</v>
      </c>
      <c r="E18" s="1145">
        <f t="shared" ref="E18:AA18" si="10">IFERROR(G141*((SUM(AN$20)/SUM(AN$15:AN$23))/(SUM(G$141)/SUM(G$139:G$144))),G141)</f>
        <v>6.8325015286606297E-2</v>
      </c>
      <c r="F18" s="1145">
        <f t="shared" si="10"/>
        <v>5.37803228687683</v>
      </c>
      <c r="G18" s="1145">
        <f t="shared" si="10"/>
        <v>0.67310814373325956</v>
      </c>
      <c r="H18" s="1145">
        <f t="shared" si="10"/>
        <v>0.14648481025991861</v>
      </c>
      <c r="I18" s="1145">
        <f t="shared" si="10"/>
        <v>4.7622676582586655E-2</v>
      </c>
      <c r="J18" s="1145">
        <f t="shared" si="10"/>
        <v>0.10857419410693017</v>
      </c>
      <c r="K18" s="1145">
        <f t="shared" si="10"/>
        <v>0.13192447822476627</v>
      </c>
      <c r="L18" s="1145">
        <f t="shared" si="10"/>
        <v>0.15890051896615873</v>
      </c>
      <c r="M18" s="1145">
        <f t="shared" si="10"/>
        <v>0.14905630634703737</v>
      </c>
      <c r="N18" s="1145">
        <f t="shared" si="10"/>
        <v>0.35729907865659505</v>
      </c>
      <c r="O18" s="1145">
        <f t="shared" si="10"/>
        <v>0.3277277175798799</v>
      </c>
      <c r="P18" s="1145">
        <f t="shared" si="10"/>
        <v>0.38891342449756311</v>
      </c>
      <c r="Q18" s="1145">
        <f t="shared" si="10"/>
        <v>0.28287296551936097</v>
      </c>
      <c r="R18" s="1145">
        <f t="shared" si="10"/>
        <v>0.59989760050388874</v>
      </c>
      <c r="S18" s="1145">
        <f t="shared" si="10"/>
        <v>0.34969771934982385</v>
      </c>
      <c r="T18" s="1145">
        <f t="shared" si="10"/>
        <v>0.36296458420381739</v>
      </c>
      <c r="U18" s="1145">
        <f t="shared" si="10"/>
        <v>0.32958324992874821</v>
      </c>
      <c r="V18" s="1145">
        <f t="shared" si="10"/>
        <v>0.23867410511823289</v>
      </c>
      <c r="W18" s="1145">
        <f t="shared" si="10"/>
        <v>0.3756882730600028</v>
      </c>
      <c r="X18" s="1145">
        <f t="shared" si="10"/>
        <v>0.14748295221656144</v>
      </c>
      <c r="Y18" s="1145">
        <f t="shared" si="10"/>
        <v>0.30741490841395541</v>
      </c>
      <c r="Z18" s="1145">
        <f t="shared" si="10"/>
        <v>1.7497268367087464E-2</v>
      </c>
      <c r="AA18" s="1145">
        <f t="shared" si="10"/>
        <v>0</v>
      </c>
      <c r="AB18" s="1145">
        <f>IFERROR(AD141*((SUM(BK$20)/SUM(BK$15:BK$23))/(SUM(AD$141)/SUM(AD$139:AD$144))),AD141)</f>
        <v>9.2743597578762604E-2</v>
      </c>
      <c r="AC18" s="1145">
        <f>IFERROR(AE141*((SUM(BL$20)/SUM(BL$15:BL$23))/(SUM(AE$141)/SUM(AE$139:AE$144))),AE141)</f>
        <v>0.22661938115754307</v>
      </c>
      <c r="AD18" s="1145">
        <f>IFERROR(AF141*((SUM(BM$20)/SUM(BM$15:BM$23))/(SUM(AF$141)/SUM(AF$139:AF$144))),AF141)</f>
        <v>5.8140450247033071E-2</v>
      </c>
      <c r="AE18" s="1172">
        <f t="shared" si="5"/>
        <v>11.325245706782949</v>
      </c>
      <c r="AG18" s="1164"/>
      <c r="AL18" s="1144" t="s">
        <v>402</v>
      </c>
      <c r="AM18" s="1144" t="s">
        <v>54</v>
      </c>
      <c r="AN18" s="1135">
        <f>SUMIFS(Table9[Count of EnergyRating],Table9[MainSpaceHeatingFuel],AL18,Table9[EnergyRating (group)],AM18,Table9[CountyName (group)],AN$4)</f>
        <v>84</v>
      </c>
      <c r="AO18" s="1164">
        <f>SUMIFS(Table9[Count of EnergyRating],Table9[MainSpaceHeatingFuel],AL18,Table9[EnergyRating (group)],AM18,Table9[CountyName (group)],AO$4)</f>
        <v>7235</v>
      </c>
      <c r="AP18" s="1164">
        <f>SUMIFS(Table9[Count of EnergyRating],Table9[MainSpaceHeatingFuel],AL18,Table9[EnergyRating (group)],AM18,Table9[CountyName (group)],AP$4)</f>
        <v>0</v>
      </c>
      <c r="AQ18" s="1164">
        <f>SUMIFS(Table9[Count of EnergyRating],Table9[MainSpaceHeatingFuel],AL18,Table9[EnergyRating (group)],AM18,Table9[CountyName (group)],AQ$4)</f>
        <v>0</v>
      </c>
      <c r="AR18" s="1164">
        <f>SUMIFS(Table9[Count of EnergyRating],Table9[MainSpaceHeatingFuel],AL18,Table9[EnergyRating (group)],AM18,Table9[CountyName (group)],AR$4)</f>
        <v>83</v>
      </c>
      <c r="AS18" s="1164">
        <f>SUMIFS(Table9[Count of EnergyRating],Table9[MainSpaceHeatingFuel],AL18,Table9[EnergyRating (group)],AM18,Table9[CountyName (group)],AS$4)</f>
        <v>0</v>
      </c>
      <c r="AT18" s="1164">
        <f>SUMIFS(Table9[Count of EnergyRating],Table9[MainSpaceHeatingFuel],AL18,Table9[EnergyRating (group)],AM18,Table9[CountyName (group)],AT$4)</f>
        <v>249</v>
      </c>
      <c r="AU18" s="1164">
        <f>SUMIFS(Table9[Count of EnergyRating],Table9[MainSpaceHeatingFuel],AL18,Table9[EnergyRating (group)],AM18,Table9[CountyName (group)],AU$4)</f>
        <v>341</v>
      </c>
      <c r="AV18" s="1164">
        <f>SUMIFS(Table9[Count of EnergyRating],Table9[MainSpaceHeatingFuel],AL18,Table9[EnergyRating (group)],AM18,Table9[CountyName (group)],AV$4)</f>
        <v>0</v>
      </c>
      <c r="AW18" s="1164">
        <f>SUMIFS(Table9[Count of EnergyRating],Table9[MainSpaceHeatingFuel],AL18,Table9[EnergyRating (group)],AM18,Table9[CountyName (group)],AW$4)</f>
        <v>0</v>
      </c>
      <c r="AX18" s="1164">
        <f>SUMIFS(Table9[Count of EnergyRating],Table9[MainSpaceHeatingFuel],AL18,Table9[EnergyRating (group)],AM18,Table9[CountyName (group)],AX$4)</f>
        <v>0</v>
      </c>
      <c r="AY18" s="1164">
        <f>SUMIFS(Table9[Count of EnergyRating],Table9[MainSpaceHeatingFuel],AL18,Table9[EnergyRating (group)],AM18,Table9[CountyName (group)],AY$4)</f>
        <v>0</v>
      </c>
      <c r="AZ18" s="1164">
        <f>SUMIFS(Table9[Count of EnergyRating],Table9[MainSpaceHeatingFuel],AL18,Table9[EnergyRating (group)],AM18,Table9[CountyName (group)],AZ$4)</f>
        <v>0</v>
      </c>
      <c r="BA18" s="1164">
        <f>SUMIFS(Table9[Count of EnergyRating],Table9[MainSpaceHeatingFuel],AL18,Table9[EnergyRating (group)],AM18,Table9[CountyName (group)],BA$4)</f>
        <v>1265</v>
      </c>
      <c r="BB18" s="1164">
        <f>SUMIFS(Table9[Count of EnergyRating],Table9[MainSpaceHeatingFuel],AL18,Table9[EnergyRating (group)],AM18,Table9[CountyName (group)],BB$4)</f>
        <v>0</v>
      </c>
      <c r="BC18" s="1164">
        <f>SUMIFS(Table9[Count of EnergyRating],Table9[MainSpaceHeatingFuel],AL18,Table9[EnergyRating (group)],AM18,Table9[CountyName (group)],BC$4)</f>
        <v>252</v>
      </c>
      <c r="BD18" s="1164">
        <f>SUMIFS(Table9[Count of EnergyRating],Table9[MainSpaceHeatingFuel],AL18,Table9[EnergyRating (group)],AM18,Table9[CountyName (group)],BD$4)</f>
        <v>0</v>
      </c>
      <c r="BE18" s="1164">
        <f>SUMIFS(Table9[Count of EnergyRating],Table9[MainSpaceHeatingFuel],AL18,Table9[EnergyRating (group)],AM18,Table9[CountyName (group)],BE$4)</f>
        <v>77</v>
      </c>
      <c r="BF18" s="1164">
        <f>SUMIFS(Table9[Count of EnergyRating],Table9[MainSpaceHeatingFuel],AL18,Table9[EnergyRating (group)],AM18,Table9[CountyName (group)],BF$4)</f>
        <v>233</v>
      </c>
      <c r="BG18" s="1164">
        <f>SUMIFS(Table9[Count of EnergyRating],Table9[MainSpaceHeatingFuel],AL18,Table9[EnergyRating (group)],AM18,Table9[CountyName (group)],BG$4)</f>
        <v>1</v>
      </c>
      <c r="BH18" s="1164">
        <f>SUMIFS(Table9[Count of EnergyRating],Table9[MainSpaceHeatingFuel],AL18,Table9[EnergyRating (group)],AM18,Table9[CountyName (group)],BH$4)</f>
        <v>0</v>
      </c>
      <c r="BI18" s="1164">
        <f>SUMIFS(Table9[Count of EnergyRating],Table9[MainSpaceHeatingFuel],AL18,Table9[EnergyRating (group)],AM18,Table9[CountyName (group)],BI$4)</f>
        <v>14</v>
      </c>
      <c r="BJ18" s="1164">
        <f>SUMIFS(Table9[Count of EnergyRating],Table9[MainSpaceHeatingFuel],AL18,Table9[EnergyRating (group)],AM18,Table9[CountyName (group)],BJ$4)</f>
        <v>10</v>
      </c>
      <c r="BK18" s="1135">
        <f>SUMIFS(Table9[Count of EnergyRating],Table9[MainSpaceHeatingFuel],AL18,Table9[EnergyRating (group)],AM18,Table9[CountyName (group)],BK$4)</f>
        <v>7</v>
      </c>
      <c r="BL18" s="1164">
        <f>SUMIFS(Table9[Count of EnergyRating],Table9[MainSpaceHeatingFuel],AL18,Table9[EnergyRating (group)],AM18,Table9[CountyName (group)],BL$4)</f>
        <v>0</v>
      </c>
      <c r="BM18" s="1164">
        <f>SUMIFS(Table9[Count of EnergyRating],Table9[MainSpaceHeatingFuel],AL18,Table9[EnergyRating (group)],AM18,Table9[CountyName (group)],BM$4)</f>
        <v>12</v>
      </c>
    </row>
    <row r="19" spans="2:65" ht="15">
      <c r="B19" s="1136" t="s">
        <v>60</v>
      </c>
      <c r="C19" s="1136" t="s">
        <v>1172</v>
      </c>
      <c r="D19" s="1136" t="s">
        <v>1094</v>
      </c>
      <c r="E19" s="1146">
        <f t="shared" ref="E19:AA19" si="11">IFERROR(G142*((SUM(AN$21)/SUM(AN$15:AN$23))/(SUM(G$142)/SUM(G$139:G$144))),G142)</f>
        <v>2.965047833192349E-2</v>
      </c>
      <c r="F19" s="1146">
        <f t="shared" si="11"/>
        <v>1.8407937709938844</v>
      </c>
      <c r="G19" s="1146">
        <f t="shared" si="11"/>
        <v>0.37355367384773919</v>
      </c>
      <c r="H19" s="1146">
        <f t="shared" si="11"/>
        <v>6.8179566065676392E-2</v>
      </c>
      <c r="I19" s="1146">
        <f t="shared" si="11"/>
        <v>9.8529675688110302E-3</v>
      </c>
      <c r="J19" s="1146">
        <f t="shared" si="11"/>
        <v>4.6740460243342143E-2</v>
      </c>
      <c r="K19" s="1146">
        <f t="shared" si="11"/>
        <v>3.9315241855062792E-2</v>
      </c>
      <c r="L19" s="1146">
        <f t="shared" si="11"/>
        <v>1.7358880223193811E-2</v>
      </c>
      <c r="M19" s="1146">
        <f t="shared" si="11"/>
        <v>8.2237962122503366E-2</v>
      </c>
      <c r="N19" s="1146">
        <f t="shared" si="11"/>
        <v>0.1629500343570229</v>
      </c>
      <c r="O19" s="1146">
        <f t="shared" si="11"/>
        <v>0.21798403233524119</v>
      </c>
      <c r="P19" s="1146">
        <f t="shared" si="11"/>
        <v>0.17217914715620272</v>
      </c>
      <c r="Q19" s="1146">
        <f t="shared" si="11"/>
        <v>0.18596278288772802</v>
      </c>
      <c r="R19" s="1146">
        <f t="shared" si="11"/>
        <v>0.21385238536481216</v>
      </c>
      <c r="S19" s="1146">
        <f t="shared" si="11"/>
        <v>0.16642548395334686</v>
      </c>
      <c r="T19" s="1146">
        <f t="shared" si="11"/>
        <v>9.805204407401702E-2</v>
      </c>
      <c r="U19" s="1146">
        <f t="shared" si="11"/>
        <v>0.18615350227457078</v>
      </c>
      <c r="V19" s="1146">
        <f t="shared" si="11"/>
        <v>6.9725019472742192E-2</v>
      </c>
      <c r="W19" s="1146">
        <f t="shared" si="11"/>
        <v>2.2670844063965686E-2</v>
      </c>
      <c r="X19" s="1146">
        <f t="shared" si="11"/>
        <v>0</v>
      </c>
      <c r="Y19" s="1146">
        <f t="shared" si="11"/>
        <v>0.12734157702548884</v>
      </c>
      <c r="Z19" s="1146">
        <f t="shared" si="11"/>
        <v>0</v>
      </c>
      <c r="AA19" s="1146">
        <f t="shared" si="11"/>
        <v>0</v>
      </c>
      <c r="AB19" s="1146">
        <f>IFERROR(AD142*((SUM(BK$21)/SUM(BK$15:BK$23))/(SUM(AD$142)/SUM(AD$139:AD$144))),AD142)</f>
        <v>0</v>
      </c>
      <c r="AC19" s="1146">
        <f>IFERROR(AE142*((SUM(BL$21)/SUM(BL$15:BL$23))/(SUM(AE$142)/SUM(AE$139:AE$144))),AE142)</f>
        <v>0.13448254857193007</v>
      </c>
      <c r="AD19" s="1146">
        <f>IFERROR(AF142*((SUM(BM$21)/SUM(BM$15:BM$23))/(SUM(AF$142)/SUM(AF$139:AF$144))),AF142)</f>
        <v>1.1628090049406613E-2</v>
      </c>
      <c r="AE19" s="1173">
        <f t="shared" si="5"/>
        <v>4.2770904928386129</v>
      </c>
      <c r="AG19" s="1164"/>
      <c r="AH19" s="1137" t="s">
        <v>1157</v>
      </c>
      <c r="AI19" s="1137" t="s">
        <v>1160</v>
      </c>
      <c r="AJ19" s="1159" t="s">
        <v>1159</v>
      </c>
      <c r="AL19" s="1144" t="s">
        <v>402</v>
      </c>
      <c r="AM19" s="1144" t="s">
        <v>56</v>
      </c>
      <c r="AN19" s="1135">
        <f>SUMIFS(Table9[Count of EnergyRating],Table9[MainSpaceHeatingFuel],AL19,Table9[EnergyRating (group)],AM19,Table9[CountyName (group)],AN$4)</f>
        <v>201</v>
      </c>
      <c r="AO19" s="1164">
        <f>SUMIFS(Table9[Count of EnergyRating],Table9[MainSpaceHeatingFuel],AL19,Table9[EnergyRating (group)],AM19,Table9[CountyName (group)],AO$4)</f>
        <v>14982</v>
      </c>
      <c r="AP19" s="1164">
        <f>SUMIFS(Table9[Count of EnergyRating],Table9[MainSpaceHeatingFuel],AL19,Table9[EnergyRating (group)],AM19,Table9[CountyName (group)],AP$4)</f>
        <v>0</v>
      </c>
      <c r="AQ19" s="1164">
        <f>SUMIFS(Table9[Count of EnergyRating],Table9[MainSpaceHeatingFuel],AL19,Table9[EnergyRating (group)],AM19,Table9[CountyName (group)],AQ$4)</f>
        <v>0</v>
      </c>
      <c r="AR19" s="1164">
        <f>SUMIFS(Table9[Count of EnergyRating],Table9[MainSpaceHeatingFuel],AL19,Table9[EnergyRating (group)],AM19,Table9[CountyName (group)],AR$4)</f>
        <v>164</v>
      </c>
      <c r="AS19" s="1164">
        <f>SUMIFS(Table9[Count of EnergyRating],Table9[MainSpaceHeatingFuel],AL19,Table9[EnergyRating (group)],AM19,Table9[CountyName (group)],AS$4)</f>
        <v>0</v>
      </c>
      <c r="AT19" s="1164">
        <f>SUMIFS(Table9[Count of EnergyRating],Table9[MainSpaceHeatingFuel],AL19,Table9[EnergyRating (group)],AM19,Table9[CountyName (group)],AT$4)</f>
        <v>717</v>
      </c>
      <c r="AU19" s="1164">
        <f>SUMIFS(Table9[Count of EnergyRating],Table9[MainSpaceHeatingFuel],AL19,Table9[EnergyRating (group)],AM19,Table9[CountyName (group)],AU$4)</f>
        <v>905</v>
      </c>
      <c r="AV19" s="1164">
        <f>SUMIFS(Table9[Count of EnergyRating],Table9[MainSpaceHeatingFuel],AL19,Table9[EnergyRating (group)],AM19,Table9[CountyName (group)],AV$4)</f>
        <v>0</v>
      </c>
      <c r="AW19" s="1164">
        <f>SUMIFS(Table9[Count of EnergyRating],Table9[MainSpaceHeatingFuel],AL19,Table9[EnergyRating (group)],AM19,Table9[CountyName (group)],AW$4)</f>
        <v>0</v>
      </c>
      <c r="AX19" s="1164">
        <f>SUMIFS(Table9[Count of EnergyRating],Table9[MainSpaceHeatingFuel],AL19,Table9[EnergyRating (group)],AM19,Table9[CountyName (group)],AX$4)</f>
        <v>0</v>
      </c>
      <c r="AY19" s="1164">
        <f>SUMIFS(Table9[Count of EnergyRating],Table9[MainSpaceHeatingFuel],AL19,Table9[EnergyRating (group)],AM19,Table9[CountyName (group)],AY$4)</f>
        <v>0</v>
      </c>
      <c r="AZ19" s="1164">
        <f>SUMIFS(Table9[Count of EnergyRating],Table9[MainSpaceHeatingFuel],AL19,Table9[EnergyRating (group)],AM19,Table9[CountyName (group)],AZ$4)</f>
        <v>0</v>
      </c>
      <c r="BA19" s="1164">
        <f>SUMIFS(Table9[Count of EnergyRating],Table9[MainSpaceHeatingFuel],AL19,Table9[EnergyRating (group)],AM19,Table9[CountyName (group)],BA$4)</f>
        <v>2191</v>
      </c>
      <c r="BB19" s="1164">
        <f>SUMIFS(Table9[Count of EnergyRating],Table9[MainSpaceHeatingFuel],AL19,Table9[EnergyRating (group)],AM19,Table9[CountyName (group)],BB$4)</f>
        <v>0</v>
      </c>
      <c r="BC19" s="1164">
        <f>SUMIFS(Table9[Count of EnergyRating],Table9[MainSpaceHeatingFuel],AL19,Table9[EnergyRating (group)],AM19,Table9[CountyName (group)],BC$4)</f>
        <v>1023</v>
      </c>
      <c r="BD19" s="1164">
        <f>SUMIFS(Table9[Count of EnergyRating],Table9[MainSpaceHeatingFuel],AL19,Table9[EnergyRating (group)],AM19,Table9[CountyName (group)],BD$4)</f>
        <v>0</v>
      </c>
      <c r="BE19" s="1164">
        <f>SUMIFS(Table9[Count of EnergyRating],Table9[MainSpaceHeatingFuel],AL19,Table9[EnergyRating (group)],AM19,Table9[CountyName (group)],BE$4)</f>
        <v>235</v>
      </c>
      <c r="BF19" s="1164">
        <f>SUMIFS(Table9[Count of EnergyRating],Table9[MainSpaceHeatingFuel],AL19,Table9[EnergyRating (group)],AM19,Table9[CountyName (group)],BF$4)</f>
        <v>714</v>
      </c>
      <c r="BG19" s="1164">
        <f>SUMIFS(Table9[Count of EnergyRating],Table9[MainSpaceHeatingFuel],AL19,Table9[EnergyRating (group)],AM19,Table9[CountyName (group)],BG$4)</f>
        <v>0</v>
      </c>
      <c r="BH19" s="1164">
        <f>SUMIFS(Table9[Count of EnergyRating],Table9[MainSpaceHeatingFuel],AL19,Table9[EnergyRating (group)],AM19,Table9[CountyName (group)],BH$4)</f>
        <v>0</v>
      </c>
      <c r="BI19" s="1164">
        <f>SUMIFS(Table9[Count of EnergyRating],Table9[MainSpaceHeatingFuel],AL19,Table9[EnergyRating (group)],AM19,Table9[CountyName (group)],BI$4)</f>
        <v>40</v>
      </c>
      <c r="BJ19" s="1164">
        <f>SUMIFS(Table9[Count of EnergyRating],Table9[MainSpaceHeatingFuel],AL19,Table9[EnergyRating (group)],AM19,Table9[CountyName (group)],BJ$4)</f>
        <v>22</v>
      </c>
      <c r="BK19" s="1135">
        <f>SUMIFS(Table9[Count of EnergyRating],Table9[MainSpaceHeatingFuel],AL19,Table9[EnergyRating (group)],AM19,Table9[CountyName (group)],BK$4)</f>
        <v>44</v>
      </c>
      <c r="BL19" s="1164">
        <f>SUMIFS(Table9[Count of EnergyRating],Table9[MainSpaceHeatingFuel],AL19,Table9[EnergyRating (group)],AM19,Table9[CountyName (group)],BL$4)</f>
        <v>0</v>
      </c>
      <c r="BM19" s="1164">
        <f>SUMIFS(Table9[Count of EnergyRating],Table9[MainSpaceHeatingFuel],AL19,Table9[EnergyRating (group)],AM19,Table9[CountyName (group)],BM$4)</f>
        <v>43</v>
      </c>
    </row>
    <row r="20" spans="2:65" ht="15">
      <c r="B20" s="1134" t="s">
        <v>62</v>
      </c>
      <c r="C20" s="1134" t="s">
        <v>1172</v>
      </c>
      <c r="D20" s="1134" t="s">
        <v>1094</v>
      </c>
      <c r="E20" s="1145">
        <f t="shared" ref="E20:AA20" si="12">IFERROR(G143*((SUM(AN$22)/SUM(AN$15:AN$23))/(SUM(G$143)/SUM(G$139:G$144))),G143)</f>
        <v>7.734907390936561E-3</v>
      </c>
      <c r="F20" s="1145">
        <f t="shared" si="12"/>
        <v>0.71624612000583543</v>
      </c>
      <c r="G20" s="1145">
        <f t="shared" si="12"/>
        <v>0.12238329886059265</v>
      </c>
      <c r="H20" s="1145">
        <f t="shared" si="12"/>
        <v>2.9026943968555294E-2</v>
      </c>
      <c r="I20" s="1145">
        <f t="shared" si="12"/>
        <v>3.2843225229370102E-3</v>
      </c>
      <c r="J20" s="1145">
        <f t="shared" si="12"/>
        <v>1.2171994855037015E-2</v>
      </c>
      <c r="K20" s="1145">
        <f t="shared" si="12"/>
        <v>1.0484064494683414E-2</v>
      </c>
      <c r="L20" s="1145">
        <f t="shared" si="12"/>
        <v>4.005895436121649E-3</v>
      </c>
      <c r="M20" s="1145">
        <f t="shared" si="12"/>
        <v>3.7906560665841402E-2</v>
      </c>
      <c r="N20" s="1145">
        <f t="shared" si="12"/>
        <v>6.2256657644709751E-2</v>
      </c>
      <c r="O20" s="1145">
        <f t="shared" si="12"/>
        <v>6.6146878777590443E-2</v>
      </c>
      <c r="P20" s="1145">
        <f t="shared" si="12"/>
        <v>6.1924079240388702E-2</v>
      </c>
      <c r="Q20" s="1145">
        <f t="shared" si="12"/>
        <v>4.9764688378406086E-2</v>
      </c>
      <c r="R20" s="1145">
        <f t="shared" si="12"/>
        <v>8.1930459328077396E-2</v>
      </c>
      <c r="S20" s="1145">
        <f t="shared" si="12"/>
        <v>5.0540254329390605E-2</v>
      </c>
      <c r="T20" s="1145">
        <f t="shared" si="12"/>
        <v>3.7844648589971483E-2</v>
      </c>
      <c r="U20" s="1145">
        <f t="shared" si="12"/>
        <v>7.7055343154637912E-2</v>
      </c>
      <c r="V20" s="1145">
        <f t="shared" si="12"/>
        <v>4.290770429091828E-2</v>
      </c>
      <c r="W20" s="1145">
        <f t="shared" si="12"/>
        <v>0</v>
      </c>
      <c r="X20" s="1145">
        <f t="shared" si="12"/>
        <v>0</v>
      </c>
      <c r="Y20" s="1145">
        <f t="shared" si="12"/>
        <v>4.8804921591266641E-2</v>
      </c>
      <c r="Z20" s="1145">
        <f t="shared" si="12"/>
        <v>0</v>
      </c>
      <c r="AA20" s="1145">
        <f t="shared" si="12"/>
        <v>0</v>
      </c>
      <c r="AB20" s="1145">
        <f>IFERROR(AD143*((SUM(BK$22)/SUM(BK$15:BK$23))/(SUM(AD$143)/SUM(AD$139:AD$144))),AD143)</f>
        <v>7.7286331315635495E-3</v>
      </c>
      <c r="AC20" s="1145">
        <f>IFERROR(AE143*((SUM(BL$22)/SUM(BL$15:BL$23))/(SUM(AE$143)/SUM(AE$139:AE$144))),AE143)</f>
        <v>4.6068416292806502E-2</v>
      </c>
      <c r="AD20" s="1145">
        <f>IFERROR(AF143*((SUM(BM$22)/SUM(BM$15:BM$23))/(SUM(AF$143)/SUM(AF$139:AF$144))),AF143)</f>
        <v>5.8140450247033066E-3</v>
      </c>
      <c r="AE20" s="1172">
        <f t="shared" si="5"/>
        <v>1.5820308379749715</v>
      </c>
      <c r="AG20" s="58" t="s">
        <v>1163</v>
      </c>
      <c r="AH20" s="1158">
        <f>SUM(E16:AD21)</f>
        <v>86.261269379216273</v>
      </c>
      <c r="AI20" s="1140">
        <f>'SHWLP-Apt'!S16</f>
        <v>86.261269379216202</v>
      </c>
      <c r="AJ20" s="1160">
        <f>(AI20-AH20)/AI20</f>
        <v>-8.2371003913292563E-16</v>
      </c>
      <c r="AL20" s="1144" t="s">
        <v>402</v>
      </c>
      <c r="AM20" s="1144" t="s">
        <v>58</v>
      </c>
      <c r="AN20" s="1135">
        <f>SUMIFS(Table9[Count of EnergyRating],Table9[MainSpaceHeatingFuel],AL20,Table9[EnergyRating (group)],AM20,Table9[CountyName (group)],AN$4)</f>
        <v>53</v>
      </c>
      <c r="AO20" s="1164">
        <f>SUMIFS(Table9[Count of EnergyRating],Table9[MainSpaceHeatingFuel],AL20,Table9[EnergyRating (group)],AM20,Table9[CountyName (group)],AO$4)</f>
        <v>3912</v>
      </c>
      <c r="AP20" s="1164">
        <f>SUMIFS(Table9[Count of EnergyRating],Table9[MainSpaceHeatingFuel],AL20,Table9[EnergyRating (group)],AM20,Table9[CountyName (group)],AP$4)</f>
        <v>0</v>
      </c>
      <c r="AQ20" s="1164">
        <f>SUMIFS(Table9[Count of EnergyRating],Table9[MainSpaceHeatingFuel],AL20,Table9[EnergyRating (group)],AM20,Table9[CountyName (group)],AQ$4)</f>
        <v>0</v>
      </c>
      <c r="AR20" s="1164">
        <f>SUMIFS(Table9[Count of EnergyRating],Table9[MainSpaceHeatingFuel],AL20,Table9[EnergyRating (group)],AM20,Table9[CountyName (group)],AR$4)</f>
        <v>29</v>
      </c>
      <c r="AS20" s="1164">
        <f>SUMIFS(Table9[Count of EnergyRating],Table9[MainSpaceHeatingFuel],AL20,Table9[EnergyRating (group)],AM20,Table9[CountyName (group)],AS$4)</f>
        <v>0</v>
      </c>
      <c r="AT20" s="1164">
        <f>SUMIFS(Table9[Count of EnergyRating],Table9[MainSpaceHeatingFuel],AL20,Table9[EnergyRating (group)],AM20,Table9[CountyName (group)],AT$4)</f>
        <v>151</v>
      </c>
      <c r="AU20" s="1164">
        <f>SUMIFS(Table9[Count of EnergyRating],Table9[MainSpaceHeatingFuel],AL20,Table9[EnergyRating (group)],AM20,Table9[CountyName (group)],AU$4)</f>
        <v>119</v>
      </c>
      <c r="AV20" s="1164">
        <f>SUMIFS(Table9[Count of EnergyRating],Table9[MainSpaceHeatingFuel],AL20,Table9[EnergyRating (group)],AM20,Table9[CountyName (group)],AV$4)</f>
        <v>0</v>
      </c>
      <c r="AW20" s="1164">
        <f>SUMIFS(Table9[Count of EnergyRating],Table9[MainSpaceHeatingFuel],AL20,Table9[EnergyRating (group)],AM20,Table9[CountyName (group)],AW$4)</f>
        <v>0</v>
      </c>
      <c r="AX20" s="1164">
        <f>SUMIFS(Table9[Count of EnergyRating],Table9[MainSpaceHeatingFuel],AL20,Table9[EnergyRating (group)],AM20,Table9[CountyName (group)],AX$4)</f>
        <v>0</v>
      </c>
      <c r="AY20" s="1164">
        <f>SUMIFS(Table9[Count of EnergyRating],Table9[MainSpaceHeatingFuel],AL20,Table9[EnergyRating (group)],AM20,Table9[CountyName (group)],AY$4)</f>
        <v>0</v>
      </c>
      <c r="AZ20" s="1164">
        <f>SUMIFS(Table9[Count of EnergyRating],Table9[MainSpaceHeatingFuel],AL20,Table9[EnergyRating (group)],AM20,Table9[CountyName (group)],AZ$4)</f>
        <v>0</v>
      </c>
      <c r="BA20" s="1164">
        <f>SUMIFS(Table9[Count of EnergyRating],Table9[MainSpaceHeatingFuel],AL20,Table9[EnergyRating (group)],AM20,Table9[CountyName (group)],BA$4)</f>
        <v>432</v>
      </c>
      <c r="BB20" s="1164">
        <f>SUMIFS(Table9[Count of EnergyRating],Table9[MainSpaceHeatingFuel],AL20,Table9[EnergyRating (group)],AM20,Table9[CountyName (group)],BB$4)</f>
        <v>0</v>
      </c>
      <c r="BC20" s="1164">
        <f>SUMIFS(Table9[Count of EnergyRating],Table9[MainSpaceHeatingFuel],AL20,Table9[EnergyRating (group)],AM20,Table9[CountyName (group)],BC$4)</f>
        <v>211</v>
      </c>
      <c r="BD20" s="1164">
        <f>SUMIFS(Table9[Count of EnergyRating],Table9[MainSpaceHeatingFuel],AL20,Table9[EnergyRating (group)],AM20,Table9[CountyName (group)],BD$4)</f>
        <v>0</v>
      </c>
      <c r="BE20" s="1164">
        <f>SUMIFS(Table9[Count of EnergyRating],Table9[MainSpaceHeatingFuel],AL20,Table9[EnergyRating (group)],AM20,Table9[CountyName (group)],BE$4)</f>
        <v>89</v>
      </c>
      <c r="BF20" s="1164">
        <f>SUMIFS(Table9[Count of EnergyRating],Table9[MainSpaceHeatingFuel],AL20,Table9[EnergyRating (group)],AM20,Table9[CountyName (group)],BF$4)</f>
        <v>116</v>
      </c>
      <c r="BG20" s="1164">
        <f>SUMIFS(Table9[Count of EnergyRating],Table9[MainSpaceHeatingFuel],AL20,Table9[EnergyRating (group)],AM20,Table9[CountyName (group)],BG$4)</f>
        <v>4</v>
      </c>
      <c r="BH20" s="1164">
        <f>SUMIFS(Table9[Count of EnergyRating],Table9[MainSpaceHeatingFuel],AL20,Table9[EnergyRating (group)],AM20,Table9[CountyName (group)],BH$4)</f>
        <v>0</v>
      </c>
      <c r="BI20" s="1164">
        <f>SUMIFS(Table9[Count of EnergyRating],Table9[MainSpaceHeatingFuel],AL20,Table9[EnergyRating (group)],AM20,Table9[CountyName (group)],BI$4)</f>
        <v>4</v>
      </c>
      <c r="BJ20" s="1164">
        <f>SUMIFS(Table9[Count of EnergyRating],Table9[MainSpaceHeatingFuel],AL20,Table9[EnergyRating (group)],AM20,Table9[CountyName (group)],BJ$4)</f>
        <v>0</v>
      </c>
      <c r="BK20" s="1135">
        <f>SUMIFS(Table9[Count of EnergyRating],Table9[MainSpaceHeatingFuel],AL20,Table9[EnergyRating (group)],AM20,Table9[CountyName (group)],BK$4)</f>
        <v>12</v>
      </c>
      <c r="BL20" s="1164">
        <f>SUMIFS(Table9[Count of EnergyRating],Table9[MainSpaceHeatingFuel],AL20,Table9[EnergyRating (group)],AM20,Table9[CountyName (group)],BL$4)</f>
        <v>0</v>
      </c>
      <c r="BM20" s="1164">
        <f>SUMIFS(Table9[Count of EnergyRating],Table9[MainSpaceHeatingFuel],AL20,Table9[EnergyRating (group)],AM20,Table9[CountyName (group)],BM$4)</f>
        <v>10</v>
      </c>
    </row>
    <row r="21" spans="2:65" ht="15.75" thickBot="1">
      <c r="B21" s="1138" t="s">
        <v>64</v>
      </c>
      <c r="C21" s="1138" t="s">
        <v>1172</v>
      </c>
      <c r="D21" s="1138" t="s">
        <v>1094</v>
      </c>
      <c r="E21" s="1147">
        <f t="shared" ref="E21:AA21" si="13">IFERROR(G144*((SUM(AN$23)/SUM(AN$15:AN$23))/(SUM(G$144)/SUM(G$139:G$144))),G144)</f>
        <v>6.4457561591138015E-3</v>
      </c>
      <c r="F21" s="1147">
        <f t="shared" si="13"/>
        <v>0.53065451501392036</v>
      </c>
      <c r="G21" s="1147">
        <f t="shared" si="13"/>
        <v>0.10388349787003795</v>
      </c>
      <c r="H21" s="1147">
        <f t="shared" si="13"/>
        <v>4.5228028974260585E-2</v>
      </c>
      <c r="I21" s="1147">
        <f t="shared" si="13"/>
        <v>1.6421612614685049E-3</v>
      </c>
      <c r="J21" s="1147">
        <f t="shared" si="13"/>
        <v>1.6553913002850341E-2</v>
      </c>
      <c r="K21" s="1147">
        <f t="shared" si="13"/>
        <v>9.6103924534597946E-3</v>
      </c>
      <c r="L21" s="1147">
        <f t="shared" si="13"/>
        <v>0</v>
      </c>
      <c r="M21" s="1147">
        <f t="shared" si="13"/>
        <v>3.8549044744923454E-2</v>
      </c>
      <c r="N21" s="1147">
        <f t="shared" si="13"/>
        <v>4.8722601634990238E-2</v>
      </c>
      <c r="O21" s="1147">
        <f t="shared" si="13"/>
        <v>7.8173584009879615E-2</v>
      </c>
      <c r="P21" s="1147">
        <f t="shared" si="13"/>
        <v>0.10647920942554641</v>
      </c>
      <c r="Q21" s="1147">
        <f t="shared" si="13"/>
        <v>7.5956629630198766E-2</v>
      </c>
      <c r="R21" s="1147">
        <f t="shared" si="13"/>
        <v>3.6104948178474781E-2</v>
      </c>
      <c r="S21" s="1147">
        <f t="shared" si="13"/>
        <v>7.7597158162296689E-2</v>
      </c>
      <c r="T21" s="1147">
        <f t="shared" si="13"/>
        <v>2.9243592092250695E-2</v>
      </c>
      <c r="U21" s="1147">
        <f t="shared" si="13"/>
        <v>0.12664541548188013</v>
      </c>
      <c r="V21" s="1147">
        <f t="shared" si="13"/>
        <v>2.6817315181823925E-2</v>
      </c>
      <c r="W21" s="1147">
        <f t="shared" si="13"/>
        <v>3.2386920091379543E-3</v>
      </c>
      <c r="X21" s="1147">
        <f t="shared" si="13"/>
        <v>0</v>
      </c>
      <c r="Y21" s="1147">
        <f t="shared" si="13"/>
        <v>5.3853706583466637E-2</v>
      </c>
      <c r="Z21" s="1147">
        <f t="shared" si="13"/>
        <v>0</v>
      </c>
      <c r="AA21" s="1147">
        <f t="shared" si="13"/>
        <v>0</v>
      </c>
      <c r="AB21" s="1147">
        <f>IFERROR(AD144*((SUM(BK$23)/SUM(BK$15:BK$23))/(SUM(AD$144)/SUM(AD$139:AD$144))),AD144)</f>
        <v>7.7286331315635495E-3</v>
      </c>
      <c r="AC21" s="1147">
        <f>IFERROR(AE144*((SUM(BL$23)/SUM(BL$15:BL$23))/(SUM(AE$144)/SUM(AE$139:AE$144))),AE144)</f>
        <v>5.5840504597341203E-2</v>
      </c>
      <c r="AD21" s="1147">
        <f>IFERROR(AF144*((SUM(BM$23)/SUM(BM$15:BM$23))/(SUM(AF$144)/SUM(AF$139:AF$144))),AF144)</f>
        <v>0</v>
      </c>
      <c r="AE21" s="1174">
        <f t="shared" si="5"/>
        <v>1.4789692995988852</v>
      </c>
      <c r="AG21" s="58" t="s">
        <v>1107</v>
      </c>
      <c r="AH21" s="1158">
        <f>SUM(E23:AD23)</f>
        <v>85.712440994769452</v>
      </c>
      <c r="AI21" s="1140">
        <f>'SHWLP-Apt'!S42</f>
        <v>85.712440994769423</v>
      </c>
      <c r="AJ21" s="1160">
        <f>(AI21-AH21)/AI21</f>
        <v>-3.3159374649169579E-16</v>
      </c>
      <c r="AL21" s="1144" t="s">
        <v>402</v>
      </c>
      <c r="AM21" s="1144" t="s">
        <v>60</v>
      </c>
      <c r="AN21" s="1135">
        <f>SUMIFS(Table9[Count of EnergyRating],Table9[MainSpaceHeatingFuel],AL21,Table9[EnergyRating (group)],AM21,Table9[CountyName (group)],AN$4)</f>
        <v>23</v>
      </c>
      <c r="AO21" s="1164">
        <f>SUMIFS(Table9[Count of EnergyRating],Table9[MainSpaceHeatingFuel],AL21,Table9[EnergyRating (group)],AM21,Table9[CountyName (group)],AO$4)</f>
        <v>1339</v>
      </c>
      <c r="AP21" s="1164">
        <f>SUMIFS(Table9[Count of EnergyRating],Table9[MainSpaceHeatingFuel],AL21,Table9[EnergyRating (group)],AM21,Table9[CountyName (group)],AP$4)</f>
        <v>0</v>
      </c>
      <c r="AQ21" s="1164">
        <f>SUMIFS(Table9[Count of EnergyRating],Table9[MainSpaceHeatingFuel],AL21,Table9[EnergyRating (group)],AM21,Table9[CountyName (group)],AQ$4)</f>
        <v>0</v>
      </c>
      <c r="AR21" s="1164">
        <f>SUMIFS(Table9[Count of EnergyRating],Table9[MainSpaceHeatingFuel],AL21,Table9[EnergyRating (group)],AM21,Table9[CountyName (group)],AR$4)</f>
        <v>6</v>
      </c>
      <c r="AS21" s="1164">
        <f>SUMIFS(Table9[Count of EnergyRating],Table9[MainSpaceHeatingFuel],AL21,Table9[EnergyRating (group)],AM21,Table9[CountyName (group)],AS$4)</f>
        <v>0</v>
      </c>
      <c r="AT21" s="1164">
        <f>SUMIFS(Table9[Count of EnergyRating],Table9[MainSpaceHeatingFuel],AL21,Table9[EnergyRating (group)],AM21,Table9[CountyName (group)],AT$4)</f>
        <v>45</v>
      </c>
      <c r="AU21" s="1164">
        <f>SUMIFS(Table9[Count of EnergyRating],Table9[MainSpaceHeatingFuel],AL21,Table9[EnergyRating (group)],AM21,Table9[CountyName (group)],AU$4)</f>
        <v>13</v>
      </c>
      <c r="AV21" s="1164">
        <f>SUMIFS(Table9[Count of EnergyRating],Table9[MainSpaceHeatingFuel],AL21,Table9[EnergyRating (group)],AM21,Table9[CountyName (group)],AV$4)</f>
        <v>0</v>
      </c>
      <c r="AW21" s="1164">
        <f>SUMIFS(Table9[Count of EnergyRating],Table9[MainSpaceHeatingFuel],AL21,Table9[EnergyRating (group)],AM21,Table9[CountyName (group)],AW$4)</f>
        <v>0</v>
      </c>
      <c r="AX21" s="1164">
        <f>SUMIFS(Table9[Count of EnergyRating],Table9[MainSpaceHeatingFuel],AL21,Table9[EnergyRating (group)],AM21,Table9[CountyName (group)],AX$4)</f>
        <v>0</v>
      </c>
      <c r="AY21" s="1164">
        <f>SUMIFS(Table9[Count of EnergyRating],Table9[MainSpaceHeatingFuel],AL21,Table9[EnergyRating (group)],AM21,Table9[CountyName (group)],AY$4)</f>
        <v>0</v>
      </c>
      <c r="AZ21" s="1164">
        <f>SUMIFS(Table9[Count of EnergyRating],Table9[MainSpaceHeatingFuel],AL21,Table9[EnergyRating (group)],AM21,Table9[CountyName (group)],AZ$4)</f>
        <v>0</v>
      </c>
      <c r="BA21" s="1164">
        <f>SUMIFS(Table9[Count of EnergyRating],Table9[MainSpaceHeatingFuel],AL21,Table9[EnergyRating (group)],AM21,Table9[CountyName (group)],BA$4)</f>
        <v>154</v>
      </c>
      <c r="BB21" s="1164">
        <f>SUMIFS(Table9[Count of EnergyRating],Table9[MainSpaceHeatingFuel],AL21,Table9[EnergyRating (group)],AM21,Table9[CountyName (group)],BB$4)</f>
        <v>0</v>
      </c>
      <c r="BC21" s="1164">
        <f>SUMIFS(Table9[Count of EnergyRating],Table9[MainSpaceHeatingFuel],AL21,Table9[EnergyRating (group)],AM21,Table9[CountyName (group)],BC$4)</f>
        <v>57</v>
      </c>
      <c r="BD21" s="1164">
        <f>SUMIFS(Table9[Count of EnergyRating],Table9[MainSpaceHeatingFuel],AL21,Table9[EnergyRating (group)],AM21,Table9[CountyName (group)],BD$4)</f>
        <v>0</v>
      </c>
      <c r="BE21" s="1164">
        <f>SUMIFS(Table9[Count of EnergyRating],Table9[MainSpaceHeatingFuel],AL21,Table9[EnergyRating (group)],AM21,Table9[CountyName (group)],BE$4)</f>
        <v>26</v>
      </c>
      <c r="BF21" s="1164">
        <f>SUMIFS(Table9[Count of EnergyRating],Table9[MainSpaceHeatingFuel],AL21,Table9[EnergyRating (group)],AM21,Table9[CountyName (group)],BF$4)</f>
        <v>7</v>
      </c>
      <c r="BG21" s="1164">
        <f>SUMIFS(Table9[Count of EnergyRating],Table9[MainSpaceHeatingFuel],AL21,Table9[EnergyRating (group)],AM21,Table9[CountyName (group)],BG$4)</f>
        <v>0</v>
      </c>
      <c r="BH21" s="1164">
        <f>SUMIFS(Table9[Count of EnergyRating],Table9[MainSpaceHeatingFuel],AL21,Table9[EnergyRating (group)],AM21,Table9[CountyName (group)],BH$4)</f>
        <v>0</v>
      </c>
      <c r="BI21" s="1164">
        <f>SUMIFS(Table9[Count of EnergyRating],Table9[MainSpaceHeatingFuel],AL21,Table9[EnergyRating (group)],AM21,Table9[CountyName (group)],BI$4)</f>
        <v>0</v>
      </c>
      <c r="BJ21" s="1164">
        <f>SUMIFS(Table9[Count of EnergyRating],Table9[MainSpaceHeatingFuel],AL21,Table9[EnergyRating (group)],AM21,Table9[CountyName (group)],BJ$4)</f>
        <v>0</v>
      </c>
      <c r="BK21" s="1135">
        <f>SUMIFS(Table9[Count of EnergyRating],Table9[MainSpaceHeatingFuel],AL21,Table9[EnergyRating (group)],AM21,Table9[CountyName (group)],BK$4)</f>
        <v>0</v>
      </c>
      <c r="BL21" s="1164">
        <f>SUMIFS(Table9[Count of EnergyRating],Table9[MainSpaceHeatingFuel],AL21,Table9[EnergyRating (group)],AM21,Table9[CountyName (group)],BL$4)</f>
        <v>0</v>
      </c>
      <c r="BM21" s="1164">
        <f>SUMIFS(Table9[Count of EnergyRating],Table9[MainSpaceHeatingFuel],AL21,Table9[EnergyRating (group)],AM21,Table9[CountyName (group)],BM$4)</f>
        <v>2</v>
      </c>
    </row>
    <row r="22" spans="2:65" ht="13.5" thickBot="1">
      <c r="B22" s="1138" t="s">
        <v>1075</v>
      </c>
      <c r="C22" s="1138" t="s">
        <v>1172</v>
      </c>
      <c r="D22" s="1138" t="s">
        <v>1094</v>
      </c>
      <c r="E22" s="1147">
        <f>SUM(E16:E21)</f>
        <v>0.51823879519274951</v>
      </c>
      <c r="F22" s="1147">
        <f t="shared" ref="F22:AE22" si="14">SUM(F16:F21)</f>
        <v>50.237585342367076</v>
      </c>
      <c r="G22" s="1147">
        <f t="shared" si="14"/>
        <v>2.9999621839361592</v>
      </c>
      <c r="H22" s="1147">
        <f t="shared" si="14"/>
        <v>0.71350135734525477</v>
      </c>
      <c r="I22" s="1147">
        <f t="shared" si="14"/>
        <v>0.58460940908278791</v>
      </c>
      <c r="J22" s="1147">
        <f t="shared" si="14"/>
        <v>0.2816848644349792</v>
      </c>
      <c r="K22" s="1147">
        <f t="shared" si="14"/>
        <v>1.2379932824138664</v>
      </c>
      <c r="L22" s="1147">
        <f t="shared" si="14"/>
        <v>2.2045777883456132</v>
      </c>
      <c r="M22" s="1147">
        <f t="shared" si="14"/>
        <v>0.47880688041149205</v>
      </c>
      <c r="N22" s="1147">
        <f t="shared" si="14"/>
        <v>1.1769434580319469</v>
      </c>
      <c r="O22" s="1147">
        <f t="shared" si="14"/>
        <v>1.0873247077398438</v>
      </c>
      <c r="P22" s="1147">
        <f t="shared" si="14"/>
        <v>1.8386442733633992</v>
      </c>
      <c r="Q22" s="1147">
        <f t="shared" si="14"/>
        <v>1.0149080325054221</v>
      </c>
      <c r="R22" s="1147">
        <f t="shared" si="14"/>
        <v>7.4001257247343126</v>
      </c>
      <c r="S22" s="1147">
        <f t="shared" si="14"/>
        <v>1.1839145852574835</v>
      </c>
      <c r="T22" s="1147">
        <f t="shared" si="14"/>
        <v>3.0396133662945282</v>
      </c>
      <c r="U22" s="1147">
        <f t="shared" si="14"/>
        <v>0.97050644663340746</v>
      </c>
      <c r="V22" s="1147">
        <f t="shared" si="14"/>
        <v>1.3033215178366426</v>
      </c>
      <c r="W22" s="1147">
        <f t="shared" si="14"/>
        <v>4.0256941673584778</v>
      </c>
      <c r="X22" s="1147">
        <f t="shared" si="14"/>
        <v>0.22122442832484215</v>
      </c>
      <c r="Y22" s="1147">
        <f t="shared" si="14"/>
        <v>0.87235824309726229</v>
      </c>
      <c r="Z22" s="1147">
        <f t="shared" si="14"/>
        <v>0.2755819767816276</v>
      </c>
      <c r="AA22" s="1147">
        <f t="shared" si="14"/>
        <v>0.68282960582163565</v>
      </c>
      <c r="AB22" s="1147">
        <f t="shared" si="14"/>
        <v>0.51781841981475796</v>
      </c>
      <c r="AC22" s="1147">
        <f t="shared" si="14"/>
        <v>0.97488928031201028</v>
      </c>
      <c r="AD22" s="1147">
        <f t="shared" si="14"/>
        <v>0.41861124177863812</v>
      </c>
      <c r="AE22" s="1147">
        <f t="shared" si="14"/>
        <v>86.261269379216202</v>
      </c>
      <c r="AG22" s="1164"/>
      <c r="AL22" s="1144" t="s">
        <v>402</v>
      </c>
      <c r="AM22" s="1144" t="s">
        <v>62</v>
      </c>
      <c r="AN22" s="1135">
        <f>SUMIFS(Table9[Count of EnergyRating],Table9[MainSpaceHeatingFuel],AL22,Table9[EnergyRating (group)],AM22,Table9[CountyName (group)],AN$4)</f>
        <v>6</v>
      </c>
      <c r="AO22" s="1164">
        <f>SUMIFS(Table9[Count of EnergyRating],Table9[MainSpaceHeatingFuel],AL22,Table9[EnergyRating (group)],AM22,Table9[CountyName (group)],AO$4)</f>
        <v>521</v>
      </c>
      <c r="AP22" s="1164">
        <f>SUMIFS(Table9[Count of EnergyRating],Table9[MainSpaceHeatingFuel],AL22,Table9[EnergyRating (group)],AM22,Table9[CountyName (group)],AP$4)</f>
        <v>0</v>
      </c>
      <c r="AQ22" s="1164">
        <f>SUMIFS(Table9[Count of EnergyRating],Table9[MainSpaceHeatingFuel],AL22,Table9[EnergyRating (group)],AM22,Table9[CountyName (group)],AQ$4)</f>
        <v>0</v>
      </c>
      <c r="AR22" s="1164">
        <f>SUMIFS(Table9[Count of EnergyRating],Table9[MainSpaceHeatingFuel],AL22,Table9[EnergyRating (group)],AM22,Table9[CountyName (group)],AR$4)</f>
        <v>2</v>
      </c>
      <c r="AS22" s="1164">
        <f>SUMIFS(Table9[Count of EnergyRating],Table9[MainSpaceHeatingFuel],AL22,Table9[EnergyRating (group)],AM22,Table9[CountyName (group)],AS$4)</f>
        <v>0</v>
      </c>
      <c r="AT22" s="1164">
        <f>SUMIFS(Table9[Count of EnergyRating],Table9[MainSpaceHeatingFuel],AL22,Table9[EnergyRating (group)],AM22,Table9[CountyName (group)],AT$4)</f>
        <v>12</v>
      </c>
      <c r="AU22" s="1164">
        <f>SUMIFS(Table9[Count of EnergyRating],Table9[MainSpaceHeatingFuel],AL22,Table9[EnergyRating (group)],AM22,Table9[CountyName (group)],AU$4)</f>
        <v>3</v>
      </c>
      <c r="AV22" s="1164">
        <f>SUMIFS(Table9[Count of EnergyRating],Table9[MainSpaceHeatingFuel],AL22,Table9[EnergyRating (group)],AM22,Table9[CountyName (group)],AV$4)</f>
        <v>0</v>
      </c>
      <c r="AW22" s="1164">
        <f>SUMIFS(Table9[Count of EnergyRating],Table9[MainSpaceHeatingFuel],AL22,Table9[EnergyRating (group)],AM22,Table9[CountyName (group)],AW$4)</f>
        <v>0</v>
      </c>
      <c r="AX22" s="1164">
        <f>SUMIFS(Table9[Count of EnergyRating],Table9[MainSpaceHeatingFuel],AL22,Table9[EnergyRating (group)],AM22,Table9[CountyName (group)],AX$4)</f>
        <v>0</v>
      </c>
      <c r="AY22" s="1164">
        <f>SUMIFS(Table9[Count of EnergyRating],Table9[MainSpaceHeatingFuel],AL22,Table9[EnergyRating (group)],AM22,Table9[CountyName (group)],AY$4)</f>
        <v>0</v>
      </c>
      <c r="AZ22" s="1164">
        <f>SUMIFS(Table9[Count of EnergyRating],Table9[MainSpaceHeatingFuel],AL22,Table9[EnergyRating (group)],AM22,Table9[CountyName (group)],AZ$4)</f>
        <v>0</v>
      </c>
      <c r="BA22" s="1164">
        <f>SUMIFS(Table9[Count of EnergyRating],Table9[MainSpaceHeatingFuel],AL22,Table9[EnergyRating (group)],AM22,Table9[CountyName (group)],BA$4)</f>
        <v>59</v>
      </c>
      <c r="BB22" s="1164">
        <f>SUMIFS(Table9[Count of EnergyRating],Table9[MainSpaceHeatingFuel],AL22,Table9[EnergyRating (group)],AM22,Table9[CountyName (group)],BB$4)</f>
        <v>0</v>
      </c>
      <c r="BC22" s="1164">
        <f>SUMIFS(Table9[Count of EnergyRating],Table9[MainSpaceHeatingFuel],AL22,Table9[EnergyRating (group)],AM22,Table9[CountyName (group)],BC$4)</f>
        <v>22</v>
      </c>
      <c r="BD22" s="1164">
        <f>SUMIFS(Table9[Count of EnergyRating],Table9[MainSpaceHeatingFuel],AL22,Table9[EnergyRating (group)],AM22,Table9[CountyName (group)],BD$4)</f>
        <v>0</v>
      </c>
      <c r="BE22" s="1164">
        <f>SUMIFS(Table9[Count of EnergyRating],Table9[MainSpaceHeatingFuel],AL22,Table9[EnergyRating (group)],AM22,Table9[CountyName (group)],BE$4)</f>
        <v>16</v>
      </c>
      <c r="BF22" s="1164">
        <f>SUMIFS(Table9[Count of EnergyRating],Table9[MainSpaceHeatingFuel],AL22,Table9[EnergyRating (group)],AM22,Table9[CountyName (group)],BF$4)</f>
        <v>0</v>
      </c>
      <c r="BG22" s="1164">
        <f>SUMIFS(Table9[Count of EnergyRating],Table9[MainSpaceHeatingFuel],AL22,Table9[EnergyRating (group)],AM22,Table9[CountyName (group)],BG$4)</f>
        <v>0</v>
      </c>
      <c r="BH22" s="1164">
        <f>SUMIFS(Table9[Count of EnergyRating],Table9[MainSpaceHeatingFuel],AL22,Table9[EnergyRating (group)],AM22,Table9[CountyName (group)],BH$4)</f>
        <v>0</v>
      </c>
      <c r="BI22" s="1164">
        <f>SUMIFS(Table9[Count of EnergyRating],Table9[MainSpaceHeatingFuel],AL22,Table9[EnergyRating (group)],AM22,Table9[CountyName (group)],BI$4)</f>
        <v>0</v>
      </c>
      <c r="BJ22" s="1164">
        <f>SUMIFS(Table9[Count of EnergyRating],Table9[MainSpaceHeatingFuel],AL22,Table9[EnergyRating (group)],AM22,Table9[CountyName (group)],BJ$4)</f>
        <v>0</v>
      </c>
      <c r="BK22" s="1135">
        <f>SUMIFS(Table9[Count of EnergyRating],Table9[MainSpaceHeatingFuel],AL22,Table9[EnergyRating (group)],AM22,Table9[CountyName (group)],BK$4)</f>
        <v>1</v>
      </c>
      <c r="BL22" s="1164">
        <f>SUMIFS(Table9[Count of EnergyRating],Table9[MainSpaceHeatingFuel],AL22,Table9[EnergyRating (group)],AM22,Table9[CountyName (group)],BL$4)</f>
        <v>0</v>
      </c>
      <c r="BM22" s="1164">
        <f>SUMIFS(Table9[Count of EnergyRating],Table9[MainSpaceHeatingFuel],AL22,Table9[EnergyRating (group)],AM22,Table9[CountyName (group)],BM$4)</f>
        <v>1</v>
      </c>
    </row>
    <row r="23" spans="2:65" ht="13.5" thickBot="1">
      <c r="B23" s="1165"/>
      <c r="C23" s="1165" t="s">
        <v>1173</v>
      </c>
      <c r="D23" s="1165" t="s">
        <v>1094</v>
      </c>
      <c r="E23" s="1166">
        <f t="shared" ref="E23:AA23" si="15">G145</f>
        <v>0.51494155457978208</v>
      </c>
      <c r="F23" s="1166">
        <f t="shared" si="15"/>
        <v>49.917953913333164</v>
      </c>
      <c r="G23" s="1166">
        <f t="shared" si="15"/>
        <v>2.9808752355216512</v>
      </c>
      <c r="H23" s="1166">
        <f t="shared" si="15"/>
        <v>0.70896177892181533</v>
      </c>
      <c r="I23" s="1166">
        <f t="shared" si="15"/>
        <v>0.58088989231902699</v>
      </c>
      <c r="J23" s="1166">
        <f t="shared" si="15"/>
        <v>0.2798926736849065</v>
      </c>
      <c r="K23" s="1166">
        <f t="shared" si="15"/>
        <v>1.2301166784868334</v>
      </c>
      <c r="L23" s="1166">
        <f t="shared" si="15"/>
        <v>2.1905513906972569</v>
      </c>
      <c r="M23" s="1166">
        <f t="shared" si="15"/>
        <v>0.47576052126874629</v>
      </c>
      <c r="N23" s="1166">
        <f t="shared" si="15"/>
        <v>1.1694552772840239</v>
      </c>
      <c r="O23" s="1166">
        <f t="shared" si="15"/>
        <v>1.080406717000634</v>
      </c>
      <c r="P23" s="1166">
        <f t="shared" si="15"/>
        <v>1.826946089770874</v>
      </c>
      <c r="Q23" s="1166">
        <f t="shared" si="15"/>
        <v>1.0084507853555651</v>
      </c>
      <c r="R23" s="1166">
        <f t="shared" si="15"/>
        <v>7.353043191919328</v>
      </c>
      <c r="S23" s="1166">
        <f t="shared" si="15"/>
        <v>1.1763820514352257</v>
      </c>
      <c r="T23" s="1166">
        <f t="shared" si="15"/>
        <v>3.0202741413425684</v>
      </c>
      <c r="U23" s="1166">
        <f t="shared" si="15"/>
        <v>0.96433169997092305</v>
      </c>
      <c r="V23" s="1166">
        <f t="shared" si="15"/>
        <v>1.2950292697837598</v>
      </c>
      <c r="W23" s="1166">
        <f t="shared" si="15"/>
        <v>4.000081105528432</v>
      </c>
      <c r="X23" s="1166">
        <f t="shared" si="15"/>
        <v>0.21981691083209659</v>
      </c>
      <c r="Y23" s="1166">
        <f t="shared" si="15"/>
        <v>0.86680795420557977</v>
      </c>
      <c r="Z23" s="1166">
        <f t="shared" si="15"/>
        <v>0.27382861502161454</v>
      </c>
      <c r="AA23" s="1166">
        <f t="shared" si="15"/>
        <v>0.67848517323778368</v>
      </c>
      <c r="AB23" s="1166">
        <f>AD145</f>
        <v>0.51452385379655596</v>
      </c>
      <c r="AC23" s="1166">
        <f>AE145</f>
        <v>0.96868664832457696</v>
      </c>
      <c r="AD23" s="1166">
        <f>AF145</f>
        <v>0.41594787114671949</v>
      </c>
      <c r="AE23" s="1175">
        <f t="shared" si="5"/>
        <v>85.712440994769452</v>
      </c>
      <c r="AG23" s="1164"/>
      <c r="AL23" s="1144" t="s">
        <v>402</v>
      </c>
      <c r="AM23" s="1144" t="s">
        <v>64</v>
      </c>
      <c r="AN23" s="1135">
        <f>SUMIFS(Table9[Count of EnergyRating],Table9[MainSpaceHeatingFuel],AL23,Table9[EnergyRating (group)],AM23,Table9[CountyName (group)],AN$4)</f>
        <v>5</v>
      </c>
      <c r="AO23" s="1164">
        <f>SUMIFS(Table9[Count of EnergyRating],Table9[MainSpaceHeatingFuel],AL23,Table9[EnergyRating (group)],AM23,Table9[CountyName (group)],AO$4)</f>
        <v>386</v>
      </c>
      <c r="AP23" s="1164">
        <f>SUMIFS(Table9[Count of EnergyRating],Table9[MainSpaceHeatingFuel],AL23,Table9[EnergyRating (group)],AM23,Table9[CountyName (group)],AP$4)</f>
        <v>0</v>
      </c>
      <c r="AQ23" s="1164">
        <f>SUMIFS(Table9[Count of EnergyRating],Table9[MainSpaceHeatingFuel],AL23,Table9[EnergyRating (group)],AM23,Table9[CountyName (group)],AQ$4)</f>
        <v>0</v>
      </c>
      <c r="AR23" s="1164">
        <f>SUMIFS(Table9[Count of EnergyRating],Table9[MainSpaceHeatingFuel],AL23,Table9[EnergyRating (group)],AM23,Table9[CountyName (group)],AR$4)</f>
        <v>1</v>
      </c>
      <c r="AS23" s="1164">
        <f>SUMIFS(Table9[Count of EnergyRating],Table9[MainSpaceHeatingFuel],AL23,Table9[EnergyRating (group)],AM23,Table9[CountyName (group)],AS$4)</f>
        <v>0</v>
      </c>
      <c r="AT23" s="1164">
        <f>SUMIFS(Table9[Count of EnergyRating],Table9[MainSpaceHeatingFuel],AL23,Table9[EnergyRating (group)],AM23,Table9[CountyName (group)],AT$4)</f>
        <v>11</v>
      </c>
      <c r="AU23" s="1164">
        <f>SUMIFS(Table9[Count of EnergyRating],Table9[MainSpaceHeatingFuel],AL23,Table9[EnergyRating (group)],AM23,Table9[CountyName (group)],AU$4)</f>
        <v>0</v>
      </c>
      <c r="AV23" s="1164">
        <f>SUMIFS(Table9[Count of EnergyRating],Table9[MainSpaceHeatingFuel],AL23,Table9[EnergyRating (group)],AM23,Table9[CountyName (group)],AV$4)</f>
        <v>0</v>
      </c>
      <c r="AW23" s="1164">
        <f>SUMIFS(Table9[Count of EnergyRating],Table9[MainSpaceHeatingFuel],AL23,Table9[EnergyRating (group)],AM23,Table9[CountyName (group)],AW$4)</f>
        <v>0</v>
      </c>
      <c r="AX23" s="1164">
        <f>SUMIFS(Table9[Count of EnergyRating],Table9[MainSpaceHeatingFuel],AL23,Table9[EnergyRating (group)],AM23,Table9[CountyName (group)],AX$4)</f>
        <v>0</v>
      </c>
      <c r="AY23" s="1164">
        <f>SUMIFS(Table9[Count of EnergyRating],Table9[MainSpaceHeatingFuel],AL23,Table9[EnergyRating (group)],AM23,Table9[CountyName (group)],AY$4)</f>
        <v>0</v>
      </c>
      <c r="AZ23" s="1164">
        <f>SUMIFS(Table9[Count of EnergyRating],Table9[MainSpaceHeatingFuel],AL23,Table9[EnergyRating (group)],AM23,Table9[CountyName (group)],AZ$4)</f>
        <v>0</v>
      </c>
      <c r="BA23" s="1164">
        <f>SUMIFS(Table9[Count of EnergyRating],Table9[MainSpaceHeatingFuel],AL23,Table9[EnergyRating (group)],AM23,Table9[CountyName (group)],BA$4)</f>
        <v>26</v>
      </c>
      <c r="BB23" s="1164">
        <f>SUMIFS(Table9[Count of EnergyRating],Table9[MainSpaceHeatingFuel],AL23,Table9[EnergyRating (group)],AM23,Table9[CountyName (group)],BB$4)</f>
        <v>0</v>
      </c>
      <c r="BC23" s="1164">
        <f>SUMIFS(Table9[Count of EnergyRating],Table9[MainSpaceHeatingFuel],AL23,Table9[EnergyRating (group)],AM23,Table9[CountyName (group)],BC$4)</f>
        <v>17</v>
      </c>
      <c r="BD23" s="1164">
        <f>SUMIFS(Table9[Count of EnergyRating],Table9[MainSpaceHeatingFuel],AL23,Table9[EnergyRating (group)],AM23,Table9[CountyName (group)],BD$4)</f>
        <v>0</v>
      </c>
      <c r="BE23" s="1164">
        <f>SUMIFS(Table9[Count of EnergyRating],Table9[MainSpaceHeatingFuel],AL23,Table9[EnergyRating (group)],AM23,Table9[CountyName (group)],BE$4)</f>
        <v>10</v>
      </c>
      <c r="BF23" s="1164">
        <f>SUMIFS(Table9[Count of EnergyRating],Table9[MainSpaceHeatingFuel],AL23,Table9[EnergyRating (group)],AM23,Table9[CountyName (group)],BF$4)</f>
        <v>1</v>
      </c>
      <c r="BG23" s="1164">
        <f>SUMIFS(Table9[Count of EnergyRating],Table9[MainSpaceHeatingFuel],AL23,Table9[EnergyRating (group)],AM23,Table9[CountyName (group)],BG$4)</f>
        <v>0</v>
      </c>
      <c r="BH23" s="1164">
        <f>SUMIFS(Table9[Count of EnergyRating],Table9[MainSpaceHeatingFuel],AL23,Table9[EnergyRating (group)],AM23,Table9[CountyName (group)],BH$4)</f>
        <v>0</v>
      </c>
      <c r="BI23" s="1164">
        <f>SUMIFS(Table9[Count of EnergyRating],Table9[MainSpaceHeatingFuel],AL23,Table9[EnergyRating (group)],AM23,Table9[CountyName (group)],BI$4)</f>
        <v>0</v>
      </c>
      <c r="BJ23" s="1164">
        <f>SUMIFS(Table9[Count of EnergyRating],Table9[MainSpaceHeatingFuel],AL23,Table9[EnergyRating (group)],AM23,Table9[CountyName (group)],BJ$4)</f>
        <v>0</v>
      </c>
      <c r="BK23" s="1135">
        <f>SUMIFS(Table9[Count of EnergyRating],Table9[MainSpaceHeatingFuel],AL23,Table9[EnergyRating (group)],AM23,Table9[CountyName (group)],BK$4)</f>
        <v>1</v>
      </c>
      <c r="BL23" s="1164">
        <f>SUMIFS(Table9[Count of EnergyRating],Table9[MainSpaceHeatingFuel],AL23,Table9[EnergyRating (group)],AM23,Table9[CountyName (group)],BL$4)</f>
        <v>0</v>
      </c>
      <c r="BM23" s="1164">
        <f>SUMIFS(Table9[Count of EnergyRating],Table9[MainSpaceHeatingFuel],AL23,Table9[EnergyRating (group)],AM23,Table9[CountyName (group)],BM$4)</f>
        <v>0</v>
      </c>
    </row>
    <row r="24" spans="2:65" ht="15">
      <c r="B24" s="1137"/>
      <c r="C24" s="1137" t="s">
        <v>1197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G24" s="1164"/>
      <c r="AL24" s="1148" t="s">
        <v>402</v>
      </c>
      <c r="AM24" s="1148" t="s">
        <v>1107</v>
      </c>
      <c r="AN24" s="1149">
        <f>SUMIFS(Table9[Count of EnergyRating],Table9[MainWaterHeatingFuel],AL24,Table9[CountyName (group)],AN$4)</f>
        <v>401</v>
      </c>
      <c r="AO24" s="1150">
        <f>SUMIFS(Table9[Count of EnergyRating],Table9[MainWaterHeatingFuel],$AL$24,Table9[CountyName (group)],AO4)</f>
        <v>36235</v>
      </c>
      <c r="AP24" s="1150">
        <f>SUMIFS(Table9[Count of EnergyRating],Table9[MainWaterHeatingFuel],AL$24,Table9[CountyName (group)],$AP4)</f>
        <v>0</v>
      </c>
      <c r="AQ24" s="1150">
        <f>SUMIFS(Table9[Count of EnergyRating],Table9[MainWaterHeatingFuel],AL$24,Table9[CountyName (group)],$AQ4)</f>
        <v>0</v>
      </c>
      <c r="AR24" s="1150">
        <f>SUMIFS(Table9[Count of EnergyRating],Table9[MainWaterHeatingFuel],AL$24,Table9[CountyName (group)],$AR4)</f>
        <v>346</v>
      </c>
      <c r="AS24" s="1150">
        <f>SUMIFS(Table9[Count of EnergyRating],Table9[MainWaterHeatingFuel],AL$24,Table9[CountyName (group)],$AS4)</f>
        <v>0</v>
      </c>
      <c r="AT24" s="1150">
        <f>SUMIFS(Table9[Count of EnergyRating],Table9[MainWaterHeatingFuel],AL$24,Table9[CountyName (group)],$AP4)</f>
        <v>0</v>
      </c>
      <c r="AU24" s="1150">
        <f>SUMIFS(Table9[Count of EnergyRating],Table9[MainWaterHeatingFuel],AL$24,Table9[CountyName (group)],$AU4)</f>
        <v>1647</v>
      </c>
      <c r="AV24" s="1150">
        <f>SUMIFS(Table9[Count of EnergyRating],Table9[MainWaterHeatingFuel],AL$24,Table9[CountyName (group)],$AV4)</f>
        <v>0</v>
      </c>
      <c r="AW24" s="1150">
        <f>SUMIFS(Table9[Count of EnergyRating],Table9[MainWaterHeatingFuel],AL$24,Table9[CountyName (group)],$AW4)</f>
        <v>0</v>
      </c>
      <c r="AX24" s="1150">
        <f>SUMIFS(Table9[Count of EnergyRating],Table9[MainWaterHeatingFuel],AL$24,Table9[CountyName (group)],$AX4)</f>
        <v>0</v>
      </c>
      <c r="AY24" s="1150">
        <f>SUMIFS(Table9[Count of EnergyRating],Table9[MainWaterHeatingFuel],AL$24,Table9[CountyName (group)],$AY4)</f>
        <v>0</v>
      </c>
      <c r="AZ24" s="1149">
        <f>SUMIFS(Table9[Count of EnergyRating],Table9[MainWaterHeatingFuel],AL$24,Table9[CountyName (group)],$AZ4)</f>
        <v>0</v>
      </c>
      <c r="BA24" s="1150">
        <f>SUMIFS(Table9[Count of EnergyRating],Table9[MainWaterHeatingFuel],AL$24,Table9[CountyName (group)],$BA4)</f>
        <v>5311</v>
      </c>
      <c r="BB24" s="1150">
        <f>SUMIFS(Table9[Count of EnergyRating],Table9[MainWaterHeatingFuel],AL$24,Table9[CountyName (group)],$BB4)</f>
        <v>0</v>
      </c>
      <c r="BC24" s="1150">
        <f>SUMIFS(Table9[Count of EnergyRating],Table9[MainWaterHeatingFuel],AL$24,Table9[CountyName (group)],$BC4)</f>
        <v>1720</v>
      </c>
      <c r="BD24" s="1150">
        <f>SUMIFS(Table9[Count of EnergyRating],Table9[MainWaterHeatingFuel],AL$24,Table9[CountyName (group)],$BD4)</f>
        <v>0</v>
      </c>
      <c r="BE24" s="1150">
        <f>SUMIFS(Table9[Count of EnergyRating],Table9[MainWaterHeatingFuel],AL$24,Table9[CountyName (group)],$BE4)</f>
        <v>473</v>
      </c>
      <c r="BF24" s="1150">
        <f>SUMIFS(Table9[Count of EnergyRating],Table9[MainWaterHeatingFuel],AL$24,Table9[CountyName (group)],$BF4)</f>
        <v>1243</v>
      </c>
      <c r="BG24" s="1150">
        <f>SUMIFS(Table9[Count of EnergyRating],Table9[MainWaterHeatingFuel],AL$24,Table9[CountyName (group)],$BG4)</f>
        <v>6</v>
      </c>
      <c r="BH24" s="1150">
        <f>SUMIFS(Table9[Count of EnergyRating],Table9[MainWaterHeatingFuel],AL$24,Table9[CountyName (group)],$BH4)</f>
        <v>0</v>
      </c>
      <c r="BI24" s="1150">
        <f>SUMIFS(Table9[Count of EnergyRating],Table9[MainWaterHeatingFuel],AL$24,Table9[CountyName (group)],$BI4)</f>
        <v>63</v>
      </c>
      <c r="BJ24" s="1150">
        <f>SUMIFS(Table9[Count of EnergyRating],Table9[MainWaterHeatingFuel],AL$24,Table9[CountyName (group)],$BJ4)</f>
        <v>37</v>
      </c>
      <c r="BK24" s="1149">
        <f>SUMIFS(Table9[Count of EnergyRating],Table9[MainWaterHeatingFuel],AL$24,Table9[CountyName (group)],$BK4)</f>
        <v>68</v>
      </c>
      <c r="BL24" s="1150">
        <f>SUMIFS(Table9[Count of EnergyRating],Table9[MainWaterHeatingFuel],AL$24,Table9[CountyName (group)],$BL4)</f>
        <v>0</v>
      </c>
      <c r="BM24" s="1150">
        <f>SUMIFS(Table9[Count of EnergyRating],Table9[MainWaterHeatingFuel],AL$24,Table9[CountyName (group)],$BM4)</f>
        <v>72</v>
      </c>
    </row>
    <row r="25" spans="2:65">
      <c r="B25" s="1134" t="s">
        <v>1259</v>
      </c>
      <c r="C25" s="1134" t="s">
        <v>1174</v>
      </c>
      <c r="D25" s="1134" t="s">
        <v>1094</v>
      </c>
      <c r="E25" s="1145">
        <f t="shared" ref="E25:AA25" si="16">IFERROR(G147*((SUM(AN$25:AN$28)/SUM(AN$25:AN$33))/(SUM(G$147)/SUM(G$147:G$152))),G147)</f>
        <v>0</v>
      </c>
      <c r="F25" s="1145">
        <f t="shared" si="16"/>
        <v>0</v>
      </c>
      <c r="G25" s="1145">
        <f t="shared" si="16"/>
        <v>2.8022464866428566E-3</v>
      </c>
      <c r="H25" s="1145">
        <f t="shared" si="16"/>
        <v>6.9027275731039898E-4</v>
      </c>
      <c r="I25" s="1145">
        <f t="shared" si="16"/>
        <v>0</v>
      </c>
      <c r="J25" s="1145">
        <f t="shared" si="16"/>
        <v>1.0720296367287939E-4</v>
      </c>
      <c r="K25" s="1145">
        <f t="shared" si="16"/>
        <v>0</v>
      </c>
      <c r="L25" s="1145">
        <f t="shared" si="16"/>
        <v>0</v>
      </c>
      <c r="M25" s="1145">
        <f t="shared" si="16"/>
        <v>2.1191230137390538E-4</v>
      </c>
      <c r="N25" s="1145">
        <f t="shared" si="16"/>
        <v>1.0013037325471194E-3</v>
      </c>
      <c r="O25" s="1145">
        <f t="shared" si="16"/>
        <v>5.1733557484876294E-4</v>
      </c>
      <c r="P25" s="1145">
        <f t="shared" si="16"/>
        <v>2.5280393920771062E-3</v>
      </c>
      <c r="Q25" s="1145">
        <f t="shared" si="16"/>
        <v>5.7306056037863262E-4</v>
      </c>
      <c r="R25" s="1145">
        <f t="shared" si="16"/>
        <v>0</v>
      </c>
      <c r="S25" s="1145">
        <f t="shared" si="16"/>
        <v>7.5230526011706698E-4</v>
      </c>
      <c r="T25" s="1145">
        <f t="shared" si="16"/>
        <v>0</v>
      </c>
      <c r="U25" s="1145">
        <f t="shared" si="16"/>
        <v>3.1165079924472326E-4</v>
      </c>
      <c r="V25" s="1145">
        <f t="shared" si="16"/>
        <v>0</v>
      </c>
      <c r="W25" s="1145">
        <f t="shared" si="16"/>
        <v>0</v>
      </c>
      <c r="X25" s="1145">
        <f t="shared" si="16"/>
        <v>0</v>
      </c>
      <c r="Y25" s="1145">
        <f t="shared" si="16"/>
        <v>4.0152418221058202E-4</v>
      </c>
      <c r="Z25" s="1145">
        <f t="shared" si="16"/>
        <v>0</v>
      </c>
      <c r="AA25" s="1145">
        <f t="shared" si="16"/>
        <v>0</v>
      </c>
      <c r="AB25" s="1145">
        <f>IFERROR(AD147*((SUM(BK$25:BK$28)/SUM(BK$25:BK$33))/(SUM(AD$147)/SUM(AD$147:AD$152))),AD147)</f>
        <v>0</v>
      </c>
      <c r="AC25" s="1145">
        <f>IFERROR(AE147*((SUM(BL$25:BL$28)/SUM(BL$25:BL$33))/(SUM(AE$147)/SUM(AE$147:AE$152))),AE147)</f>
        <v>7.7432084590226848E-4</v>
      </c>
      <c r="AD25" s="1145">
        <f>IFERROR(AF147*((SUM(BM$25:BM$28)/SUM(BM$25:BM$33))/(SUM(AF$147)/SUM(AF$147:AF$152))),AF147)</f>
        <v>0</v>
      </c>
      <c r="AE25" s="1172">
        <f t="shared" si="5"/>
        <v>1.0671174856326302E-2</v>
      </c>
      <c r="AG25" s="1164"/>
      <c r="AL25" s="1144" t="s">
        <v>1131</v>
      </c>
      <c r="AM25" s="1144" t="s">
        <v>48</v>
      </c>
      <c r="AN25" s="1135">
        <f>SUMIFS(Table9[Count of EnergyRating],Table9[MainSpaceHeatingFuel],AL25,Table9[EnergyRating (group)],AM25,Table9[CountyName (group)],AN$4)</f>
        <v>0</v>
      </c>
      <c r="AO25" s="1164">
        <f>SUMIFS(Table9[Count of EnergyRating],Table9[MainSpaceHeatingFuel],AL25,Table9[EnergyRating (group)],AM25,Table9[CountyName (group)],AO$4)</f>
        <v>0</v>
      </c>
      <c r="AP25" s="1164">
        <f>SUMIFS(Table9[Count of EnergyRating],Table9[MainSpaceHeatingFuel],AL25,Table9[EnergyRating (group)],AM25,Table9[CountyName (group)],AP$4)</f>
        <v>0</v>
      </c>
      <c r="AQ25" s="1164">
        <f>SUMIFS(Table9[Count of EnergyRating],Table9[MainSpaceHeatingFuel],AL25,Table9[EnergyRating (group)],AM25,Table9[CountyName (group)],AQ$4)</f>
        <v>0</v>
      </c>
      <c r="AR25" s="1164">
        <f>SUMIFS(Table9[Count of EnergyRating],Table9[MainSpaceHeatingFuel],AL25,Table9[EnergyRating (group)],AM25,Table9[CountyName (group)],AR$4)</f>
        <v>0</v>
      </c>
      <c r="AS25" s="1164">
        <f>SUMIFS(Table9[Count of EnergyRating],Table9[MainSpaceHeatingFuel],AL25,Table9[EnergyRating (group)],AM25,Table9[CountyName (group)],AS$4)</f>
        <v>0</v>
      </c>
      <c r="AT25" s="1164">
        <f>SUMIFS(Table9[Count of EnergyRating],Table9[MainSpaceHeatingFuel],AL25,Table9[EnergyRating (group)],AM25,Table9[CountyName (group)],AT$4)</f>
        <v>0</v>
      </c>
      <c r="AU25" s="1164">
        <f>SUMIFS(Table9[Count of EnergyRating],Table9[MainSpaceHeatingFuel],AL25,Table9[EnergyRating (group)],AM25,Table9[CountyName (group)],AU$4)</f>
        <v>0</v>
      </c>
      <c r="AV25" s="1164">
        <f>SUMIFS(Table9[Count of EnergyRating],Table9[MainSpaceHeatingFuel],AL25,Table9[EnergyRating (group)],AM25,Table9[CountyName (group)],AV$4)</f>
        <v>0</v>
      </c>
      <c r="AW25" s="1164">
        <f>SUMIFS(Table9[Count of EnergyRating],Table9[MainSpaceHeatingFuel],AL25,Table9[EnergyRating (group)],AM25,Table9[CountyName (group)],AW$4)</f>
        <v>0</v>
      </c>
      <c r="AX25" s="1164">
        <f>SUMIFS(Table9[Count of EnergyRating],Table9[MainSpaceHeatingFuel],AL25,Table9[EnergyRating (group)],AM25,Table9[CountyName (group)],AX$4)</f>
        <v>0</v>
      </c>
      <c r="AY25" s="1164">
        <f>SUMIFS(Table9[Count of EnergyRating],Table9[MainSpaceHeatingFuel],AL25,Table9[EnergyRating (group)],AM25,Table9[CountyName (group)],AY$4)</f>
        <v>0</v>
      </c>
      <c r="AZ25" s="1164">
        <f>SUMIFS(Table9[Count of EnergyRating],Table9[MainSpaceHeatingFuel],AL25,Table9[EnergyRating (group)],AM25,Table9[CountyName (group)],AZ$4)</f>
        <v>0</v>
      </c>
      <c r="BA25" s="1164">
        <f>SUMIFS(Table9[Count of EnergyRating],Table9[MainSpaceHeatingFuel],AL25,Table9[EnergyRating (group)],AM25,Table9[CountyName (group)],BA$4)</f>
        <v>0</v>
      </c>
      <c r="BB25" s="1164">
        <f>SUMIFS(Table9[Count of EnergyRating],Table9[MainSpaceHeatingFuel],AL25,Table9[EnergyRating (group)],AM25,Table9[CountyName (group)],BB$4)</f>
        <v>0</v>
      </c>
      <c r="BC25" s="1164">
        <f>SUMIFS(Table9[Count of EnergyRating],Table9[MainSpaceHeatingFuel],AL25,Table9[EnergyRating (group)],AM25,Table9[CountyName (group)],BC$4)</f>
        <v>0</v>
      </c>
      <c r="BD25" s="1164">
        <f>SUMIFS(Table9[Count of EnergyRating],Table9[MainSpaceHeatingFuel],AL25,Table9[EnergyRating (group)],AM25,Table9[CountyName (group)],BD$4)</f>
        <v>0</v>
      </c>
      <c r="BE25" s="1164">
        <f>SUMIFS(Table9[Count of EnergyRating],Table9[MainSpaceHeatingFuel],AL25,Table9[EnergyRating (group)],AM25,Table9[CountyName (group)],BE$4)</f>
        <v>0</v>
      </c>
      <c r="BF25" s="1164">
        <f>SUMIFS(Table9[Count of EnergyRating],Table9[MainSpaceHeatingFuel],AL25,Table9[EnergyRating (group)],AM25,Table9[CountyName (group)],BF$4)</f>
        <v>0</v>
      </c>
      <c r="BG25" s="1164">
        <f>SUMIFS(Table9[Count of EnergyRating],Table9[MainSpaceHeatingFuel],AL25,Table9[EnergyRating (group)],AM25,Table9[CountyName (group)],BG$4)</f>
        <v>0</v>
      </c>
      <c r="BH25" s="1164">
        <f>SUMIFS(Table9[Count of EnergyRating],Table9[MainSpaceHeatingFuel],AL25,Table9[EnergyRating (group)],AM25,Table9[CountyName (group)],BH$4)</f>
        <v>0</v>
      </c>
      <c r="BI25" s="1164">
        <f>SUMIFS(Table9[Count of EnergyRating],Table9[MainSpaceHeatingFuel],AL25,Table9[EnergyRating (group)],AM25,Table9[CountyName (group)],BI$4)</f>
        <v>0</v>
      </c>
      <c r="BJ25" s="1164">
        <f>SUMIFS(Table9[Count of EnergyRating],Table9[MainSpaceHeatingFuel],AL25,Table9[EnergyRating (group)],AM25,Table9[CountyName (group)],BJ$4)</f>
        <v>0</v>
      </c>
      <c r="BK25" s="1135">
        <f>SUMIFS(Table9[Count of EnergyRating],Table9[MainSpaceHeatingFuel],AL25,Table9[EnergyRating (group)],AM25,Table9[CountyName (group)],BK$4)</f>
        <v>0</v>
      </c>
      <c r="BL25" s="1164">
        <f>SUMIFS(Table9[Count of EnergyRating],Table9[MainSpaceHeatingFuel],AL25,Table9[EnergyRating (group)],AM25,Table9[CountyName (group)],BL$4)</f>
        <v>0</v>
      </c>
      <c r="BM25" s="1164">
        <f>SUMIFS(Table9[Count of EnergyRating],Table9[MainSpaceHeatingFuel],AL25,Table9[EnergyRating (group)],AM25,Table9[CountyName (group)],BM$4)</f>
        <v>0</v>
      </c>
    </row>
    <row r="26" spans="2:65">
      <c r="B26" s="1136" t="s">
        <v>56</v>
      </c>
      <c r="C26" s="1136" t="s">
        <v>1174</v>
      </c>
      <c r="D26" s="1136" t="s">
        <v>1094</v>
      </c>
      <c r="E26" s="1146">
        <f t="shared" ref="E26:AA26" si="17">IFERROR(G148*((SUM(AN$29)/SUM(AN$25:AN$33))/(SUM(G$148)/SUM(G$147:G$152))),G148)</f>
        <v>0</v>
      </c>
      <c r="F26" s="1146">
        <f t="shared" si="17"/>
        <v>0</v>
      </c>
      <c r="G26" s="1146">
        <f t="shared" si="17"/>
        <v>6.3494746962896439E-3</v>
      </c>
      <c r="H26" s="1146">
        <f t="shared" si="17"/>
        <v>1.5596291702205404E-3</v>
      </c>
      <c r="I26" s="1146">
        <f t="shared" si="17"/>
        <v>0</v>
      </c>
      <c r="J26" s="1146">
        <f t="shared" si="17"/>
        <v>4.1022382223269256E-4</v>
      </c>
      <c r="K26" s="1146">
        <f t="shared" si="17"/>
        <v>0</v>
      </c>
      <c r="L26" s="1146">
        <f t="shared" si="17"/>
        <v>0</v>
      </c>
      <c r="M26" s="1146">
        <f t="shared" si="17"/>
        <v>6.9453564364248884E-4</v>
      </c>
      <c r="N26" s="1146">
        <f t="shared" si="17"/>
        <v>1.890494318075499E-3</v>
      </c>
      <c r="O26" s="1146">
        <f t="shared" si="17"/>
        <v>1.5879565321500631E-3</v>
      </c>
      <c r="P26" s="1146">
        <f t="shared" si="17"/>
        <v>3.3494474183702427E-3</v>
      </c>
      <c r="Q26" s="1146">
        <f t="shared" si="17"/>
        <v>1.6544206584524867E-3</v>
      </c>
      <c r="R26" s="1146">
        <f t="shared" si="17"/>
        <v>0</v>
      </c>
      <c r="S26" s="1146">
        <f t="shared" si="17"/>
        <v>2.10737433769089E-3</v>
      </c>
      <c r="T26" s="1146">
        <f t="shared" si="17"/>
        <v>0</v>
      </c>
      <c r="U26" s="1146">
        <f t="shared" si="17"/>
        <v>1.0187882486643908E-3</v>
      </c>
      <c r="V26" s="1146">
        <f t="shared" si="17"/>
        <v>0</v>
      </c>
      <c r="W26" s="1146">
        <f t="shared" si="17"/>
        <v>0</v>
      </c>
      <c r="X26" s="1146">
        <f t="shared" si="17"/>
        <v>0</v>
      </c>
      <c r="Y26" s="1146">
        <f t="shared" si="17"/>
        <v>1.3733724886366852E-3</v>
      </c>
      <c r="Z26" s="1146">
        <f t="shared" si="17"/>
        <v>0</v>
      </c>
      <c r="AA26" s="1146">
        <f t="shared" si="17"/>
        <v>0</v>
      </c>
      <c r="AB26" s="1146">
        <f>IFERROR(AD148*((SUM(BK$29)/SUM(BK$25:BK$33))/(SUM(AD$148)/SUM(AD$147:AD$152))),AD148)</f>
        <v>0</v>
      </c>
      <c r="AC26" s="1146">
        <f>IFERROR(AE148*((SUM(BL$29)/SUM(BL$25:BL$33))/(SUM(AE$148)/SUM(AE$147:AE$152))),AE148)</f>
        <v>1.9381734278022802E-3</v>
      </c>
      <c r="AD26" s="1146">
        <f>IFERROR(AF148*((SUM(BM$29)/SUM(BM$25:BM$33))/(SUM(AF$148)/SUM(AF$147:AF$152))),AF148)</f>
        <v>0</v>
      </c>
      <c r="AE26" s="1173">
        <f t="shared" si="5"/>
        <v>2.3933890762227905E-2</v>
      </c>
      <c r="AG26" s="1164"/>
      <c r="AL26" s="1144" t="s">
        <v>1131</v>
      </c>
      <c r="AM26" s="1144" t="s">
        <v>50</v>
      </c>
      <c r="AN26" s="1135">
        <f>SUMIFS(Table9[Count of EnergyRating],Table9[MainSpaceHeatingFuel],AL26,Table9[EnergyRating (group)],AM26,Table9[CountyName (group)],AN$4)</f>
        <v>0</v>
      </c>
      <c r="AO26" s="1164">
        <f>SUMIFS(Table9[Count of EnergyRating],Table9[MainSpaceHeatingFuel],AL26,Table9[EnergyRating (group)],AM26,Table9[CountyName (group)],AO$4)</f>
        <v>0</v>
      </c>
      <c r="AP26" s="1164">
        <f>SUMIFS(Table9[Count of EnergyRating],Table9[MainSpaceHeatingFuel],AL26,Table9[EnergyRating (group)],AM26,Table9[CountyName (group)],AP$4)</f>
        <v>0</v>
      </c>
      <c r="AQ26" s="1164">
        <f>SUMIFS(Table9[Count of EnergyRating],Table9[MainSpaceHeatingFuel],AL26,Table9[EnergyRating (group)],AM26,Table9[CountyName (group)],AQ$4)</f>
        <v>0</v>
      </c>
      <c r="AR26" s="1164">
        <f>SUMIFS(Table9[Count of EnergyRating],Table9[MainSpaceHeatingFuel],AL26,Table9[EnergyRating (group)],AM26,Table9[CountyName (group)],AR$4)</f>
        <v>0</v>
      </c>
      <c r="AS26" s="1164">
        <f>SUMIFS(Table9[Count of EnergyRating],Table9[MainSpaceHeatingFuel],AL26,Table9[EnergyRating (group)],AM26,Table9[CountyName (group)],AS$4)</f>
        <v>0</v>
      </c>
      <c r="AT26" s="1164">
        <f>SUMIFS(Table9[Count of EnergyRating],Table9[MainSpaceHeatingFuel],AL26,Table9[EnergyRating (group)],AM26,Table9[CountyName (group)],AT$4)</f>
        <v>0</v>
      </c>
      <c r="AU26" s="1164">
        <f>SUMIFS(Table9[Count of EnergyRating],Table9[MainSpaceHeatingFuel],AL26,Table9[EnergyRating (group)],AM26,Table9[CountyName (group)],AU$4)</f>
        <v>0</v>
      </c>
      <c r="AV26" s="1164">
        <f>SUMIFS(Table9[Count of EnergyRating],Table9[MainSpaceHeatingFuel],AL26,Table9[EnergyRating (group)],AM26,Table9[CountyName (group)],AV$4)</f>
        <v>0</v>
      </c>
      <c r="AW26" s="1164">
        <f>SUMIFS(Table9[Count of EnergyRating],Table9[MainSpaceHeatingFuel],AL26,Table9[EnergyRating (group)],AM26,Table9[CountyName (group)],AW$4)</f>
        <v>0</v>
      </c>
      <c r="AX26" s="1164">
        <f>SUMIFS(Table9[Count of EnergyRating],Table9[MainSpaceHeatingFuel],AL26,Table9[EnergyRating (group)],AM26,Table9[CountyName (group)],AX$4)</f>
        <v>0</v>
      </c>
      <c r="AY26" s="1164">
        <f>SUMIFS(Table9[Count of EnergyRating],Table9[MainSpaceHeatingFuel],AL26,Table9[EnergyRating (group)],AM26,Table9[CountyName (group)],AY$4)</f>
        <v>0</v>
      </c>
      <c r="AZ26" s="1164">
        <f>SUMIFS(Table9[Count of EnergyRating],Table9[MainSpaceHeatingFuel],AL26,Table9[EnergyRating (group)],AM26,Table9[CountyName (group)],AZ$4)</f>
        <v>0</v>
      </c>
      <c r="BA26" s="1164">
        <f>SUMIFS(Table9[Count of EnergyRating],Table9[MainSpaceHeatingFuel],AL26,Table9[EnergyRating (group)],AM26,Table9[CountyName (group)],BA$4)</f>
        <v>0</v>
      </c>
      <c r="BB26" s="1164">
        <f>SUMIFS(Table9[Count of EnergyRating],Table9[MainSpaceHeatingFuel],AL26,Table9[EnergyRating (group)],AM26,Table9[CountyName (group)],BB$4)</f>
        <v>0</v>
      </c>
      <c r="BC26" s="1164">
        <f>SUMIFS(Table9[Count of EnergyRating],Table9[MainSpaceHeatingFuel],AL26,Table9[EnergyRating (group)],AM26,Table9[CountyName (group)],BC$4)</f>
        <v>0</v>
      </c>
      <c r="BD26" s="1164">
        <f>SUMIFS(Table9[Count of EnergyRating],Table9[MainSpaceHeatingFuel],AL26,Table9[EnergyRating (group)],AM26,Table9[CountyName (group)],BD$4)</f>
        <v>0</v>
      </c>
      <c r="BE26" s="1164">
        <f>SUMIFS(Table9[Count of EnergyRating],Table9[MainSpaceHeatingFuel],AL26,Table9[EnergyRating (group)],AM26,Table9[CountyName (group)],BE$4)</f>
        <v>0</v>
      </c>
      <c r="BF26" s="1164">
        <f>SUMIFS(Table9[Count of EnergyRating],Table9[MainSpaceHeatingFuel],AL26,Table9[EnergyRating (group)],AM26,Table9[CountyName (group)],BF$4)</f>
        <v>0</v>
      </c>
      <c r="BG26" s="1164">
        <f>SUMIFS(Table9[Count of EnergyRating],Table9[MainSpaceHeatingFuel],AL26,Table9[EnergyRating (group)],AM26,Table9[CountyName (group)],BG$4)</f>
        <v>0</v>
      </c>
      <c r="BH26" s="1164">
        <f>SUMIFS(Table9[Count of EnergyRating],Table9[MainSpaceHeatingFuel],AL26,Table9[EnergyRating (group)],AM26,Table9[CountyName (group)],BH$4)</f>
        <v>0</v>
      </c>
      <c r="BI26" s="1164">
        <f>SUMIFS(Table9[Count of EnergyRating],Table9[MainSpaceHeatingFuel],AL26,Table9[EnergyRating (group)],AM26,Table9[CountyName (group)],BI$4)</f>
        <v>0</v>
      </c>
      <c r="BJ26" s="1164">
        <f>SUMIFS(Table9[Count of EnergyRating],Table9[MainSpaceHeatingFuel],AL26,Table9[EnergyRating (group)],AM26,Table9[CountyName (group)],BJ$4)</f>
        <v>0</v>
      </c>
      <c r="BK26" s="1135">
        <f>SUMIFS(Table9[Count of EnergyRating],Table9[MainSpaceHeatingFuel],AL26,Table9[EnergyRating (group)],AM26,Table9[CountyName (group)],BK$4)</f>
        <v>0</v>
      </c>
      <c r="BL26" s="1164">
        <f>SUMIFS(Table9[Count of EnergyRating],Table9[MainSpaceHeatingFuel],AL26,Table9[EnergyRating (group)],AM26,Table9[CountyName (group)],BL$4)</f>
        <v>0</v>
      </c>
      <c r="BM26" s="1164">
        <f>SUMIFS(Table9[Count of EnergyRating],Table9[MainSpaceHeatingFuel],AL26,Table9[EnergyRating (group)],AM26,Table9[CountyName (group)],BM$4)</f>
        <v>0</v>
      </c>
    </row>
    <row r="27" spans="2:65" ht="15">
      <c r="B27" s="1134" t="s">
        <v>58</v>
      </c>
      <c r="C27" s="1134" t="s">
        <v>1174</v>
      </c>
      <c r="D27" s="1134" t="s">
        <v>1094</v>
      </c>
      <c r="E27" s="1145">
        <f t="shared" ref="E27:AA27" si="18">IFERROR(G149*((SUM(AN$30)/SUM(AN$25:AN$33))/(SUM(G$149)/SUM(G$147:G$152))),G149)</f>
        <v>0</v>
      </c>
      <c r="F27" s="1145">
        <f t="shared" si="18"/>
        <v>1.9719549518790076E-2</v>
      </c>
      <c r="G27" s="1145">
        <f t="shared" si="18"/>
        <v>3.5668664267755356E-3</v>
      </c>
      <c r="H27" s="1145">
        <f t="shared" si="18"/>
        <v>7.7623745398591119E-4</v>
      </c>
      <c r="I27" s="1145">
        <f t="shared" si="18"/>
        <v>2.0652686035156306E-3</v>
      </c>
      <c r="J27" s="1145">
        <f t="shared" si="18"/>
        <v>5.7534536074144919E-4</v>
      </c>
      <c r="K27" s="1145">
        <f t="shared" si="18"/>
        <v>0</v>
      </c>
      <c r="L27" s="1145">
        <f t="shared" si="18"/>
        <v>0</v>
      </c>
      <c r="M27" s="1145">
        <f t="shared" si="18"/>
        <v>7.8986406531890874E-4</v>
      </c>
      <c r="N27" s="1145">
        <f t="shared" si="18"/>
        <v>1.8933630499693922E-3</v>
      </c>
      <c r="O27" s="1145">
        <f t="shared" si="18"/>
        <v>1.7366614916825105E-3</v>
      </c>
      <c r="P27" s="1145">
        <f t="shared" si="18"/>
        <v>2.0608905859745221E-3</v>
      </c>
      <c r="Q27" s="1145">
        <f t="shared" si="18"/>
        <v>1.4989717375240652E-3</v>
      </c>
      <c r="R27" s="1145">
        <f t="shared" si="18"/>
        <v>0</v>
      </c>
      <c r="S27" s="1145">
        <f t="shared" si="18"/>
        <v>1.8530826974560456E-3</v>
      </c>
      <c r="T27" s="1145">
        <f t="shared" si="18"/>
        <v>1.2390162273047268E-3</v>
      </c>
      <c r="U27" s="1145">
        <f t="shared" si="18"/>
        <v>1.7464941405675269E-3</v>
      </c>
      <c r="V27" s="1145">
        <f t="shared" si="18"/>
        <v>6.2785720359640612E-4</v>
      </c>
      <c r="W27" s="1145">
        <f t="shared" si="18"/>
        <v>9.275021893133794E-3</v>
      </c>
      <c r="X27" s="1145">
        <f t="shared" si="18"/>
        <v>0</v>
      </c>
      <c r="Y27" s="1145">
        <f t="shared" si="18"/>
        <v>1.6290219129283625E-3</v>
      </c>
      <c r="Z27" s="1145">
        <f t="shared" si="18"/>
        <v>0</v>
      </c>
      <c r="AA27" s="1145">
        <f t="shared" si="18"/>
        <v>1.3439702391088815E-3</v>
      </c>
      <c r="AB27" s="1145">
        <f>IFERROR(AD149*((SUM(BK$30)/SUM(BK$25:BK$33))/(SUM(AD$149)/SUM(AD$147:AD$152))),AD149)</f>
        <v>0</v>
      </c>
      <c r="AC27" s="1145">
        <f>IFERROR(AE149*((SUM(BL$30)/SUM(BL$25:BL$33))/(SUM(AE$149)/SUM(AE$147:AE$152))),AE149)</f>
        <v>1.2008784469970872E-3</v>
      </c>
      <c r="AD27" s="1145">
        <f>IFERROR(AF149*((SUM(BM$30)/SUM(BM$25:BM$33))/(SUM(AF$149)/SUM(AF$147:AF$152))),AF149)</f>
        <v>2.7728278101972069E-4</v>
      </c>
      <c r="AE27" s="1172">
        <f t="shared" si="5"/>
        <v>5.3875643836390541E-2</v>
      </c>
      <c r="AG27" s="1164"/>
      <c r="AH27" s="1137" t="s">
        <v>1157</v>
      </c>
      <c r="AI27" s="1137" t="s">
        <v>1160</v>
      </c>
      <c r="AJ27" s="1159" t="s">
        <v>1159</v>
      </c>
      <c r="AL27" s="1144" t="s">
        <v>1131</v>
      </c>
      <c r="AM27" s="1144" t="s">
        <v>52</v>
      </c>
      <c r="AN27" s="1135">
        <f>SUMIFS(Table9[Count of EnergyRating],Table9[MainSpaceHeatingFuel],AL27,Table9[EnergyRating (group)],AM27,Table9[CountyName (group)],AN$4)</f>
        <v>0</v>
      </c>
      <c r="AO27" s="1164">
        <f>SUMIFS(Table9[Count of EnergyRating],Table9[MainSpaceHeatingFuel],AL27,Table9[EnergyRating (group)],AM27,Table9[CountyName (group)],AO$4)</f>
        <v>0</v>
      </c>
      <c r="AP27" s="1164">
        <f>SUMIFS(Table9[Count of EnergyRating],Table9[MainSpaceHeatingFuel],AL27,Table9[EnergyRating (group)],AM27,Table9[CountyName (group)],AP$4)</f>
        <v>0</v>
      </c>
      <c r="AQ27" s="1164">
        <f>SUMIFS(Table9[Count of EnergyRating],Table9[MainSpaceHeatingFuel],AL27,Table9[EnergyRating (group)],AM27,Table9[CountyName (group)],AQ$4)</f>
        <v>0</v>
      </c>
      <c r="AR27" s="1164">
        <f>SUMIFS(Table9[Count of EnergyRating],Table9[MainSpaceHeatingFuel],AL27,Table9[EnergyRating (group)],AM27,Table9[CountyName (group)],AR$4)</f>
        <v>0</v>
      </c>
      <c r="AS27" s="1164">
        <f>SUMIFS(Table9[Count of EnergyRating],Table9[MainSpaceHeatingFuel],AL27,Table9[EnergyRating (group)],AM27,Table9[CountyName (group)],AS$4)</f>
        <v>0</v>
      </c>
      <c r="AT27" s="1164">
        <f>SUMIFS(Table9[Count of EnergyRating],Table9[MainSpaceHeatingFuel],AL27,Table9[EnergyRating (group)],AM27,Table9[CountyName (group)],AT$4)</f>
        <v>0</v>
      </c>
      <c r="AU27" s="1164">
        <f>SUMIFS(Table9[Count of EnergyRating],Table9[MainSpaceHeatingFuel],AL27,Table9[EnergyRating (group)],AM27,Table9[CountyName (group)],AU$4)</f>
        <v>0</v>
      </c>
      <c r="AV27" s="1164">
        <f>SUMIFS(Table9[Count of EnergyRating],Table9[MainSpaceHeatingFuel],AL27,Table9[EnergyRating (group)],AM27,Table9[CountyName (group)],AV$4)</f>
        <v>0</v>
      </c>
      <c r="AW27" s="1164">
        <f>SUMIFS(Table9[Count of EnergyRating],Table9[MainSpaceHeatingFuel],AL27,Table9[EnergyRating (group)],AM27,Table9[CountyName (group)],AW$4)</f>
        <v>0</v>
      </c>
      <c r="AX27" s="1164">
        <f>SUMIFS(Table9[Count of EnergyRating],Table9[MainSpaceHeatingFuel],AL27,Table9[EnergyRating (group)],AM27,Table9[CountyName (group)],AX$4)</f>
        <v>0</v>
      </c>
      <c r="AY27" s="1164">
        <f>SUMIFS(Table9[Count of EnergyRating],Table9[MainSpaceHeatingFuel],AL27,Table9[EnergyRating (group)],AM27,Table9[CountyName (group)],AY$4)</f>
        <v>0</v>
      </c>
      <c r="AZ27" s="1164">
        <f>SUMIFS(Table9[Count of EnergyRating],Table9[MainSpaceHeatingFuel],AL27,Table9[EnergyRating (group)],AM27,Table9[CountyName (group)],AZ$4)</f>
        <v>0</v>
      </c>
      <c r="BA27" s="1164">
        <f>SUMIFS(Table9[Count of EnergyRating],Table9[MainSpaceHeatingFuel],AL27,Table9[EnergyRating (group)],AM27,Table9[CountyName (group)],BA$4)</f>
        <v>0</v>
      </c>
      <c r="BB27" s="1164">
        <f>SUMIFS(Table9[Count of EnergyRating],Table9[MainSpaceHeatingFuel],AL27,Table9[EnergyRating (group)],AM27,Table9[CountyName (group)],BB$4)</f>
        <v>0</v>
      </c>
      <c r="BC27" s="1164">
        <f>SUMIFS(Table9[Count of EnergyRating],Table9[MainSpaceHeatingFuel],AL27,Table9[EnergyRating (group)],AM27,Table9[CountyName (group)],BC$4)</f>
        <v>0</v>
      </c>
      <c r="BD27" s="1164">
        <f>SUMIFS(Table9[Count of EnergyRating],Table9[MainSpaceHeatingFuel],AL27,Table9[EnergyRating (group)],AM27,Table9[CountyName (group)],BD$4)</f>
        <v>0</v>
      </c>
      <c r="BE27" s="1164">
        <f>SUMIFS(Table9[Count of EnergyRating],Table9[MainSpaceHeatingFuel],AL27,Table9[EnergyRating (group)],AM27,Table9[CountyName (group)],BE$4)</f>
        <v>0</v>
      </c>
      <c r="BF27" s="1164">
        <f>SUMIFS(Table9[Count of EnergyRating],Table9[MainSpaceHeatingFuel],AL27,Table9[EnergyRating (group)],AM27,Table9[CountyName (group)],BF$4)</f>
        <v>0</v>
      </c>
      <c r="BG27" s="1164">
        <f>SUMIFS(Table9[Count of EnergyRating],Table9[MainSpaceHeatingFuel],AL27,Table9[EnergyRating (group)],AM27,Table9[CountyName (group)],BG$4)</f>
        <v>0</v>
      </c>
      <c r="BH27" s="1164">
        <f>SUMIFS(Table9[Count of EnergyRating],Table9[MainSpaceHeatingFuel],AL27,Table9[EnergyRating (group)],AM27,Table9[CountyName (group)],BH$4)</f>
        <v>0</v>
      </c>
      <c r="BI27" s="1164">
        <f>SUMIFS(Table9[Count of EnergyRating],Table9[MainSpaceHeatingFuel],AL27,Table9[EnergyRating (group)],AM27,Table9[CountyName (group)],BI$4)</f>
        <v>0</v>
      </c>
      <c r="BJ27" s="1164">
        <f>SUMIFS(Table9[Count of EnergyRating],Table9[MainSpaceHeatingFuel],AL27,Table9[EnergyRating (group)],AM27,Table9[CountyName (group)],BJ$4)</f>
        <v>0</v>
      </c>
      <c r="BK27" s="1135">
        <f>SUMIFS(Table9[Count of EnergyRating],Table9[MainSpaceHeatingFuel],AL27,Table9[EnergyRating (group)],AM27,Table9[CountyName (group)],BK$4)</f>
        <v>0</v>
      </c>
      <c r="BL27" s="1164">
        <f>SUMIFS(Table9[Count of EnergyRating],Table9[MainSpaceHeatingFuel],AL27,Table9[EnergyRating (group)],AM27,Table9[CountyName (group)],BL$4)</f>
        <v>0</v>
      </c>
      <c r="BM27" s="1164">
        <f>SUMIFS(Table9[Count of EnergyRating],Table9[MainSpaceHeatingFuel],AL27,Table9[EnergyRating (group)],AM27,Table9[CountyName (group)],BM$4)</f>
        <v>0</v>
      </c>
    </row>
    <row r="28" spans="2:65" ht="15">
      <c r="B28" s="1136" t="s">
        <v>60</v>
      </c>
      <c r="C28" s="1136" t="s">
        <v>1174</v>
      </c>
      <c r="D28" s="1136" t="s">
        <v>1094</v>
      </c>
      <c r="E28" s="1146">
        <f t="shared" ref="E28:AA28" si="19">IFERROR(G150*((SUM(AN$31)/SUM(AN$25:AN$33))/(SUM(G$150)/SUM(G$147:G$152))),G150)</f>
        <v>0</v>
      </c>
      <c r="F28" s="1146">
        <f t="shared" si="19"/>
        <v>3.4509211657882635E-2</v>
      </c>
      <c r="G28" s="1146">
        <f t="shared" si="19"/>
        <v>1.9794977527031249E-3</v>
      </c>
      <c r="H28" s="1146">
        <f t="shared" si="19"/>
        <v>3.6129024356026284E-4</v>
      </c>
      <c r="I28" s="1146">
        <f t="shared" si="19"/>
        <v>3.4421143391927169E-4</v>
      </c>
      <c r="J28" s="1146">
        <f t="shared" si="19"/>
        <v>2.4768230776313512E-4</v>
      </c>
      <c r="K28" s="1146">
        <f t="shared" si="19"/>
        <v>0</v>
      </c>
      <c r="L28" s="1146">
        <f t="shared" si="19"/>
        <v>0</v>
      </c>
      <c r="M28" s="1146">
        <f t="shared" si="19"/>
        <v>4.3578707052077724E-4</v>
      </c>
      <c r="N28" s="1146">
        <f t="shared" si="19"/>
        <v>8.6348830006179847E-4</v>
      </c>
      <c r="O28" s="1146">
        <f t="shared" si="19"/>
        <v>1.1551188820824035E-3</v>
      </c>
      <c r="P28" s="1146">
        <f t="shared" si="19"/>
        <v>9.1239427883920603E-4</v>
      </c>
      <c r="Q28" s="1146">
        <f t="shared" si="19"/>
        <v>9.8543512374267258E-4</v>
      </c>
      <c r="R28" s="1146">
        <f t="shared" si="19"/>
        <v>1.5685598367642248E-2</v>
      </c>
      <c r="S28" s="1146">
        <f t="shared" si="19"/>
        <v>8.8190505017616205E-4</v>
      </c>
      <c r="T28" s="1146">
        <f t="shared" si="19"/>
        <v>2.4780324546094536E-3</v>
      </c>
      <c r="U28" s="1146">
        <f t="shared" si="19"/>
        <v>9.8644576457980709E-4</v>
      </c>
      <c r="V28" s="1146">
        <f t="shared" si="19"/>
        <v>3.1392860179820302E-3</v>
      </c>
      <c r="W28" s="1146">
        <f t="shared" si="19"/>
        <v>8.3475197038204146E-3</v>
      </c>
      <c r="X28" s="1146">
        <f t="shared" si="19"/>
        <v>0</v>
      </c>
      <c r="Y28" s="1146">
        <f t="shared" si="19"/>
        <v>6.7479557342105527E-4</v>
      </c>
      <c r="Z28" s="1146">
        <f t="shared" si="19"/>
        <v>0</v>
      </c>
      <c r="AA28" s="1146">
        <f t="shared" si="19"/>
        <v>1.6541172173647771E-3</v>
      </c>
      <c r="AB28" s="1146">
        <f>IFERROR(AD150*((SUM(BK$31)/SUM(BK$25:BK$33))/(SUM(AD$150)/SUM(AD$147:AD$152))),AD150)</f>
        <v>1.3719854335436086E-3</v>
      </c>
      <c r="AC28" s="1146">
        <f>IFERROR(AE150*((SUM(BL$31)/SUM(BL$25:BL$33))/(SUM(AE$150)/SUM(AE$147:AE$152))),AE150)</f>
        <v>7.1263628579498598E-4</v>
      </c>
      <c r="AD28" s="1146">
        <f>IFERROR(AF150*((SUM(BM$31)/SUM(BM$25:BM$33))/(SUM(AF$150)/SUM(AF$147:AF$152))),AF150)</f>
        <v>5.5456556203944138E-4</v>
      </c>
      <c r="AE28" s="1173">
        <f t="shared" si="5"/>
        <v>7.8281004482049263E-2</v>
      </c>
      <c r="AG28" s="58" t="s">
        <v>1163</v>
      </c>
      <c r="AH28" s="1158">
        <f>SUM(E25:AD30)</f>
        <v>0.45710697240010767</v>
      </c>
      <c r="AI28" s="1140">
        <f>'SHWLP-Apt'!S7</f>
        <v>0.45710697240010773</v>
      </c>
      <c r="AJ28" s="1160">
        <f>(AI28-AH28)/AI28</f>
        <v>1.2144017611411247E-16</v>
      </c>
      <c r="AL28" s="1144" t="s">
        <v>1131</v>
      </c>
      <c r="AM28" s="1144" t="s">
        <v>54</v>
      </c>
      <c r="AN28" s="1135">
        <f>SUMIFS(Table9[Count of EnergyRating],Table9[MainSpaceHeatingFuel],AL28,Table9[EnergyRating (group)],AM28,Table9[CountyName (group)],AN$4)</f>
        <v>0</v>
      </c>
      <c r="AO28" s="1164">
        <f>SUMIFS(Table9[Count of EnergyRating],Table9[MainSpaceHeatingFuel],AL28,Table9[EnergyRating (group)],AM28,Table9[CountyName (group)],AO$4)</f>
        <v>0</v>
      </c>
      <c r="AP28" s="1164">
        <f>SUMIFS(Table9[Count of EnergyRating],Table9[MainSpaceHeatingFuel],AL28,Table9[EnergyRating (group)],AM28,Table9[CountyName (group)],AP$4)</f>
        <v>0</v>
      </c>
      <c r="AQ28" s="1164">
        <f>SUMIFS(Table9[Count of EnergyRating],Table9[MainSpaceHeatingFuel],AL28,Table9[EnergyRating (group)],AM28,Table9[CountyName (group)],AQ$4)</f>
        <v>0</v>
      </c>
      <c r="AR28" s="1164">
        <f>SUMIFS(Table9[Count of EnergyRating],Table9[MainSpaceHeatingFuel],AL28,Table9[EnergyRating (group)],AM28,Table9[CountyName (group)],AR$4)</f>
        <v>0</v>
      </c>
      <c r="AS28" s="1164">
        <f>SUMIFS(Table9[Count of EnergyRating],Table9[MainSpaceHeatingFuel],AL28,Table9[EnergyRating (group)],AM28,Table9[CountyName (group)],AS$4)</f>
        <v>0</v>
      </c>
      <c r="AT28" s="1164">
        <f>SUMIFS(Table9[Count of EnergyRating],Table9[MainSpaceHeatingFuel],AL28,Table9[EnergyRating (group)],AM28,Table9[CountyName (group)],AT$4)</f>
        <v>0</v>
      </c>
      <c r="AU28" s="1164">
        <f>SUMIFS(Table9[Count of EnergyRating],Table9[MainSpaceHeatingFuel],AL28,Table9[EnergyRating (group)],AM28,Table9[CountyName (group)],AU$4)</f>
        <v>0</v>
      </c>
      <c r="AV28" s="1164">
        <f>SUMIFS(Table9[Count of EnergyRating],Table9[MainSpaceHeatingFuel],AL28,Table9[EnergyRating (group)],AM28,Table9[CountyName (group)],AV$4)</f>
        <v>0</v>
      </c>
      <c r="AW28" s="1164">
        <f>SUMIFS(Table9[Count of EnergyRating],Table9[MainSpaceHeatingFuel],AL28,Table9[EnergyRating (group)],AM28,Table9[CountyName (group)],AW$4)</f>
        <v>0</v>
      </c>
      <c r="AX28" s="1164">
        <f>SUMIFS(Table9[Count of EnergyRating],Table9[MainSpaceHeatingFuel],AL28,Table9[EnergyRating (group)],AM28,Table9[CountyName (group)],AX$4)</f>
        <v>0</v>
      </c>
      <c r="AY28" s="1164">
        <f>SUMIFS(Table9[Count of EnergyRating],Table9[MainSpaceHeatingFuel],AL28,Table9[EnergyRating (group)],AM28,Table9[CountyName (group)],AY$4)</f>
        <v>0</v>
      </c>
      <c r="AZ28" s="1164">
        <f>SUMIFS(Table9[Count of EnergyRating],Table9[MainSpaceHeatingFuel],AL28,Table9[EnergyRating (group)],AM28,Table9[CountyName (group)],AZ$4)</f>
        <v>0</v>
      </c>
      <c r="BA28" s="1164">
        <f>SUMIFS(Table9[Count of EnergyRating],Table9[MainSpaceHeatingFuel],AL28,Table9[EnergyRating (group)],AM28,Table9[CountyName (group)],BA$4)</f>
        <v>0</v>
      </c>
      <c r="BB28" s="1164">
        <f>SUMIFS(Table9[Count of EnergyRating],Table9[MainSpaceHeatingFuel],AL28,Table9[EnergyRating (group)],AM28,Table9[CountyName (group)],BB$4)</f>
        <v>0</v>
      </c>
      <c r="BC28" s="1164">
        <f>SUMIFS(Table9[Count of EnergyRating],Table9[MainSpaceHeatingFuel],AL28,Table9[EnergyRating (group)],AM28,Table9[CountyName (group)],BC$4)</f>
        <v>0</v>
      </c>
      <c r="BD28" s="1164">
        <f>SUMIFS(Table9[Count of EnergyRating],Table9[MainSpaceHeatingFuel],AL28,Table9[EnergyRating (group)],AM28,Table9[CountyName (group)],BD$4)</f>
        <v>0</v>
      </c>
      <c r="BE28" s="1164">
        <f>SUMIFS(Table9[Count of EnergyRating],Table9[MainSpaceHeatingFuel],AL28,Table9[EnergyRating (group)],AM28,Table9[CountyName (group)],BE$4)</f>
        <v>0</v>
      </c>
      <c r="BF28" s="1164">
        <f>SUMIFS(Table9[Count of EnergyRating],Table9[MainSpaceHeatingFuel],AL28,Table9[EnergyRating (group)],AM28,Table9[CountyName (group)],BF$4)</f>
        <v>0</v>
      </c>
      <c r="BG28" s="1164">
        <f>SUMIFS(Table9[Count of EnergyRating],Table9[MainSpaceHeatingFuel],AL28,Table9[EnergyRating (group)],AM28,Table9[CountyName (group)],BG$4)</f>
        <v>0</v>
      </c>
      <c r="BH28" s="1164">
        <f>SUMIFS(Table9[Count of EnergyRating],Table9[MainSpaceHeatingFuel],AL28,Table9[EnergyRating (group)],AM28,Table9[CountyName (group)],BH$4)</f>
        <v>0</v>
      </c>
      <c r="BI28" s="1164">
        <f>SUMIFS(Table9[Count of EnergyRating],Table9[MainSpaceHeatingFuel],AL28,Table9[EnergyRating (group)],AM28,Table9[CountyName (group)],BI$4)</f>
        <v>0</v>
      </c>
      <c r="BJ28" s="1164">
        <f>SUMIFS(Table9[Count of EnergyRating],Table9[MainSpaceHeatingFuel],AL28,Table9[EnergyRating (group)],AM28,Table9[CountyName (group)],BJ$4)</f>
        <v>0</v>
      </c>
      <c r="BK28" s="1135">
        <f>SUMIFS(Table9[Count of EnergyRating],Table9[MainSpaceHeatingFuel],AL28,Table9[EnergyRating (group)],AM28,Table9[CountyName (group)],BK$4)</f>
        <v>0</v>
      </c>
      <c r="BL28" s="1164">
        <f>SUMIFS(Table9[Count of EnergyRating],Table9[MainSpaceHeatingFuel],AL28,Table9[EnergyRating (group)],AM28,Table9[CountyName (group)],BL$4)</f>
        <v>0</v>
      </c>
      <c r="BM28" s="1164">
        <f>SUMIFS(Table9[Count of EnergyRating],Table9[MainSpaceHeatingFuel],AL28,Table9[EnergyRating (group)],AM28,Table9[CountyName (group)],BM$4)</f>
        <v>0</v>
      </c>
    </row>
    <row r="29" spans="2:65" ht="15">
      <c r="B29" s="1134" t="s">
        <v>62</v>
      </c>
      <c r="C29" s="1134" t="s">
        <v>1174</v>
      </c>
      <c r="D29" s="1134" t="s">
        <v>1094</v>
      </c>
      <c r="E29" s="1145">
        <f t="shared" ref="E29:AA29" si="20">IFERROR(G151*((SUM(AN$32)/SUM(AN$25:AN$33))/(SUM(G$151)/SUM(G$147:G$152))),G151)</f>
        <v>0</v>
      </c>
      <c r="F29" s="1145">
        <f t="shared" si="20"/>
        <v>3.4509211657882628E-2</v>
      </c>
      <c r="G29" s="1145">
        <f t="shared" si="20"/>
        <v>6.4852116850464296E-4</v>
      </c>
      <c r="H29" s="1145">
        <f t="shared" si="20"/>
        <v>1.5381663834743861E-4</v>
      </c>
      <c r="I29" s="1145">
        <f t="shared" si="20"/>
        <v>0</v>
      </c>
      <c r="J29" s="1145">
        <f t="shared" si="20"/>
        <v>6.45006009799831E-5</v>
      </c>
      <c r="K29" s="1145">
        <f t="shared" si="20"/>
        <v>3.280124239118957E-3</v>
      </c>
      <c r="L29" s="1145">
        <f t="shared" si="20"/>
        <v>0</v>
      </c>
      <c r="M29" s="1145">
        <f t="shared" si="20"/>
        <v>2.0087060281817078E-4</v>
      </c>
      <c r="N29" s="1145">
        <f t="shared" si="20"/>
        <v>3.2990416779769713E-4</v>
      </c>
      <c r="O29" s="1145">
        <f t="shared" si="20"/>
        <v>3.5051883318362595E-4</v>
      </c>
      <c r="P29" s="1145">
        <f t="shared" si="20"/>
        <v>3.2814180203866183E-4</v>
      </c>
      <c r="Q29" s="1145">
        <f t="shared" si="20"/>
        <v>2.6370799086071516E-4</v>
      </c>
      <c r="R29" s="1145">
        <f t="shared" si="20"/>
        <v>0</v>
      </c>
      <c r="S29" s="1145">
        <f t="shared" si="20"/>
        <v>2.6781779131116574E-4</v>
      </c>
      <c r="T29" s="1145">
        <f t="shared" si="20"/>
        <v>2.4780324546094536E-3</v>
      </c>
      <c r="U29" s="1145">
        <f t="shared" si="20"/>
        <v>4.0832386156787096E-4</v>
      </c>
      <c r="V29" s="1145">
        <f t="shared" si="20"/>
        <v>0</v>
      </c>
      <c r="W29" s="1145">
        <f t="shared" si="20"/>
        <v>2.7825065679401386E-3</v>
      </c>
      <c r="X29" s="1145">
        <f t="shared" si="20"/>
        <v>0</v>
      </c>
      <c r="Y29" s="1145">
        <f t="shared" si="20"/>
        <v>2.5862209201599917E-4</v>
      </c>
      <c r="Z29" s="1145">
        <f t="shared" si="20"/>
        <v>0</v>
      </c>
      <c r="AA29" s="1145">
        <f t="shared" si="20"/>
        <v>3.1014697825589569E-4</v>
      </c>
      <c r="AB29" s="1145">
        <f>IFERROR(AD151*((SUM(BK$32)/SUM(BK$25:BK$33))/(SUM(AD$151)/SUM(AD$147:AD$152))),AD151)</f>
        <v>0</v>
      </c>
      <c r="AC29" s="1145">
        <f>IFERROR(AE151*((SUM(BL$32)/SUM(BL$25:BL$33))/(SUM(AE$151)/SUM(AE$147:AE$152))),AE151)</f>
        <v>2.4412108060105058E-4</v>
      </c>
      <c r="AD29" s="1145">
        <f>IFERROR(AF151*((SUM(BM$32)/SUM(BM$25:BM$33))/(SUM(AF$151)/SUM(AF$147:AF$152))),AF151)</f>
        <v>5.5456556203944138E-4</v>
      </c>
      <c r="AE29" s="1172">
        <f t="shared" si="5"/>
        <v>4.7433454089873532E-2</v>
      </c>
      <c r="AG29" s="58" t="s">
        <v>1107</v>
      </c>
      <c r="AH29" s="1158">
        <f>SUM(E32:AD32)</f>
        <v>7.4725006142253789E-2</v>
      </c>
      <c r="AI29" s="1140">
        <f>'SHWLP-Apt'!S33</f>
        <v>7.4725006142253761E-2</v>
      </c>
      <c r="AJ29" s="1160">
        <f>(AI29-AH29)/AI29</f>
        <v>-3.7143624401703909E-16</v>
      </c>
      <c r="AL29" s="1144" t="s">
        <v>1131</v>
      </c>
      <c r="AM29" s="1144" t="s">
        <v>56</v>
      </c>
      <c r="AN29" s="1135">
        <f>SUMIFS(Table9[Count of EnergyRating],Table9[MainSpaceHeatingFuel],AL29,Table9[EnergyRating (group)],AM29,Table9[CountyName (group)],AN$4)</f>
        <v>0</v>
      </c>
      <c r="AO29" s="1164">
        <f>SUMIFS(Table9[Count of EnergyRating],Table9[MainSpaceHeatingFuel],AL29,Table9[EnergyRating (group)],AM29,Table9[CountyName (group)],AO$4)</f>
        <v>0</v>
      </c>
      <c r="AP29" s="1164">
        <f>SUMIFS(Table9[Count of EnergyRating],Table9[MainSpaceHeatingFuel],AL29,Table9[EnergyRating (group)],AM29,Table9[CountyName (group)],AP$4)</f>
        <v>0</v>
      </c>
      <c r="AQ29" s="1164">
        <f>SUMIFS(Table9[Count of EnergyRating],Table9[MainSpaceHeatingFuel],AL29,Table9[EnergyRating (group)],AM29,Table9[CountyName (group)],AQ$4)</f>
        <v>0</v>
      </c>
      <c r="AR29" s="1164">
        <f>SUMIFS(Table9[Count of EnergyRating],Table9[MainSpaceHeatingFuel],AL29,Table9[EnergyRating (group)],AM29,Table9[CountyName (group)],AR$4)</f>
        <v>0</v>
      </c>
      <c r="AS29" s="1164">
        <f>SUMIFS(Table9[Count of EnergyRating],Table9[MainSpaceHeatingFuel],AL29,Table9[EnergyRating (group)],AM29,Table9[CountyName (group)],AS$4)</f>
        <v>0</v>
      </c>
      <c r="AT29" s="1164">
        <f>SUMIFS(Table9[Count of EnergyRating],Table9[MainSpaceHeatingFuel],AL29,Table9[EnergyRating (group)],AM29,Table9[CountyName (group)],AT$4)</f>
        <v>0</v>
      </c>
      <c r="AU29" s="1164">
        <f>SUMIFS(Table9[Count of EnergyRating],Table9[MainSpaceHeatingFuel],AL29,Table9[EnergyRating (group)],AM29,Table9[CountyName (group)],AU$4)</f>
        <v>0</v>
      </c>
      <c r="AV29" s="1164">
        <f>SUMIFS(Table9[Count of EnergyRating],Table9[MainSpaceHeatingFuel],AL29,Table9[EnergyRating (group)],AM29,Table9[CountyName (group)],AV$4)</f>
        <v>0</v>
      </c>
      <c r="AW29" s="1164">
        <f>SUMIFS(Table9[Count of EnergyRating],Table9[MainSpaceHeatingFuel],AL29,Table9[EnergyRating (group)],AM29,Table9[CountyName (group)],AW$4)</f>
        <v>0</v>
      </c>
      <c r="AX29" s="1164">
        <f>SUMIFS(Table9[Count of EnergyRating],Table9[MainSpaceHeatingFuel],AL29,Table9[EnergyRating (group)],AM29,Table9[CountyName (group)],AX$4)</f>
        <v>0</v>
      </c>
      <c r="AY29" s="1164">
        <f>SUMIFS(Table9[Count of EnergyRating],Table9[MainSpaceHeatingFuel],AL29,Table9[EnergyRating (group)],AM29,Table9[CountyName (group)],AY$4)</f>
        <v>0</v>
      </c>
      <c r="AZ29" s="1164">
        <f>SUMIFS(Table9[Count of EnergyRating],Table9[MainSpaceHeatingFuel],AL29,Table9[EnergyRating (group)],AM29,Table9[CountyName (group)],AZ$4)</f>
        <v>0</v>
      </c>
      <c r="BA29" s="1164">
        <f>SUMIFS(Table9[Count of EnergyRating],Table9[MainSpaceHeatingFuel],AL29,Table9[EnergyRating (group)],AM29,Table9[CountyName (group)],BA$4)</f>
        <v>0</v>
      </c>
      <c r="BB29" s="1164">
        <f>SUMIFS(Table9[Count of EnergyRating],Table9[MainSpaceHeatingFuel],AL29,Table9[EnergyRating (group)],AM29,Table9[CountyName (group)],BB$4)</f>
        <v>0</v>
      </c>
      <c r="BC29" s="1164">
        <f>SUMIFS(Table9[Count of EnergyRating],Table9[MainSpaceHeatingFuel],AL29,Table9[EnergyRating (group)],AM29,Table9[CountyName (group)],BC$4)</f>
        <v>0</v>
      </c>
      <c r="BD29" s="1164">
        <f>SUMIFS(Table9[Count of EnergyRating],Table9[MainSpaceHeatingFuel],AL29,Table9[EnergyRating (group)],AM29,Table9[CountyName (group)],BD$4)</f>
        <v>0</v>
      </c>
      <c r="BE29" s="1164">
        <f>SUMIFS(Table9[Count of EnergyRating],Table9[MainSpaceHeatingFuel],AL29,Table9[EnergyRating (group)],AM29,Table9[CountyName (group)],BE$4)</f>
        <v>0</v>
      </c>
      <c r="BF29" s="1164">
        <f>SUMIFS(Table9[Count of EnergyRating],Table9[MainSpaceHeatingFuel],AL29,Table9[EnergyRating (group)],AM29,Table9[CountyName (group)],BF$4)</f>
        <v>0</v>
      </c>
      <c r="BG29" s="1164">
        <f>SUMIFS(Table9[Count of EnergyRating],Table9[MainSpaceHeatingFuel],AL29,Table9[EnergyRating (group)],AM29,Table9[CountyName (group)],BG$4)</f>
        <v>0</v>
      </c>
      <c r="BH29" s="1164">
        <f>SUMIFS(Table9[Count of EnergyRating],Table9[MainSpaceHeatingFuel],AL29,Table9[EnergyRating (group)],AM29,Table9[CountyName (group)],BH$4)</f>
        <v>0</v>
      </c>
      <c r="BI29" s="1164">
        <f>SUMIFS(Table9[Count of EnergyRating],Table9[MainSpaceHeatingFuel],AL29,Table9[EnergyRating (group)],AM29,Table9[CountyName (group)],BI$4)</f>
        <v>0</v>
      </c>
      <c r="BJ29" s="1164">
        <f>SUMIFS(Table9[Count of EnergyRating],Table9[MainSpaceHeatingFuel],AL29,Table9[EnergyRating (group)],AM29,Table9[CountyName (group)],BJ$4)</f>
        <v>0</v>
      </c>
      <c r="BK29" s="1135">
        <f>SUMIFS(Table9[Count of EnergyRating],Table9[MainSpaceHeatingFuel],AL29,Table9[EnergyRating (group)],AM29,Table9[CountyName (group)],BK$4)</f>
        <v>0</v>
      </c>
      <c r="BL29" s="1164">
        <f>SUMIFS(Table9[Count of EnergyRating],Table9[MainSpaceHeatingFuel],AL29,Table9[EnergyRating (group)],AM29,Table9[CountyName (group)],BL$4)</f>
        <v>0</v>
      </c>
      <c r="BM29" s="1164">
        <f>SUMIFS(Table9[Count of EnergyRating],Table9[MainSpaceHeatingFuel],AL29,Table9[EnergyRating (group)],AM29,Table9[CountyName (group)],BM$4)</f>
        <v>0</v>
      </c>
    </row>
    <row r="30" spans="2:65" ht="13.5" thickBot="1">
      <c r="B30" s="1138" t="s">
        <v>64</v>
      </c>
      <c r="C30" s="1138" t="s">
        <v>1174</v>
      </c>
      <c r="D30" s="1138" t="s">
        <v>1094</v>
      </c>
      <c r="E30" s="1147">
        <f t="shared" ref="E30:AA30" si="21">IFERROR(G152*((SUM(AN$33)/SUM(AN$25:AN$33))/(SUM(G$152)/SUM(G$147:G$152))),G152)</f>
        <v>2.7461984776671246E-3</v>
      </c>
      <c r="F30" s="1147">
        <f t="shared" si="21"/>
        <v>0.17747594566911071</v>
      </c>
      <c r="G30" s="1147">
        <f t="shared" si="21"/>
        <v>5.5048889884696433E-4</v>
      </c>
      <c r="H30" s="1147">
        <f t="shared" si="21"/>
        <v>2.3966778533205557E-4</v>
      </c>
      <c r="I30" s="1147">
        <f t="shared" si="21"/>
        <v>6.8842286783854338E-4</v>
      </c>
      <c r="J30" s="1147">
        <f t="shared" si="21"/>
        <v>8.7720817332777E-5</v>
      </c>
      <c r="K30" s="1147">
        <f t="shared" si="21"/>
        <v>3.2801242391189574E-3</v>
      </c>
      <c r="L30" s="1147">
        <f t="shared" si="21"/>
        <v>1.1682275087108691E-2</v>
      </c>
      <c r="M30" s="1147">
        <f t="shared" si="21"/>
        <v>2.0427518930661435E-4</v>
      </c>
      <c r="N30" s="1147">
        <f t="shared" si="21"/>
        <v>2.5818587045037163E-4</v>
      </c>
      <c r="O30" s="1147">
        <f t="shared" si="21"/>
        <v>4.1424953012610339E-4</v>
      </c>
      <c r="P30" s="1147">
        <f t="shared" si="21"/>
        <v>5.6424383033477205E-4</v>
      </c>
      <c r="Q30" s="1147">
        <f t="shared" si="21"/>
        <v>4.0250167026109152E-4</v>
      </c>
      <c r="R30" s="1147">
        <f t="shared" si="21"/>
        <v>2.3528397551463371E-2</v>
      </c>
      <c r="S30" s="1147">
        <f t="shared" si="21"/>
        <v>4.1119499272017368E-4</v>
      </c>
      <c r="T30" s="1147">
        <f t="shared" si="21"/>
        <v>9.9121298184378127E-3</v>
      </c>
      <c r="U30" s="1147">
        <f t="shared" si="21"/>
        <v>6.7110654475511459E-4</v>
      </c>
      <c r="V30" s="1147">
        <f t="shared" si="21"/>
        <v>3.1392860179820306E-3</v>
      </c>
      <c r="W30" s="1147">
        <f t="shared" si="21"/>
        <v>9.2750218931337929E-4</v>
      </c>
      <c r="X30" s="1147">
        <f t="shared" si="21"/>
        <v>1.1722900599568254E-3</v>
      </c>
      <c r="Y30" s="1147">
        <f t="shared" si="21"/>
        <v>2.8537610153489562E-4</v>
      </c>
      <c r="Z30" s="1147">
        <f t="shared" si="21"/>
        <v>1.4603360692607421E-3</v>
      </c>
      <c r="AA30" s="1147">
        <f t="shared" si="21"/>
        <v>3.1014697825589574E-4</v>
      </c>
      <c r="AB30" s="1147">
        <f>IFERROR(AD152*((SUM(BK$33)/SUM(BK$25:BK$33))/(SUM(AD$152)/SUM(AD$147:AD$152))),AD152)</f>
        <v>1.3719854335436086E-3</v>
      </c>
      <c r="AC30" s="1147">
        <f>IFERROR(AE152*((SUM(BL$33)/SUM(BL$25:BL$33))/(SUM(AE$152)/SUM(AE$147:AE$152))),AE152)</f>
        <v>2.9590434012248551E-4</v>
      </c>
      <c r="AD30" s="1147">
        <f>IFERROR(AF152*((SUM(BM$33)/SUM(BM$25:BM$33))/(SUM(AF$152)/SUM(AF$147:AF$152))),AF152)</f>
        <v>8.3184834305916218E-4</v>
      </c>
      <c r="AE30" s="1174">
        <f t="shared" si="5"/>
        <v>0.24291180437324031</v>
      </c>
      <c r="AG30" s="1164"/>
      <c r="AL30" s="1144" t="s">
        <v>1131</v>
      </c>
      <c r="AM30" s="1144" t="s">
        <v>58</v>
      </c>
      <c r="AN30" s="1135">
        <f>SUMIFS(Table9[Count of EnergyRating],Table9[MainSpaceHeatingFuel],AL30,Table9[EnergyRating (group)],AM30,Table9[CountyName (group)],AN$4)</f>
        <v>0</v>
      </c>
      <c r="AO30" s="1164">
        <f>SUMIFS(Table9[Count of EnergyRating],Table9[MainSpaceHeatingFuel],AL30,Table9[EnergyRating (group)],AM30,Table9[CountyName (group)],AO$4)</f>
        <v>4</v>
      </c>
      <c r="AP30" s="1164">
        <f>SUMIFS(Table9[Count of EnergyRating],Table9[MainSpaceHeatingFuel],AL30,Table9[EnergyRating (group)],AM30,Table9[CountyName (group)],AP$4)</f>
        <v>0</v>
      </c>
      <c r="AQ30" s="1164">
        <f>SUMIFS(Table9[Count of EnergyRating],Table9[MainSpaceHeatingFuel],AL30,Table9[EnergyRating (group)],AM30,Table9[CountyName (group)],AQ$4)</f>
        <v>0</v>
      </c>
      <c r="AR30" s="1164">
        <f>SUMIFS(Table9[Count of EnergyRating],Table9[MainSpaceHeatingFuel],AL30,Table9[EnergyRating (group)],AM30,Table9[CountyName (group)],AR$4)</f>
        <v>6</v>
      </c>
      <c r="AS30" s="1164">
        <f>SUMIFS(Table9[Count of EnergyRating],Table9[MainSpaceHeatingFuel],AL30,Table9[EnergyRating (group)],AM30,Table9[CountyName (group)],AS$4)</f>
        <v>0</v>
      </c>
      <c r="AT30" s="1164">
        <f>SUMIFS(Table9[Count of EnergyRating],Table9[MainSpaceHeatingFuel],AL30,Table9[EnergyRating (group)],AM30,Table9[CountyName (group)],AT$4)</f>
        <v>0</v>
      </c>
      <c r="AU30" s="1164">
        <f>SUMIFS(Table9[Count of EnergyRating],Table9[MainSpaceHeatingFuel],AL30,Table9[EnergyRating (group)],AM30,Table9[CountyName (group)],AU$4)</f>
        <v>0</v>
      </c>
      <c r="AV30" s="1164">
        <f>SUMIFS(Table9[Count of EnergyRating],Table9[MainSpaceHeatingFuel],AL30,Table9[EnergyRating (group)],AM30,Table9[CountyName (group)],AV$4)</f>
        <v>0</v>
      </c>
      <c r="AW30" s="1164">
        <f>SUMIFS(Table9[Count of EnergyRating],Table9[MainSpaceHeatingFuel],AL30,Table9[EnergyRating (group)],AM30,Table9[CountyName (group)],AW$4)</f>
        <v>0</v>
      </c>
      <c r="AX30" s="1164">
        <f>SUMIFS(Table9[Count of EnergyRating],Table9[MainSpaceHeatingFuel],AL30,Table9[EnergyRating (group)],AM30,Table9[CountyName (group)],AX$4)</f>
        <v>0</v>
      </c>
      <c r="AY30" s="1164">
        <f>SUMIFS(Table9[Count of EnergyRating],Table9[MainSpaceHeatingFuel],AL30,Table9[EnergyRating (group)],AM30,Table9[CountyName (group)],AY$4)</f>
        <v>0</v>
      </c>
      <c r="AZ30" s="1164">
        <f>SUMIFS(Table9[Count of EnergyRating],Table9[MainSpaceHeatingFuel],AL30,Table9[EnergyRating (group)],AM30,Table9[CountyName (group)],AZ$4)</f>
        <v>0</v>
      </c>
      <c r="BA30" s="1164">
        <f>SUMIFS(Table9[Count of EnergyRating],Table9[MainSpaceHeatingFuel],AL30,Table9[EnergyRating (group)],AM30,Table9[CountyName (group)],BA$4)</f>
        <v>0</v>
      </c>
      <c r="BB30" s="1164">
        <f>SUMIFS(Table9[Count of EnergyRating],Table9[MainSpaceHeatingFuel],AL30,Table9[EnergyRating (group)],AM30,Table9[CountyName (group)],BB$4)</f>
        <v>0</v>
      </c>
      <c r="BC30" s="1164">
        <f>SUMIFS(Table9[Count of EnergyRating],Table9[MainSpaceHeatingFuel],AL30,Table9[EnergyRating (group)],AM30,Table9[CountyName (group)],BC$4)</f>
        <v>1</v>
      </c>
      <c r="BD30" s="1164">
        <f>SUMIFS(Table9[Count of EnergyRating],Table9[MainSpaceHeatingFuel],AL30,Table9[EnergyRating (group)],AM30,Table9[CountyName (group)],BD$4)</f>
        <v>0</v>
      </c>
      <c r="BE30" s="1164">
        <f>SUMIFS(Table9[Count of EnergyRating],Table9[MainSpaceHeatingFuel],AL30,Table9[EnergyRating (group)],AM30,Table9[CountyName (group)],BE$4)</f>
        <v>1</v>
      </c>
      <c r="BF30" s="1164">
        <f>SUMIFS(Table9[Count of EnergyRating],Table9[MainSpaceHeatingFuel],AL30,Table9[EnergyRating (group)],AM30,Table9[CountyName (group)],BF$4)</f>
        <v>10</v>
      </c>
      <c r="BG30" s="1164">
        <f>SUMIFS(Table9[Count of EnergyRating],Table9[MainSpaceHeatingFuel],AL30,Table9[EnergyRating (group)],AM30,Table9[CountyName (group)],BG$4)</f>
        <v>0</v>
      </c>
      <c r="BH30" s="1164">
        <f>SUMIFS(Table9[Count of EnergyRating],Table9[MainSpaceHeatingFuel],AL30,Table9[EnergyRating (group)],AM30,Table9[CountyName (group)],BH$4)</f>
        <v>0</v>
      </c>
      <c r="BI30" s="1164">
        <f>SUMIFS(Table9[Count of EnergyRating],Table9[MainSpaceHeatingFuel],AL30,Table9[EnergyRating (group)],AM30,Table9[CountyName (group)],BI$4)</f>
        <v>0</v>
      </c>
      <c r="BJ30" s="1164">
        <f>SUMIFS(Table9[Count of EnergyRating],Table9[MainSpaceHeatingFuel],AL30,Table9[EnergyRating (group)],AM30,Table9[CountyName (group)],BJ$4)</f>
        <v>13</v>
      </c>
      <c r="BK30" s="1135">
        <f>SUMIFS(Table9[Count of EnergyRating],Table9[MainSpaceHeatingFuel],AL30,Table9[EnergyRating (group)],AM30,Table9[CountyName (group)],BK$4)</f>
        <v>0</v>
      </c>
      <c r="BL30" s="1164">
        <f>SUMIFS(Table9[Count of EnergyRating],Table9[MainSpaceHeatingFuel],AL30,Table9[EnergyRating (group)],AM30,Table9[CountyName (group)],BL$4)</f>
        <v>0</v>
      </c>
      <c r="BM30" s="1164">
        <f>SUMIFS(Table9[Count of EnergyRating],Table9[MainSpaceHeatingFuel],AL30,Table9[EnergyRating (group)],AM30,Table9[CountyName (group)],BM$4)</f>
        <v>1</v>
      </c>
    </row>
    <row r="31" spans="2:65" ht="13.5" thickBot="1">
      <c r="B31" s="1138" t="s">
        <v>1075</v>
      </c>
      <c r="C31" s="1138" t="s">
        <v>1174</v>
      </c>
      <c r="D31" s="1138" t="s">
        <v>1094</v>
      </c>
      <c r="E31" s="1147">
        <f>SUM(E25:E30)</f>
        <v>2.7461984776671246E-3</v>
      </c>
      <c r="F31" s="1147">
        <f t="shared" ref="F31" si="22">SUM(F25:F30)</f>
        <v>0.26621391850366605</v>
      </c>
      <c r="G31" s="1147">
        <f t="shared" ref="G31" si="23">SUM(G25:G30)</f>
        <v>1.5897095429762767E-2</v>
      </c>
      <c r="H31" s="1147">
        <f t="shared" ref="H31" si="24">SUM(H25:H30)</f>
        <v>3.7809140487566079E-3</v>
      </c>
      <c r="I31" s="1147">
        <f t="shared" ref="I31" si="25">SUM(I25:I30)</f>
        <v>3.0979029052734456E-3</v>
      </c>
      <c r="J31" s="1147">
        <f t="shared" ref="J31" si="26">SUM(J25:J30)</f>
        <v>1.4926758727229165E-3</v>
      </c>
      <c r="K31" s="1147">
        <f t="shared" ref="K31" si="27">SUM(K25:K30)</f>
        <v>6.560248478237914E-3</v>
      </c>
      <c r="L31" s="1147">
        <f t="shared" ref="L31" si="28">SUM(L25:L30)</f>
        <v>1.1682275087108691E-2</v>
      </c>
      <c r="M31" s="1147">
        <f t="shared" ref="M31" si="29">SUM(M25:M30)</f>
        <v>2.5372448729808657E-3</v>
      </c>
      <c r="N31" s="1147">
        <f t="shared" ref="N31" si="30">SUM(N25:N30)</f>
        <v>6.2367394389018773E-3</v>
      </c>
      <c r="O31" s="1147">
        <f t="shared" ref="O31" si="31">SUM(O25:O30)</f>
        <v>5.7618408440734698E-3</v>
      </c>
      <c r="P31" s="1147">
        <f t="shared" ref="P31" si="32">SUM(P25:P30)</f>
        <v>9.7431573076345104E-3</v>
      </c>
      <c r="Q31" s="1147">
        <f t="shared" ref="Q31" si="33">SUM(Q25:Q30)</f>
        <v>5.3780977412196639E-3</v>
      </c>
      <c r="R31" s="1147">
        <f t="shared" ref="R31" si="34">SUM(R25:R30)</f>
        <v>3.9213995919105619E-2</v>
      </c>
      <c r="S31" s="1147">
        <f t="shared" ref="S31" si="35">SUM(S25:S30)</f>
        <v>6.2736801294715049E-3</v>
      </c>
      <c r="T31" s="1147">
        <f t="shared" ref="T31" si="36">SUM(T25:T30)</f>
        <v>1.6107210954961447E-2</v>
      </c>
      <c r="U31" s="1147">
        <f t="shared" ref="U31" si="37">SUM(U25:U30)</f>
        <v>5.1428093593794341E-3</v>
      </c>
      <c r="V31" s="1147">
        <f t="shared" ref="V31" si="38">SUM(V25:V30)</f>
        <v>6.9064292395604673E-3</v>
      </c>
      <c r="W31" s="1147">
        <f t="shared" ref="W31" si="39">SUM(W25:W30)</f>
        <v>2.1332550354207724E-2</v>
      </c>
      <c r="X31" s="1147">
        <f t="shared" ref="X31" si="40">SUM(X25:X30)</f>
        <v>1.1722900599568254E-3</v>
      </c>
      <c r="Y31" s="1147">
        <f t="shared" ref="Y31" si="41">SUM(Y25:Y30)</f>
        <v>4.6227123507475796E-3</v>
      </c>
      <c r="Z31" s="1147">
        <f t="shared" ref="Z31" si="42">SUM(Z25:Z30)</f>
        <v>1.4603360692607421E-3</v>
      </c>
      <c r="AA31" s="1147">
        <f t="shared" ref="AA31" si="43">SUM(AA25:AA30)</f>
        <v>3.61838141298545E-3</v>
      </c>
      <c r="AB31" s="1147">
        <f t="shared" ref="AB31" si="44">SUM(AB25:AB30)</f>
        <v>2.7439708670872172E-3</v>
      </c>
      <c r="AC31" s="1147">
        <f t="shared" ref="AC31" si="45">SUM(AC25:AC30)</f>
        <v>5.1660344272201576E-3</v>
      </c>
      <c r="AD31" s="1147">
        <f t="shared" ref="AD31" si="46">SUM(AD25:AD30)</f>
        <v>2.2182622481577655E-3</v>
      </c>
      <c r="AE31" s="1147">
        <f t="shared" ref="AE31" si="47">SUM(AE25:AE30)</f>
        <v>0.45710697240010789</v>
      </c>
      <c r="AG31" s="1164"/>
      <c r="AL31" s="1144" t="s">
        <v>1131</v>
      </c>
      <c r="AM31" s="1144" t="s">
        <v>60</v>
      </c>
      <c r="AN31" s="1135">
        <f>SUMIFS(Table9[Count of EnergyRating],Table9[MainSpaceHeatingFuel],AL31,Table9[EnergyRating (group)],AM31,Table9[CountyName (group)],AN$4)</f>
        <v>0</v>
      </c>
      <c r="AO31" s="1164">
        <f>SUMIFS(Table9[Count of EnergyRating],Table9[MainSpaceHeatingFuel],AL31,Table9[EnergyRating (group)],AM31,Table9[CountyName (group)],AO$4)</f>
        <v>7</v>
      </c>
      <c r="AP31" s="1164">
        <f>SUMIFS(Table9[Count of EnergyRating],Table9[MainSpaceHeatingFuel],AL31,Table9[EnergyRating (group)],AM31,Table9[CountyName (group)],AP$4)</f>
        <v>0</v>
      </c>
      <c r="AQ31" s="1164">
        <f>SUMIFS(Table9[Count of EnergyRating],Table9[MainSpaceHeatingFuel],AL31,Table9[EnergyRating (group)],AM31,Table9[CountyName (group)],AQ$4)</f>
        <v>0</v>
      </c>
      <c r="AR31" s="1164">
        <f>SUMIFS(Table9[Count of EnergyRating],Table9[MainSpaceHeatingFuel],AL31,Table9[EnergyRating (group)],AM31,Table9[CountyName (group)],AR$4)</f>
        <v>1</v>
      </c>
      <c r="AS31" s="1164">
        <f>SUMIFS(Table9[Count of EnergyRating],Table9[MainSpaceHeatingFuel],AL31,Table9[EnergyRating (group)],AM31,Table9[CountyName (group)],AS$4)</f>
        <v>0</v>
      </c>
      <c r="AT31" s="1164">
        <f>SUMIFS(Table9[Count of EnergyRating],Table9[MainSpaceHeatingFuel],AL31,Table9[EnergyRating (group)],AM31,Table9[CountyName (group)],AT$4)</f>
        <v>0</v>
      </c>
      <c r="AU31" s="1164">
        <f>SUMIFS(Table9[Count of EnergyRating],Table9[MainSpaceHeatingFuel],AL31,Table9[EnergyRating (group)],AM31,Table9[CountyName (group)],AU$4)</f>
        <v>0</v>
      </c>
      <c r="AV31" s="1164">
        <f>SUMIFS(Table9[Count of EnergyRating],Table9[MainSpaceHeatingFuel],AL31,Table9[EnergyRating (group)],AM31,Table9[CountyName (group)],AV$4)</f>
        <v>0</v>
      </c>
      <c r="AW31" s="1164">
        <f>SUMIFS(Table9[Count of EnergyRating],Table9[MainSpaceHeatingFuel],AL31,Table9[EnergyRating (group)],AM31,Table9[CountyName (group)],AW$4)</f>
        <v>0</v>
      </c>
      <c r="AX31" s="1164">
        <f>SUMIFS(Table9[Count of EnergyRating],Table9[MainSpaceHeatingFuel],AL31,Table9[EnergyRating (group)],AM31,Table9[CountyName (group)],AX$4)</f>
        <v>0</v>
      </c>
      <c r="AY31" s="1164">
        <f>SUMIFS(Table9[Count of EnergyRating],Table9[MainSpaceHeatingFuel],AL31,Table9[EnergyRating (group)],AM31,Table9[CountyName (group)],AY$4)</f>
        <v>0</v>
      </c>
      <c r="AZ31" s="1164">
        <f>SUMIFS(Table9[Count of EnergyRating],Table9[MainSpaceHeatingFuel],AL31,Table9[EnergyRating (group)],AM31,Table9[CountyName (group)],AZ$4)</f>
        <v>0</v>
      </c>
      <c r="BA31" s="1164">
        <f>SUMIFS(Table9[Count of EnergyRating],Table9[MainSpaceHeatingFuel],AL31,Table9[EnergyRating (group)],AM31,Table9[CountyName (group)],BA$4)</f>
        <v>6</v>
      </c>
      <c r="BB31" s="1164">
        <f>SUMIFS(Table9[Count of EnergyRating],Table9[MainSpaceHeatingFuel],AL31,Table9[EnergyRating (group)],AM31,Table9[CountyName (group)],BB$4)</f>
        <v>0</v>
      </c>
      <c r="BC31" s="1164">
        <f>SUMIFS(Table9[Count of EnergyRating],Table9[MainSpaceHeatingFuel],AL31,Table9[EnergyRating (group)],AM31,Table9[CountyName (group)],BC$4)</f>
        <v>2</v>
      </c>
      <c r="BD31" s="1164">
        <f>SUMIFS(Table9[Count of EnergyRating],Table9[MainSpaceHeatingFuel],AL31,Table9[EnergyRating (group)],AM31,Table9[CountyName (group)],BD$4)</f>
        <v>0</v>
      </c>
      <c r="BE31" s="1164">
        <f>SUMIFS(Table9[Count of EnergyRating],Table9[MainSpaceHeatingFuel],AL31,Table9[EnergyRating (group)],AM31,Table9[CountyName (group)],BE$4)</f>
        <v>5</v>
      </c>
      <c r="BF31" s="1164">
        <f>SUMIFS(Table9[Count of EnergyRating],Table9[MainSpaceHeatingFuel],AL31,Table9[EnergyRating (group)],AM31,Table9[CountyName (group)],BF$4)</f>
        <v>9</v>
      </c>
      <c r="BG31" s="1164">
        <f>SUMIFS(Table9[Count of EnergyRating],Table9[MainSpaceHeatingFuel],AL31,Table9[EnergyRating (group)],AM31,Table9[CountyName (group)],BG$4)</f>
        <v>0</v>
      </c>
      <c r="BH31" s="1164">
        <f>SUMIFS(Table9[Count of EnergyRating],Table9[MainSpaceHeatingFuel],AL31,Table9[EnergyRating (group)],AM31,Table9[CountyName (group)],BH$4)</f>
        <v>0</v>
      </c>
      <c r="BI31" s="1164">
        <f>SUMIFS(Table9[Count of EnergyRating],Table9[MainSpaceHeatingFuel],AL31,Table9[EnergyRating (group)],AM31,Table9[CountyName (group)],BI$4)</f>
        <v>0</v>
      </c>
      <c r="BJ31" s="1164">
        <f>SUMIFS(Table9[Count of EnergyRating],Table9[MainSpaceHeatingFuel],AL31,Table9[EnergyRating (group)],AM31,Table9[CountyName (group)],BJ$4)</f>
        <v>16</v>
      </c>
      <c r="BK31" s="1135">
        <f>SUMIFS(Table9[Count of EnergyRating],Table9[MainSpaceHeatingFuel],AL31,Table9[EnergyRating (group)],AM31,Table9[CountyName (group)],BK$4)</f>
        <v>2</v>
      </c>
      <c r="BL31" s="1164">
        <f>SUMIFS(Table9[Count of EnergyRating],Table9[MainSpaceHeatingFuel],AL31,Table9[EnergyRating (group)],AM31,Table9[CountyName (group)],BL$4)</f>
        <v>0</v>
      </c>
      <c r="BM31" s="1164">
        <f>SUMIFS(Table9[Count of EnergyRating],Table9[MainSpaceHeatingFuel],AL31,Table9[EnergyRating (group)],AM31,Table9[CountyName (group)],BM$4)</f>
        <v>2</v>
      </c>
    </row>
    <row r="32" spans="2:65" ht="13.5" thickBot="1">
      <c r="B32" s="1165"/>
      <c r="C32" s="1165" t="s">
        <v>1175</v>
      </c>
      <c r="D32" s="1165" t="s">
        <v>1094</v>
      </c>
      <c r="E32" s="1166">
        <f t="shared" ref="E32:AA32" si="48">G153</f>
        <v>4.4893145478407375E-4</v>
      </c>
      <c r="F32" s="1166">
        <f t="shared" si="48"/>
        <v>4.3518996419786835E-2</v>
      </c>
      <c r="G32" s="1166">
        <f t="shared" si="48"/>
        <v>2.5987583330783978E-3</v>
      </c>
      <c r="H32" s="1166">
        <f t="shared" si="48"/>
        <v>6.1808032380957065E-4</v>
      </c>
      <c r="I32" s="1166">
        <f t="shared" si="48"/>
        <v>5.064259081614689E-4</v>
      </c>
      <c r="J32" s="1166">
        <f t="shared" si="48"/>
        <v>2.4401337212590641E-4</v>
      </c>
      <c r="K32" s="1166">
        <f t="shared" si="48"/>
        <v>1.0724286379993173E-3</v>
      </c>
      <c r="L32" s="1166">
        <f t="shared" si="48"/>
        <v>1.9097457058160801E-3</v>
      </c>
      <c r="M32" s="1166">
        <f t="shared" si="48"/>
        <v>4.1477301849586132E-4</v>
      </c>
      <c r="N32" s="1166">
        <f t="shared" si="48"/>
        <v>1.0195433914135354E-3</v>
      </c>
      <c r="O32" s="1166">
        <f t="shared" si="48"/>
        <v>9.4190992144222471E-4</v>
      </c>
      <c r="P32" s="1166">
        <f t="shared" si="48"/>
        <v>1.5927507861784739E-3</v>
      </c>
      <c r="Q32" s="1166">
        <f t="shared" si="48"/>
        <v>8.7917798461082026E-4</v>
      </c>
      <c r="R32" s="1166">
        <f t="shared" si="48"/>
        <v>6.4104602704519809E-3</v>
      </c>
      <c r="S32" s="1166">
        <f t="shared" si="48"/>
        <v>1.0255822258579557E-3</v>
      </c>
      <c r="T32" s="1166">
        <f t="shared" si="48"/>
        <v>2.6331067129086467E-3</v>
      </c>
      <c r="U32" s="1166">
        <f t="shared" si="48"/>
        <v>8.4071450266939266E-4</v>
      </c>
      <c r="V32" s="1166">
        <f t="shared" si="48"/>
        <v>1.1290201167517243E-3</v>
      </c>
      <c r="W32" s="1166">
        <f t="shared" si="48"/>
        <v>3.4873127134293835E-3</v>
      </c>
      <c r="X32" s="1166">
        <f t="shared" si="48"/>
        <v>1.9163869120355638E-4</v>
      </c>
      <c r="Y32" s="1166">
        <f t="shared" si="48"/>
        <v>7.5569227699534385E-4</v>
      </c>
      <c r="Z32" s="1166">
        <f t="shared" si="48"/>
        <v>2.3872666210338899E-4</v>
      </c>
      <c r="AA32" s="1166">
        <f t="shared" si="48"/>
        <v>5.9151049893346795E-4</v>
      </c>
      <c r="AB32" s="1166">
        <f>AD153</f>
        <v>4.4856729885490006E-4</v>
      </c>
      <c r="AC32" s="1166">
        <f>AE153</f>
        <v>8.4451119237626774E-4</v>
      </c>
      <c r="AD32" s="1166">
        <f>AF153</f>
        <v>3.6262772201520595E-4</v>
      </c>
      <c r="AE32" s="1175">
        <f t="shared" si="5"/>
        <v>7.4725006142253789E-2</v>
      </c>
      <c r="AG32" s="1164"/>
      <c r="AL32" s="1144" t="s">
        <v>1131</v>
      </c>
      <c r="AM32" s="1144" t="s">
        <v>62</v>
      </c>
      <c r="AN32" s="1135">
        <f>SUMIFS(Table9[Count of EnergyRating],Table9[MainSpaceHeatingFuel],AL32,Table9[EnergyRating (group)],AM32,Table9[CountyName (group)],AN$4)</f>
        <v>0</v>
      </c>
      <c r="AO32" s="1164">
        <f>SUMIFS(Table9[Count of EnergyRating],Table9[MainSpaceHeatingFuel],AL32,Table9[EnergyRating (group)],AM32,Table9[CountyName (group)],AO$4)</f>
        <v>7</v>
      </c>
      <c r="AP32" s="1164">
        <f>SUMIFS(Table9[Count of EnergyRating],Table9[MainSpaceHeatingFuel],AL32,Table9[EnergyRating (group)],AM32,Table9[CountyName (group)],AP$4)</f>
        <v>0</v>
      </c>
      <c r="AQ32" s="1164">
        <f>SUMIFS(Table9[Count of EnergyRating],Table9[MainSpaceHeatingFuel],AL32,Table9[EnergyRating (group)],AM32,Table9[CountyName (group)],AQ$4)</f>
        <v>0</v>
      </c>
      <c r="AR32" s="1164">
        <f>SUMIFS(Table9[Count of EnergyRating],Table9[MainSpaceHeatingFuel],AL32,Table9[EnergyRating (group)],AM32,Table9[CountyName (group)],AR$4)</f>
        <v>0</v>
      </c>
      <c r="AS32" s="1164">
        <f>SUMIFS(Table9[Count of EnergyRating],Table9[MainSpaceHeatingFuel],AL32,Table9[EnergyRating (group)],AM32,Table9[CountyName (group)],AS$4)</f>
        <v>0</v>
      </c>
      <c r="AT32" s="1164">
        <f>SUMIFS(Table9[Count of EnergyRating],Table9[MainSpaceHeatingFuel],AL32,Table9[EnergyRating (group)],AM32,Table9[CountyName (group)],AT$4)</f>
        <v>2</v>
      </c>
      <c r="AU32" s="1164">
        <f>SUMIFS(Table9[Count of EnergyRating],Table9[MainSpaceHeatingFuel],AL32,Table9[EnergyRating (group)],AM32,Table9[CountyName (group)],AU$4)</f>
        <v>0</v>
      </c>
      <c r="AV32" s="1164">
        <f>SUMIFS(Table9[Count of EnergyRating],Table9[MainSpaceHeatingFuel],AL32,Table9[EnergyRating (group)],AM32,Table9[CountyName (group)],AV$4)</f>
        <v>0</v>
      </c>
      <c r="AW32" s="1164">
        <f>SUMIFS(Table9[Count of EnergyRating],Table9[MainSpaceHeatingFuel],AL32,Table9[EnergyRating (group)],AM32,Table9[CountyName (group)],AW$4)</f>
        <v>0</v>
      </c>
      <c r="AX32" s="1164">
        <f>SUMIFS(Table9[Count of EnergyRating],Table9[MainSpaceHeatingFuel],AL32,Table9[EnergyRating (group)],AM32,Table9[CountyName (group)],AX$4)</f>
        <v>0</v>
      </c>
      <c r="AY32" s="1164">
        <f>SUMIFS(Table9[Count of EnergyRating],Table9[MainSpaceHeatingFuel],AL32,Table9[EnergyRating (group)],AM32,Table9[CountyName (group)],AY$4)</f>
        <v>0</v>
      </c>
      <c r="AZ32" s="1164">
        <f>SUMIFS(Table9[Count of EnergyRating],Table9[MainSpaceHeatingFuel],AL32,Table9[EnergyRating (group)],AM32,Table9[CountyName (group)],AZ$4)</f>
        <v>0</v>
      </c>
      <c r="BA32" s="1164">
        <f>SUMIFS(Table9[Count of EnergyRating],Table9[MainSpaceHeatingFuel],AL32,Table9[EnergyRating (group)],AM32,Table9[CountyName (group)],BA$4)</f>
        <v>0</v>
      </c>
      <c r="BB32" s="1164">
        <f>SUMIFS(Table9[Count of EnergyRating],Table9[MainSpaceHeatingFuel],AL32,Table9[EnergyRating (group)],AM32,Table9[CountyName (group)],BB$4)</f>
        <v>0</v>
      </c>
      <c r="BC32" s="1164">
        <f>SUMIFS(Table9[Count of EnergyRating],Table9[MainSpaceHeatingFuel],AL32,Table9[EnergyRating (group)],AM32,Table9[CountyName (group)],BC$4)</f>
        <v>2</v>
      </c>
      <c r="BD32" s="1164">
        <f>SUMIFS(Table9[Count of EnergyRating],Table9[MainSpaceHeatingFuel],AL32,Table9[EnergyRating (group)],AM32,Table9[CountyName (group)],BD$4)</f>
        <v>0</v>
      </c>
      <c r="BE32" s="1164">
        <f>SUMIFS(Table9[Count of EnergyRating],Table9[MainSpaceHeatingFuel],AL32,Table9[EnergyRating (group)],AM32,Table9[CountyName (group)],BE$4)</f>
        <v>0</v>
      </c>
      <c r="BF32" s="1164">
        <f>SUMIFS(Table9[Count of EnergyRating],Table9[MainSpaceHeatingFuel],AL32,Table9[EnergyRating (group)],AM32,Table9[CountyName (group)],BF$4)</f>
        <v>3</v>
      </c>
      <c r="BG32" s="1164">
        <f>SUMIFS(Table9[Count of EnergyRating],Table9[MainSpaceHeatingFuel],AL32,Table9[EnergyRating (group)],AM32,Table9[CountyName (group)],BG$4)</f>
        <v>0</v>
      </c>
      <c r="BH32" s="1164">
        <f>SUMIFS(Table9[Count of EnergyRating],Table9[MainSpaceHeatingFuel],AL32,Table9[EnergyRating (group)],AM32,Table9[CountyName (group)],BH$4)</f>
        <v>0</v>
      </c>
      <c r="BI32" s="1164">
        <f>SUMIFS(Table9[Count of EnergyRating],Table9[MainSpaceHeatingFuel],AL32,Table9[EnergyRating (group)],AM32,Table9[CountyName (group)],BI$4)</f>
        <v>0</v>
      </c>
      <c r="BJ32" s="1164">
        <f>SUMIFS(Table9[Count of EnergyRating],Table9[MainSpaceHeatingFuel],AL32,Table9[EnergyRating (group)],AM32,Table9[CountyName (group)],BJ$4)</f>
        <v>3</v>
      </c>
      <c r="BK32" s="1135">
        <f>SUMIFS(Table9[Count of EnergyRating],Table9[MainSpaceHeatingFuel],AL32,Table9[EnergyRating (group)],AM32,Table9[CountyName (group)],BK$4)</f>
        <v>0</v>
      </c>
      <c r="BL32" s="1164">
        <f>SUMIFS(Table9[Count of EnergyRating],Table9[MainSpaceHeatingFuel],AL32,Table9[EnergyRating (group)],AM32,Table9[CountyName (group)],BL$4)</f>
        <v>0</v>
      </c>
      <c r="BM32" s="1164">
        <f>SUMIFS(Table9[Count of EnergyRating],Table9[MainSpaceHeatingFuel],AL32,Table9[EnergyRating (group)],AM32,Table9[CountyName (group)],BM$4)</f>
        <v>2</v>
      </c>
    </row>
    <row r="33" spans="2:65" ht="15">
      <c r="B33" s="1137"/>
      <c r="C33" s="1137" t="s">
        <v>1198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G33" s="1164"/>
      <c r="AL33" s="1144" t="s">
        <v>1131</v>
      </c>
      <c r="AM33" s="1144" t="s">
        <v>64</v>
      </c>
      <c r="AN33" s="1135">
        <f>SUMIFS(Table9[Count of EnergyRating],Table9[MainSpaceHeatingFuel],AL33,Table9[EnergyRating (group)],AM33,Table9[CountyName (group)],AN$4)</f>
        <v>2</v>
      </c>
      <c r="AO33" s="1164">
        <f>SUMIFS(Table9[Count of EnergyRating],Table9[MainSpaceHeatingFuel],AL33,Table9[EnergyRating (group)],AM33,Table9[CountyName (group)],AO$4)</f>
        <v>36</v>
      </c>
      <c r="AP33" s="1164">
        <f>SUMIFS(Table9[Count of EnergyRating],Table9[MainSpaceHeatingFuel],AL33,Table9[EnergyRating (group)],AM33,Table9[CountyName (group)],AP$4)</f>
        <v>0</v>
      </c>
      <c r="AQ33" s="1164">
        <f>SUMIFS(Table9[Count of EnergyRating],Table9[MainSpaceHeatingFuel],AL33,Table9[EnergyRating (group)],AM33,Table9[CountyName (group)],AQ$4)</f>
        <v>0</v>
      </c>
      <c r="AR33" s="1164">
        <f>SUMIFS(Table9[Count of EnergyRating],Table9[MainSpaceHeatingFuel],AL33,Table9[EnergyRating (group)],AM33,Table9[CountyName (group)],AR$4)</f>
        <v>2</v>
      </c>
      <c r="AS33" s="1164">
        <f>SUMIFS(Table9[Count of EnergyRating],Table9[MainSpaceHeatingFuel],AL33,Table9[EnergyRating (group)],AM33,Table9[CountyName (group)],AS$4)</f>
        <v>0</v>
      </c>
      <c r="AT33" s="1164">
        <f>SUMIFS(Table9[Count of EnergyRating],Table9[MainSpaceHeatingFuel],AL33,Table9[EnergyRating (group)],AM33,Table9[CountyName (group)],AT$4)</f>
        <v>2</v>
      </c>
      <c r="AU33" s="1164">
        <f>SUMIFS(Table9[Count of EnergyRating],Table9[MainSpaceHeatingFuel],AL33,Table9[EnergyRating (group)],AM33,Table9[CountyName (group)],AU$4)</f>
        <v>1</v>
      </c>
      <c r="AV33" s="1164">
        <f>SUMIFS(Table9[Count of EnergyRating],Table9[MainSpaceHeatingFuel],AL33,Table9[EnergyRating (group)],AM33,Table9[CountyName (group)],AV$4)</f>
        <v>0</v>
      </c>
      <c r="AW33" s="1164">
        <f>SUMIFS(Table9[Count of EnergyRating],Table9[MainSpaceHeatingFuel],AL33,Table9[EnergyRating (group)],AM33,Table9[CountyName (group)],AW$4)</f>
        <v>0</v>
      </c>
      <c r="AX33" s="1164">
        <f>SUMIFS(Table9[Count of EnergyRating],Table9[MainSpaceHeatingFuel],AL33,Table9[EnergyRating (group)],AM33,Table9[CountyName (group)],AX$4)</f>
        <v>0</v>
      </c>
      <c r="AY33" s="1164">
        <f>SUMIFS(Table9[Count of EnergyRating],Table9[MainSpaceHeatingFuel],AL33,Table9[EnergyRating (group)],AM33,Table9[CountyName (group)],AY$4)</f>
        <v>0</v>
      </c>
      <c r="AZ33" s="1164">
        <f>SUMIFS(Table9[Count of EnergyRating],Table9[MainSpaceHeatingFuel],AL33,Table9[EnergyRating (group)],AM33,Table9[CountyName (group)],AZ$4)</f>
        <v>0</v>
      </c>
      <c r="BA33" s="1164">
        <f>SUMIFS(Table9[Count of EnergyRating],Table9[MainSpaceHeatingFuel],AL33,Table9[EnergyRating (group)],AM33,Table9[CountyName (group)],BA$4)</f>
        <v>9</v>
      </c>
      <c r="BB33" s="1164">
        <f>SUMIFS(Table9[Count of EnergyRating],Table9[MainSpaceHeatingFuel],AL33,Table9[EnergyRating (group)],AM33,Table9[CountyName (group)],BB$4)</f>
        <v>0</v>
      </c>
      <c r="BC33" s="1164">
        <f>SUMIFS(Table9[Count of EnergyRating],Table9[MainSpaceHeatingFuel],AL33,Table9[EnergyRating (group)],AM33,Table9[CountyName (group)],BC$4)</f>
        <v>8</v>
      </c>
      <c r="BD33" s="1164">
        <f>SUMIFS(Table9[Count of EnergyRating],Table9[MainSpaceHeatingFuel],AL33,Table9[EnergyRating (group)],AM33,Table9[CountyName (group)],BD$4)</f>
        <v>0</v>
      </c>
      <c r="BE33" s="1164">
        <f>SUMIFS(Table9[Count of EnergyRating],Table9[MainSpaceHeatingFuel],AL33,Table9[EnergyRating (group)],AM33,Table9[CountyName (group)],BE$4)</f>
        <v>5</v>
      </c>
      <c r="BF33" s="1164">
        <f>SUMIFS(Table9[Count of EnergyRating],Table9[MainSpaceHeatingFuel],AL33,Table9[EnergyRating (group)],AM33,Table9[CountyName (group)],BF$4)</f>
        <v>1</v>
      </c>
      <c r="BG33" s="1164">
        <f>SUMIFS(Table9[Count of EnergyRating],Table9[MainSpaceHeatingFuel],AL33,Table9[EnergyRating (group)],AM33,Table9[CountyName (group)],BG$4)</f>
        <v>2</v>
      </c>
      <c r="BH33" s="1164">
        <f>SUMIFS(Table9[Count of EnergyRating],Table9[MainSpaceHeatingFuel],AL33,Table9[EnergyRating (group)],AM33,Table9[CountyName (group)],BH$4)</f>
        <v>0</v>
      </c>
      <c r="BI33" s="1164">
        <f>SUMIFS(Table9[Count of EnergyRating],Table9[MainSpaceHeatingFuel],AL33,Table9[EnergyRating (group)],AM33,Table9[CountyName (group)],BI$4)</f>
        <v>1</v>
      </c>
      <c r="BJ33" s="1164">
        <f>SUMIFS(Table9[Count of EnergyRating],Table9[MainSpaceHeatingFuel],AL33,Table9[EnergyRating (group)],AM33,Table9[CountyName (group)],BJ$4)</f>
        <v>3</v>
      </c>
      <c r="BK33" s="1135">
        <f>SUMIFS(Table9[Count of EnergyRating],Table9[MainSpaceHeatingFuel],AL33,Table9[EnergyRating (group)],AM33,Table9[CountyName (group)],BK$4)</f>
        <v>2</v>
      </c>
      <c r="BL33" s="1164">
        <f>SUMIFS(Table9[Count of EnergyRating],Table9[MainSpaceHeatingFuel],AL33,Table9[EnergyRating (group)],AM33,Table9[CountyName (group)],BL$4)</f>
        <v>0</v>
      </c>
      <c r="BM33" s="1164">
        <f>SUMIFS(Table9[Count of EnergyRating],Table9[MainSpaceHeatingFuel],AL33,Table9[EnergyRating (group)],AM33,Table9[CountyName (group)],BM$4)</f>
        <v>3</v>
      </c>
    </row>
    <row r="34" spans="2:65">
      <c r="B34" s="1134" t="s">
        <v>1259</v>
      </c>
      <c r="C34" s="1134" t="s">
        <v>1176</v>
      </c>
      <c r="D34" s="1134" t="s">
        <v>1094</v>
      </c>
      <c r="E34" s="1145">
        <f t="shared" ref="E34:AA34" si="49">IFERROR(G155*((SUM(AN$35:AN$38)/SUM(AN$35:AN$43))/(SUM(G$155)/SUM(G$155:G$160))),G155)</f>
        <v>2.3512698791233415E-6</v>
      </c>
      <c r="F34" s="1145">
        <f t="shared" si="49"/>
        <v>0</v>
      </c>
      <c r="G34" s="1145">
        <f t="shared" si="49"/>
        <v>2.8889139037555223E-5</v>
      </c>
      <c r="H34" s="1145">
        <f t="shared" si="49"/>
        <v>7.1162139928907107E-6</v>
      </c>
      <c r="I34" s="1145">
        <f t="shared" si="49"/>
        <v>6.5299483066271369E-6</v>
      </c>
      <c r="J34" s="1145">
        <f t="shared" si="49"/>
        <v>1.105185192503911E-6</v>
      </c>
      <c r="K34" s="1145">
        <f t="shared" si="49"/>
        <v>1.728191777047289E-5</v>
      </c>
      <c r="L34" s="1145">
        <f t="shared" si="49"/>
        <v>2.7988199482359563E-5</v>
      </c>
      <c r="M34" s="1145">
        <f t="shared" si="49"/>
        <v>2.1846629007619109E-6</v>
      </c>
      <c r="N34" s="1145">
        <f t="shared" si="49"/>
        <v>1.0322718892238343E-5</v>
      </c>
      <c r="O34" s="1145">
        <f t="shared" si="49"/>
        <v>5.3333564417398235E-6</v>
      </c>
      <c r="P34" s="1145">
        <f t="shared" si="49"/>
        <v>2.6062261773990782E-5</v>
      </c>
      <c r="Q34" s="1145">
        <f t="shared" si="49"/>
        <v>5.9078408286456965E-6</v>
      </c>
      <c r="R34" s="1145">
        <f t="shared" si="49"/>
        <v>1.152392219065601E-4</v>
      </c>
      <c r="S34" s="1145">
        <f t="shared" si="49"/>
        <v>7.7557243311037831E-6</v>
      </c>
      <c r="T34" s="1145">
        <f t="shared" si="49"/>
        <v>1.871954964191324E-5</v>
      </c>
      <c r="U34" s="1145">
        <f t="shared" si="49"/>
        <v>3.2128948375744662E-6</v>
      </c>
      <c r="V34" s="1145">
        <f t="shared" si="49"/>
        <v>7.1200301438767687E-5</v>
      </c>
      <c r="W34" s="1145">
        <f t="shared" si="49"/>
        <v>2.5117790596541382E-5</v>
      </c>
      <c r="X34" s="1145">
        <f t="shared" si="49"/>
        <v>4.9977484921808694E-7</v>
      </c>
      <c r="Y34" s="1145">
        <f t="shared" si="49"/>
        <v>4.139424558871979E-6</v>
      </c>
      <c r="Z34" s="1145">
        <f t="shared" si="49"/>
        <v>1.4703727821053769E-6</v>
      </c>
      <c r="AA34" s="1145">
        <f t="shared" si="49"/>
        <v>4.1480401174843051E-6</v>
      </c>
      <c r="AB34" s="1145">
        <f>IFERROR(AD155*((SUM(BK$35:BK$38)/SUM(BK$35:BK$43))/(SUM(AD$155)/SUM(AD$155:AD$160))),AD155)</f>
        <v>3.8529818317874891E-6</v>
      </c>
      <c r="AC34" s="1145">
        <f>IFERROR(AE155*((SUM(BL$35:BL$38)/SUM(BL$35:BL$43))/(SUM(AE$155)/SUM(AE$155:AE$160))),AE155)</f>
        <v>7.9826891330130758E-6</v>
      </c>
      <c r="AD34" s="1145">
        <f>IFERROR(AF155*((SUM(BM$35:BM$38)/SUM(BM$35:BM$43))/(SUM(AF$155)/SUM(AF$155:AF$160))),AF155)</f>
        <v>3.1651511432986597E-6</v>
      </c>
      <c r="AE34" s="1172">
        <f t="shared" si="5"/>
        <v>4.0757663166714897E-4</v>
      </c>
      <c r="AG34" s="1164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</row>
    <row r="35" spans="2:65" ht="15">
      <c r="B35" s="1136" t="s">
        <v>56</v>
      </c>
      <c r="C35" s="1136" t="s">
        <v>1176</v>
      </c>
      <c r="D35" s="1136" t="s">
        <v>1094</v>
      </c>
      <c r="E35" s="1146">
        <f t="shared" ref="E35:AA35" si="50">IFERROR(G156*((SUM(AN$39)/SUM(AN$35:AN$43))/(SUM(G$156)/SUM(G$155:G$160))),G156)</f>
        <v>1.0918057262754813E-5</v>
      </c>
      <c r="F35" s="1146">
        <f t="shared" si="50"/>
        <v>1.372236693317866E-3</v>
      </c>
      <c r="G35" s="1146">
        <f t="shared" si="50"/>
        <v>6.5458502023604568E-5</v>
      </c>
      <c r="H35" s="1146">
        <f t="shared" si="50"/>
        <v>1.6078651239387013E-5</v>
      </c>
      <c r="I35" s="1146">
        <f t="shared" si="50"/>
        <v>1.0373997977523775E-5</v>
      </c>
      <c r="J35" s="1146">
        <f t="shared" si="50"/>
        <v>4.2291115694092014E-6</v>
      </c>
      <c r="K35" s="1146">
        <f t="shared" si="50"/>
        <v>2.6786182469347948E-5</v>
      </c>
      <c r="L35" s="1146">
        <f t="shared" si="50"/>
        <v>5.1070014955457809E-5</v>
      </c>
      <c r="M35" s="1146">
        <f t="shared" si="50"/>
        <v>7.1601612746648323E-6</v>
      </c>
      <c r="N35" s="1146">
        <f t="shared" si="50"/>
        <v>1.9489632145108234E-5</v>
      </c>
      <c r="O35" s="1146">
        <f t="shared" si="50"/>
        <v>1.6370685898454255E-5</v>
      </c>
      <c r="P35" s="1146">
        <f t="shared" si="50"/>
        <v>3.4530385756394252E-5</v>
      </c>
      <c r="Q35" s="1146">
        <f t="shared" si="50"/>
        <v>1.7055883076829758E-5</v>
      </c>
      <c r="R35" s="1146">
        <f t="shared" si="50"/>
        <v>1.2958327884867747E-4</v>
      </c>
      <c r="S35" s="1146">
        <f t="shared" si="50"/>
        <v>2.1725508635988555E-5</v>
      </c>
      <c r="T35" s="1146">
        <f t="shared" si="50"/>
        <v>7.3051093416259146E-5</v>
      </c>
      <c r="U35" s="1146">
        <f t="shared" si="50"/>
        <v>1.0502971635715367E-5</v>
      </c>
      <c r="V35" s="1146">
        <f t="shared" si="50"/>
        <v>0</v>
      </c>
      <c r="W35" s="1146">
        <f t="shared" si="50"/>
        <v>6.7860513644241077E-5</v>
      </c>
      <c r="X35" s="1146">
        <f t="shared" si="50"/>
        <v>4.4298225271603158E-6</v>
      </c>
      <c r="Y35" s="1146">
        <f t="shared" si="50"/>
        <v>1.4158479264295722E-5</v>
      </c>
      <c r="Z35" s="1146">
        <f t="shared" si="50"/>
        <v>4.7275680252398448E-6</v>
      </c>
      <c r="AA35" s="1146">
        <f t="shared" si="50"/>
        <v>9.6709818611788472E-6</v>
      </c>
      <c r="AB35" s="1146">
        <f>IFERROR(AD156*((SUM(BK$39)/SUM(BK$35:BK$43))/(SUM(AD$156)/SUM(AD$155:AD$160))),AD156)</f>
        <v>8.1869493703849736E-6</v>
      </c>
      <c r="AC35" s="1146">
        <f>IFERROR(AE156*((SUM(BL$39)/SUM(BL$35:BL$43))/(SUM(AE$156)/SUM(AE$155:AE$160))),AE156)</f>
        <v>1.9981169358786392E-5</v>
      </c>
      <c r="AD35" s="1146">
        <f>IFERROR(AF156*((SUM(BM$39)/SUM(BM$35:BM$43))/(SUM(AF$156)/SUM(AF$155:AF$160))),AF156)</f>
        <v>6.1799264794696382E-6</v>
      </c>
      <c r="AE35" s="1173">
        <f t="shared" si="5"/>
        <v>2.0218162220341997E-3</v>
      </c>
      <c r="AG35" s="1164"/>
      <c r="AH35" s="1137" t="s">
        <v>1157</v>
      </c>
      <c r="AI35" s="1137" t="s">
        <v>1160</v>
      </c>
      <c r="AJ35" s="1159" t="s">
        <v>1159</v>
      </c>
      <c r="AL35" s="1144" t="s">
        <v>398</v>
      </c>
      <c r="AM35" s="1144" t="s">
        <v>48</v>
      </c>
      <c r="AN35" s="1135">
        <f>SUMIFS(Table9[Count of EnergyRating],Table9[MainSpaceHeatingFuel],AL35,Table9[EnergyRating (group)],AM35,Table9[CountyName (group)],AN$4)</f>
        <v>0</v>
      </c>
      <c r="AO35" s="1164">
        <f>SUMIFS(Table9[Count of EnergyRating],Table9[MainSpaceHeatingFuel],AL35,Table9[EnergyRating (group)],AM35,Table9[CountyName (group)],AO$4)</f>
        <v>0</v>
      </c>
      <c r="AP35" s="1164">
        <f>SUMIFS(Table9[Count of EnergyRating],Table9[MainSpaceHeatingFuel],AL35,Table9[EnergyRating (group)],AM35,Table9[CountyName (group)],AP$4)</f>
        <v>0</v>
      </c>
      <c r="AQ35" s="1164">
        <f>SUMIFS(Table9[Count of EnergyRating],Table9[MainSpaceHeatingFuel],AL35,Table9[EnergyRating (group)],AM35,Table9[CountyName (group)],AQ$4)</f>
        <v>0</v>
      </c>
      <c r="AR35" s="1164">
        <f>SUMIFS(Table9[Count of EnergyRating],Table9[MainSpaceHeatingFuel],AL35,Table9[EnergyRating (group)],AM35,Table9[CountyName (group)],AR$4)</f>
        <v>0</v>
      </c>
      <c r="AS35" s="1164">
        <f>SUMIFS(Table9[Count of EnergyRating],Table9[MainSpaceHeatingFuel],AL35,Table9[EnergyRating (group)],AM35,Table9[CountyName (group)],AS$4)</f>
        <v>0</v>
      </c>
      <c r="AT35" s="1164">
        <f>SUMIFS(Table9[Count of EnergyRating],Table9[MainSpaceHeatingFuel],AL35,Table9[EnergyRating (group)],AM35,Table9[CountyName (group)],AT$4)</f>
        <v>0</v>
      </c>
      <c r="AU35" s="1164">
        <f>SUMIFS(Table9[Count of EnergyRating],Table9[MainSpaceHeatingFuel],AL35,Table9[EnergyRating (group)],AM35,Table9[CountyName (group)],AU$4)</f>
        <v>0</v>
      </c>
      <c r="AV35" s="1164">
        <f>SUMIFS(Table9[Count of EnergyRating],Table9[MainSpaceHeatingFuel],AL35,Table9[EnergyRating (group)],AM35,Table9[CountyName (group)],AV$4)</f>
        <v>0</v>
      </c>
      <c r="AW35" s="1164">
        <f>SUMIFS(Table9[Count of EnergyRating],Table9[MainSpaceHeatingFuel],AL35,Table9[EnergyRating (group)],AM35,Table9[CountyName (group)],AW$4)</f>
        <v>0</v>
      </c>
      <c r="AX35" s="1164">
        <f>SUMIFS(Table9[Count of EnergyRating],Table9[MainSpaceHeatingFuel],AL35,Table9[EnergyRating (group)],AM35,Table9[CountyName (group)],AX$4)</f>
        <v>0</v>
      </c>
      <c r="AY35" s="1164">
        <f>SUMIFS(Table9[Count of EnergyRating],Table9[MainSpaceHeatingFuel],AL35,Table9[EnergyRating (group)],AM35,Table9[CountyName (group)],AY$4)</f>
        <v>0</v>
      </c>
      <c r="AZ35" s="1164">
        <f>SUMIFS(Table9[Count of EnergyRating],Table9[MainSpaceHeatingFuel],AL35,Table9[EnergyRating (group)],AM35,Table9[CountyName (group)],AZ$4)</f>
        <v>0</v>
      </c>
      <c r="BA35" s="1164">
        <f>SUMIFS(Table9[Count of EnergyRating],Table9[MainSpaceHeatingFuel],AL35,Table9[EnergyRating (group)],AM35,Table9[CountyName (group)],BA$4)</f>
        <v>0</v>
      </c>
      <c r="BB35" s="1164">
        <f>SUMIFS(Table9[Count of EnergyRating],Table9[MainSpaceHeatingFuel],AL35,Table9[EnergyRating (group)],AM35,Table9[CountyName (group)],BB$4)</f>
        <v>0</v>
      </c>
      <c r="BC35" s="1164">
        <f>SUMIFS(Table9[Count of EnergyRating],Table9[MainSpaceHeatingFuel],AL35,Table9[EnergyRating (group)],AM35,Table9[CountyName (group)],BC$4)</f>
        <v>0</v>
      </c>
      <c r="BD35" s="1164">
        <f>SUMIFS(Table9[Count of EnergyRating],Table9[MainSpaceHeatingFuel],AL35,Table9[EnergyRating (group)],AM35,Table9[CountyName (group)],BD$4)</f>
        <v>0</v>
      </c>
      <c r="BE35" s="1164">
        <f>SUMIFS(Table9[Count of EnergyRating],Table9[MainSpaceHeatingFuel],AL35,Table9[EnergyRating (group)],AM35,Table9[CountyName (group)],BE$4)</f>
        <v>1</v>
      </c>
      <c r="BF35" s="1164">
        <f>SUMIFS(Table9[Count of EnergyRating],Table9[MainSpaceHeatingFuel],AL35,Table9[EnergyRating (group)],AM35,Table9[CountyName (group)],BF$4)</f>
        <v>0</v>
      </c>
      <c r="BG35" s="1164">
        <f>SUMIFS(Table9[Count of EnergyRating],Table9[MainSpaceHeatingFuel],AL35,Table9[EnergyRating (group)],AM35,Table9[CountyName (group)],BG$4)</f>
        <v>0</v>
      </c>
      <c r="BH35" s="1164">
        <f>SUMIFS(Table9[Count of EnergyRating],Table9[MainSpaceHeatingFuel],AL35,Table9[EnergyRating (group)],AM35,Table9[CountyName (group)],BH$4)</f>
        <v>0</v>
      </c>
      <c r="BI35" s="1164">
        <f>SUMIFS(Table9[Count of EnergyRating],Table9[MainSpaceHeatingFuel],AL35,Table9[EnergyRating (group)],AM35,Table9[CountyName (group)],BI$4)</f>
        <v>0</v>
      </c>
      <c r="BJ35" s="1164">
        <f>SUMIFS(Table9[Count of EnergyRating],Table9[MainSpaceHeatingFuel],AL35,Table9[EnergyRating (group)],AM35,Table9[CountyName (group)],BJ$4)</f>
        <v>0</v>
      </c>
      <c r="BK35" s="1135">
        <f>SUMIFS(Table9[Count of EnergyRating],Table9[MainSpaceHeatingFuel],AL35,Table9[EnergyRating (group)],AM35,Table9[CountyName (group)],BK$4)</f>
        <v>0</v>
      </c>
      <c r="BL35" s="1164">
        <f>SUMIFS(Table9[Count of EnergyRating],Table9[MainSpaceHeatingFuel],AL35,Table9[EnergyRating (group)],AM35,Table9[CountyName (group)],BL$4)</f>
        <v>0</v>
      </c>
      <c r="BM35" s="1164">
        <f>SUMIFS(Table9[Count of EnergyRating],Table9[MainSpaceHeatingFuel],AL35,Table9[EnergyRating (group)],AM35,Table9[CountyName (group)],BM$4)</f>
        <v>0</v>
      </c>
    </row>
    <row r="36" spans="2:65" ht="15">
      <c r="B36" s="1134" t="s">
        <v>58</v>
      </c>
      <c r="C36" s="1134" t="s">
        <v>1176</v>
      </c>
      <c r="D36" s="1134" t="s">
        <v>1094</v>
      </c>
      <c r="E36" s="1145">
        <f t="shared" ref="E36:AA36" si="51">IFERROR(G157*((SUM(AN$40)/SUM(AN$35:AN$43))/(SUM(G$157)/SUM(G$155:G$160))),G157)</f>
        <v>7.7435134390733876E-6</v>
      </c>
      <c r="F36" s="1145">
        <f t="shared" si="51"/>
        <v>1.372236693317866E-3</v>
      </c>
      <c r="G36" s="1145">
        <f t="shared" si="51"/>
        <v>3.6771818832737472E-5</v>
      </c>
      <c r="H36" s="1145">
        <f t="shared" si="51"/>
        <v>8.002447979236198E-6</v>
      </c>
      <c r="I36" s="1145">
        <f t="shared" si="51"/>
        <v>8.6995983039585355E-6</v>
      </c>
      <c r="J36" s="1145">
        <f t="shared" si="51"/>
        <v>5.9313954715613311E-6</v>
      </c>
      <c r="K36" s="1145">
        <f t="shared" si="51"/>
        <v>1.1523227191694519E-5</v>
      </c>
      <c r="L36" s="1145">
        <f t="shared" si="51"/>
        <v>2.5184679631235677E-5</v>
      </c>
      <c r="M36" s="1145">
        <f t="shared" si="51"/>
        <v>8.1429285084423579E-6</v>
      </c>
      <c r="N36" s="1145">
        <f t="shared" si="51"/>
        <v>1.9519206700715382E-5</v>
      </c>
      <c r="O36" s="1145">
        <f t="shared" si="51"/>
        <v>1.7903726718376395E-5</v>
      </c>
      <c r="P36" s="1145">
        <f t="shared" si="51"/>
        <v>2.1246294700768267E-5</v>
      </c>
      <c r="Q36" s="1145">
        <f t="shared" si="51"/>
        <v>1.5453316881691395E-5</v>
      </c>
      <c r="R36" s="1145">
        <f t="shared" si="51"/>
        <v>7.5809644347319782E-5</v>
      </c>
      <c r="S36" s="1145">
        <f t="shared" si="51"/>
        <v>1.9103945334598409E-5</v>
      </c>
      <c r="T36" s="1145">
        <f t="shared" si="51"/>
        <v>4.3371461748480423E-5</v>
      </c>
      <c r="U36" s="1145">
        <f t="shared" si="51"/>
        <v>1.8005094232654914E-5</v>
      </c>
      <c r="V36" s="1145">
        <f t="shared" si="51"/>
        <v>0</v>
      </c>
      <c r="W36" s="1145">
        <f t="shared" si="51"/>
        <v>7.0239957884043694E-5</v>
      </c>
      <c r="X36" s="1145">
        <f t="shared" si="51"/>
        <v>4.5434077201644265E-6</v>
      </c>
      <c r="Y36" s="1145">
        <f t="shared" si="51"/>
        <v>1.6794040339467652E-5</v>
      </c>
      <c r="Z36" s="1145">
        <f t="shared" si="51"/>
        <v>4.4142954452540715E-6</v>
      </c>
      <c r="AA36" s="1145">
        <f t="shared" si="51"/>
        <v>1.2640657099359018E-5</v>
      </c>
      <c r="AB36" s="1145">
        <f>IFERROR(AD157*((SUM(BK$40)/SUM(BK$35:BK$43))/(SUM(AD$157)/SUM(AD$155:AD$160))),AD157)</f>
        <v>8.5319932135812751E-6</v>
      </c>
      <c r="AC36" s="1145">
        <f>IFERROR(AE157*((SUM(BL$40)/SUM(BL$35:BL$43))/(SUM(AE$157)/SUM(AE$155:AE$160))),AE157)</f>
        <v>1.2380190175227701E-5</v>
      </c>
      <c r="AD36" s="1145">
        <f>IFERROR(AF157*((SUM(BM$40)/SUM(BM$35:BM$43))/(SUM(AF$157)/SUM(AF$155:AF$160))),AF157)</f>
        <v>5.0161740904786026E-6</v>
      </c>
      <c r="AE36" s="1172">
        <f t="shared" si="5"/>
        <v>1.8492097093079866E-3</v>
      </c>
      <c r="AG36" s="58" t="s">
        <v>1163</v>
      </c>
      <c r="AH36" s="1158">
        <f>SUM(E34:AD39)</f>
        <v>4.7124430144340982E-3</v>
      </c>
      <c r="AI36" s="1140">
        <f>'SHWLP-Apt'!S8</f>
        <v>4.7124430144340999E-3</v>
      </c>
      <c r="AJ36" s="1160">
        <f>(AI36-AH36)/AI36</f>
        <v>3.6811553384590342E-16</v>
      </c>
      <c r="AL36" s="1144" t="s">
        <v>398</v>
      </c>
      <c r="AM36" s="1144" t="s">
        <v>50</v>
      </c>
      <c r="AN36" s="1135">
        <f>SUMIFS(Table9[Count of EnergyRating],Table9[MainSpaceHeatingFuel],AL36,Table9[EnergyRating (group)],AM36,Table9[CountyName (group)],AN$4)</f>
        <v>0</v>
      </c>
      <c r="AO36" s="1164">
        <f>SUMIFS(Table9[Count of EnergyRating],Table9[MainSpaceHeatingFuel],AL36,Table9[EnergyRating (group)],AM36,Table9[CountyName (group)],AO$4)</f>
        <v>0</v>
      </c>
      <c r="AP36" s="1164">
        <f>SUMIFS(Table9[Count of EnergyRating],Table9[MainSpaceHeatingFuel],AL36,Table9[EnergyRating (group)],AM36,Table9[CountyName (group)],AP$4)</f>
        <v>0</v>
      </c>
      <c r="AQ36" s="1164">
        <f>SUMIFS(Table9[Count of EnergyRating],Table9[MainSpaceHeatingFuel],AL36,Table9[EnergyRating (group)],AM36,Table9[CountyName (group)],AQ$4)</f>
        <v>0</v>
      </c>
      <c r="AR36" s="1164">
        <f>SUMIFS(Table9[Count of EnergyRating],Table9[MainSpaceHeatingFuel],AL36,Table9[EnergyRating (group)],AM36,Table9[CountyName (group)],AR$4)</f>
        <v>0</v>
      </c>
      <c r="AS36" s="1164">
        <f>SUMIFS(Table9[Count of EnergyRating],Table9[MainSpaceHeatingFuel],AL36,Table9[EnergyRating (group)],AM36,Table9[CountyName (group)],AS$4)</f>
        <v>0</v>
      </c>
      <c r="AT36" s="1164">
        <f>SUMIFS(Table9[Count of EnergyRating],Table9[MainSpaceHeatingFuel],AL36,Table9[EnergyRating (group)],AM36,Table9[CountyName (group)],AT$4)</f>
        <v>0</v>
      </c>
      <c r="AU36" s="1164">
        <f>SUMIFS(Table9[Count of EnergyRating],Table9[MainSpaceHeatingFuel],AL36,Table9[EnergyRating (group)],AM36,Table9[CountyName (group)],AU$4)</f>
        <v>0</v>
      </c>
      <c r="AV36" s="1164">
        <f>SUMIFS(Table9[Count of EnergyRating],Table9[MainSpaceHeatingFuel],AL36,Table9[EnergyRating (group)],AM36,Table9[CountyName (group)],AV$4)</f>
        <v>0</v>
      </c>
      <c r="AW36" s="1164">
        <f>SUMIFS(Table9[Count of EnergyRating],Table9[MainSpaceHeatingFuel],AL36,Table9[EnergyRating (group)],AM36,Table9[CountyName (group)],AW$4)</f>
        <v>0</v>
      </c>
      <c r="AX36" s="1164">
        <f>SUMIFS(Table9[Count of EnergyRating],Table9[MainSpaceHeatingFuel],AL36,Table9[EnergyRating (group)],AM36,Table9[CountyName (group)],AX$4)</f>
        <v>0</v>
      </c>
      <c r="AY36" s="1164">
        <f>SUMIFS(Table9[Count of EnergyRating],Table9[MainSpaceHeatingFuel],AL36,Table9[EnergyRating (group)],AM36,Table9[CountyName (group)],AY$4)</f>
        <v>0</v>
      </c>
      <c r="AZ36" s="1164">
        <f>SUMIFS(Table9[Count of EnergyRating],Table9[MainSpaceHeatingFuel],AL36,Table9[EnergyRating (group)],AM36,Table9[CountyName (group)],AZ$4)</f>
        <v>0</v>
      </c>
      <c r="BA36" s="1164">
        <f>SUMIFS(Table9[Count of EnergyRating],Table9[MainSpaceHeatingFuel],AL36,Table9[EnergyRating (group)],AM36,Table9[CountyName (group)],BA$4)</f>
        <v>0</v>
      </c>
      <c r="BB36" s="1164">
        <f>SUMIFS(Table9[Count of EnergyRating],Table9[MainSpaceHeatingFuel],AL36,Table9[EnergyRating (group)],AM36,Table9[CountyName (group)],BB$4)</f>
        <v>0</v>
      </c>
      <c r="BC36" s="1164">
        <f>SUMIFS(Table9[Count of EnergyRating],Table9[MainSpaceHeatingFuel],AL36,Table9[EnergyRating (group)],AM36,Table9[CountyName (group)],BC$4)</f>
        <v>0</v>
      </c>
      <c r="BD36" s="1164">
        <f>SUMIFS(Table9[Count of EnergyRating],Table9[MainSpaceHeatingFuel],AL36,Table9[EnergyRating (group)],AM36,Table9[CountyName (group)],BD$4)</f>
        <v>0</v>
      </c>
      <c r="BE36" s="1164">
        <f>SUMIFS(Table9[Count of EnergyRating],Table9[MainSpaceHeatingFuel],AL36,Table9[EnergyRating (group)],AM36,Table9[CountyName (group)],BE$4)</f>
        <v>0</v>
      </c>
      <c r="BF36" s="1164">
        <f>SUMIFS(Table9[Count of EnergyRating],Table9[MainSpaceHeatingFuel],AL36,Table9[EnergyRating (group)],AM36,Table9[CountyName (group)],BF$4)</f>
        <v>0</v>
      </c>
      <c r="BG36" s="1164">
        <f>SUMIFS(Table9[Count of EnergyRating],Table9[MainSpaceHeatingFuel],AL36,Table9[EnergyRating (group)],AM36,Table9[CountyName (group)],BG$4)</f>
        <v>0</v>
      </c>
      <c r="BH36" s="1164">
        <f>SUMIFS(Table9[Count of EnergyRating],Table9[MainSpaceHeatingFuel],AL36,Table9[EnergyRating (group)],AM36,Table9[CountyName (group)],BH$4)</f>
        <v>0</v>
      </c>
      <c r="BI36" s="1164">
        <f>SUMIFS(Table9[Count of EnergyRating],Table9[MainSpaceHeatingFuel],AL36,Table9[EnergyRating (group)],AM36,Table9[CountyName (group)],BI$4)</f>
        <v>0</v>
      </c>
      <c r="BJ36" s="1164">
        <f>SUMIFS(Table9[Count of EnergyRating],Table9[MainSpaceHeatingFuel],AL36,Table9[EnergyRating (group)],AM36,Table9[CountyName (group)],BJ$4)</f>
        <v>0</v>
      </c>
      <c r="BK36" s="1135">
        <f>SUMIFS(Table9[Count of EnergyRating],Table9[MainSpaceHeatingFuel],AL36,Table9[EnergyRating (group)],AM36,Table9[CountyName (group)],BK$4)</f>
        <v>0</v>
      </c>
      <c r="BL36" s="1164">
        <f>SUMIFS(Table9[Count of EnergyRating],Table9[MainSpaceHeatingFuel],AL36,Table9[EnergyRating (group)],AM36,Table9[CountyName (group)],BL$4)</f>
        <v>0</v>
      </c>
      <c r="BM36" s="1164">
        <f>SUMIFS(Table9[Count of EnergyRating],Table9[MainSpaceHeatingFuel],AL36,Table9[EnergyRating (group)],AM36,Table9[CountyName (group)],BM$4)</f>
        <v>0</v>
      </c>
    </row>
    <row r="37" spans="2:65" ht="15">
      <c r="B37" s="1136" t="s">
        <v>60</v>
      </c>
      <c r="C37" s="1136" t="s">
        <v>1176</v>
      </c>
      <c r="D37" s="1136" t="s">
        <v>1094</v>
      </c>
      <c r="E37" s="1146">
        <f t="shared" ref="E37:AA37" si="52">IFERROR(G158*((SUM(AN$41)/SUM(AN$35:AN$43))/(SUM(G$158)/SUM(G$155:G$160))),G158)</f>
        <v>4.0052655719345104E-6</v>
      </c>
      <c r="F37" s="1146">
        <f t="shared" si="52"/>
        <v>0</v>
      </c>
      <c r="G37" s="1146">
        <f t="shared" si="52"/>
        <v>2.0407193326836337E-5</v>
      </c>
      <c r="H37" s="1146">
        <f t="shared" si="52"/>
        <v>3.7246416861882761E-6</v>
      </c>
      <c r="I37" s="1146">
        <f t="shared" si="52"/>
        <v>3.385199340034074E-6</v>
      </c>
      <c r="J37" s="1146">
        <f t="shared" si="52"/>
        <v>2.5534258532281967E-6</v>
      </c>
      <c r="K37" s="1146">
        <f t="shared" si="52"/>
        <v>6.6281359572279823E-6</v>
      </c>
      <c r="L37" s="1146">
        <f t="shared" si="52"/>
        <v>1.0509835394796961E-5</v>
      </c>
      <c r="M37" s="1146">
        <f t="shared" si="52"/>
        <v>4.4926502115544044E-6</v>
      </c>
      <c r="N37" s="1146">
        <f t="shared" si="52"/>
        <v>8.901941237750499E-6</v>
      </c>
      <c r="O37" s="1146">
        <f t="shared" si="52"/>
        <v>1.1908442083323747E-5</v>
      </c>
      <c r="P37" s="1146">
        <f t="shared" si="52"/>
        <v>9.4061265859711951E-6</v>
      </c>
      <c r="Q37" s="1146">
        <f t="shared" si="52"/>
        <v>1.0159124987037859E-5</v>
      </c>
      <c r="R37" s="1146">
        <f t="shared" si="52"/>
        <v>4.3278579075539366E-5</v>
      </c>
      <c r="S37" s="1146">
        <f t="shared" si="52"/>
        <v>9.0918046409913604E-6</v>
      </c>
      <c r="T37" s="1146">
        <f t="shared" si="52"/>
        <v>1.7807779000667237E-5</v>
      </c>
      <c r="U37" s="1146">
        <f t="shared" si="52"/>
        <v>1.0169543964740278E-5</v>
      </c>
      <c r="V37" s="1146">
        <f t="shared" si="52"/>
        <v>0</v>
      </c>
      <c r="W37" s="1146">
        <f t="shared" si="52"/>
        <v>3.8503734062260637E-5</v>
      </c>
      <c r="X37" s="1146">
        <f t="shared" si="52"/>
        <v>1.4993245476542607E-6</v>
      </c>
      <c r="Y37" s="1146">
        <f t="shared" si="52"/>
        <v>6.9566553960933526E-6</v>
      </c>
      <c r="Z37" s="1146">
        <f t="shared" si="52"/>
        <v>2.4492219889796786E-6</v>
      </c>
      <c r="AA37" s="1146">
        <f t="shared" si="52"/>
        <v>8.420592287208249E-6</v>
      </c>
      <c r="AB37" s="1146">
        <f>IFERROR(AD158*((SUM(BK$41)/SUM(BK$35:BK$43))/(SUM(AD$158)/SUM(AD$155:AD$160))),AD158)</f>
        <v>4.2659966067906376E-6</v>
      </c>
      <c r="AC37" s="1146">
        <f>IFERROR(AE158*((SUM(BL$41)/SUM(BL$35:BL$43))/(SUM(AE$158)/SUM(AE$155:AE$160))),AE158)</f>
        <v>7.3467658329379986E-6</v>
      </c>
      <c r="AD37" s="1146">
        <f>IFERROR(AF158*((SUM(BM$41)/SUM(BM$35:BM$43))/(SUM(AF$158)/SUM(AF$155:AF$160))),AF158)</f>
        <v>3.4511277742492784E-6</v>
      </c>
      <c r="AE37" s="1173">
        <f t="shared" si="5"/>
        <v>2.4932310741399634E-4</v>
      </c>
      <c r="AG37" s="58" t="s">
        <v>1107</v>
      </c>
      <c r="AH37" s="1158">
        <f>SUM(E41:AD41)</f>
        <v>6.313137927654049E-3</v>
      </c>
      <c r="AI37" s="1140">
        <f>'SHWLP-Apt'!S34</f>
        <v>6.313137927654049E-3</v>
      </c>
      <c r="AJ37" s="1160">
        <f>(AI37-AH37)/AI37</f>
        <v>0</v>
      </c>
      <c r="AL37" s="1144" t="s">
        <v>398</v>
      </c>
      <c r="AM37" s="1144" t="s">
        <v>52</v>
      </c>
      <c r="AN37" s="1135">
        <f>SUMIFS(Table9[Count of EnergyRating],Table9[MainSpaceHeatingFuel],AL37,Table9[EnergyRating (group)],AM37,Table9[CountyName (group)],AN$4)</f>
        <v>0</v>
      </c>
      <c r="AO37" s="1164">
        <f>SUMIFS(Table9[Count of EnergyRating],Table9[MainSpaceHeatingFuel],AL37,Table9[EnergyRating (group)],AM37,Table9[CountyName (group)],AO$4)</f>
        <v>0</v>
      </c>
      <c r="AP37" s="1164">
        <f>SUMIFS(Table9[Count of EnergyRating],Table9[MainSpaceHeatingFuel],AL37,Table9[EnergyRating (group)],AM37,Table9[CountyName (group)],AP$4)</f>
        <v>0</v>
      </c>
      <c r="AQ37" s="1164">
        <f>SUMIFS(Table9[Count of EnergyRating],Table9[MainSpaceHeatingFuel],AL37,Table9[EnergyRating (group)],AM37,Table9[CountyName (group)],AQ$4)</f>
        <v>0</v>
      </c>
      <c r="AR37" s="1164">
        <f>SUMIFS(Table9[Count of EnergyRating],Table9[MainSpaceHeatingFuel],AL37,Table9[EnergyRating (group)],AM37,Table9[CountyName (group)],AR$4)</f>
        <v>0</v>
      </c>
      <c r="AS37" s="1164">
        <f>SUMIFS(Table9[Count of EnergyRating],Table9[MainSpaceHeatingFuel],AL37,Table9[EnergyRating (group)],AM37,Table9[CountyName (group)],AS$4)</f>
        <v>0</v>
      </c>
      <c r="AT37" s="1164">
        <f>SUMIFS(Table9[Count of EnergyRating],Table9[MainSpaceHeatingFuel],AL37,Table9[EnergyRating (group)],AM37,Table9[CountyName (group)],AT$4)</f>
        <v>0</v>
      </c>
      <c r="AU37" s="1164">
        <f>SUMIFS(Table9[Count of EnergyRating],Table9[MainSpaceHeatingFuel],AL37,Table9[EnergyRating (group)],AM37,Table9[CountyName (group)],AU$4)</f>
        <v>0</v>
      </c>
      <c r="AV37" s="1164">
        <f>SUMIFS(Table9[Count of EnergyRating],Table9[MainSpaceHeatingFuel],AL37,Table9[EnergyRating (group)],AM37,Table9[CountyName (group)],AV$4)</f>
        <v>0</v>
      </c>
      <c r="AW37" s="1164">
        <f>SUMIFS(Table9[Count of EnergyRating],Table9[MainSpaceHeatingFuel],AL37,Table9[EnergyRating (group)],AM37,Table9[CountyName (group)],AW$4)</f>
        <v>0</v>
      </c>
      <c r="AX37" s="1164">
        <f>SUMIFS(Table9[Count of EnergyRating],Table9[MainSpaceHeatingFuel],AL37,Table9[EnergyRating (group)],AM37,Table9[CountyName (group)],AX$4)</f>
        <v>0</v>
      </c>
      <c r="AY37" s="1164">
        <f>SUMIFS(Table9[Count of EnergyRating],Table9[MainSpaceHeatingFuel],AL37,Table9[EnergyRating (group)],AM37,Table9[CountyName (group)],AY$4)</f>
        <v>0</v>
      </c>
      <c r="AZ37" s="1164">
        <f>SUMIFS(Table9[Count of EnergyRating],Table9[MainSpaceHeatingFuel],AL37,Table9[EnergyRating (group)],AM37,Table9[CountyName (group)],AZ$4)</f>
        <v>0</v>
      </c>
      <c r="BA37" s="1164">
        <f>SUMIFS(Table9[Count of EnergyRating],Table9[MainSpaceHeatingFuel],AL37,Table9[EnergyRating (group)],AM37,Table9[CountyName (group)],BA$4)</f>
        <v>0</v>
      </c>
      <c r="BB37" s="1164">
        <f>SUMIFS(Table9[Count of EnergyRating],Table9[MainSpaceHeatingFuel],AL37,Table9[EnergyRating (group)],AM37,Table9[CountyName (group)],BB$4)</f>
        <v>0</v>
      </c>
      <c r="BC37" s="1164">
        <f>SUMIFS(Table9[Count of EnergyRating],Table9[MainSpaceHeatingFuel],AL37,Table9[EnergyRating (group)],AM37,Table9[CountyName (group)],BC$4)</f>
        <v>0</v>
      </c>
      <c r="BD37" s="1164">
        <f>SUMIFS(Table9[Count of EnergyRating],Table9[MainSpaceHeatingFuel],AL37,Table9[EnergyRating (group)],AM37,Table9[CountyName (group)],BD$4)</f>
        <v>0</v>
      </c>
      <c r="BE37" s="1164">
        <f>SUMIFS(Table9[Count of EnergyRating],Table9[MainSpaceHeatingFuel],AL37,Table9[EnergyRating (group)],AM37,Table9[CountyName (group)],BE$4)</f>
        <v>0</v>
      </c>
      <c r="BF37" s="1164">
        <f>SUMIFS(Table9[Count of EnergyRating],Table9[MainSpaceHeatingFuel],AL37,Table9[EnergyRating (group)],AM37,Table9[CountyName (group)],BF$4)</f>
        <v>0</v>
      </c>
      <c r="BG37" s="1164">
        <f>SUMIFS(Table9[Count of EnergyRating],Table9[MainSpaceHeatingFuel],AL37,Table9[EnergyRating (group)],AM37,Table9[CountyName (group)],BG$4)</f>
        <v>0</v>
      </c>
      <c r="BH37" s="1164">
        <f>SUMIFS(Table9[Count of EnergyRating],Table9[MainSpaceHeatingFuel],AL37,Table9[EnergyRating (group)],AM37,Table9[CountyName (group)],BH$4)</f>
        <v>0</v>
      </c>
      <c r="BI37" s="1164">
        <f>SUMIFS(Table9[Count of EnergyRating],Table9[MainSpaceHeatingFuel],AL37,Table9[EnergyRating (group)],AM37,Table9[CountyName (group)],BI$4)</f>
        <v>0</v>
      </c>
      <c r="BJ37" s="1164">
        <f>SUMIFS(Table9[Count of EnergyRating],Table9[MainSpaceHeatingFuel],AL37,Table9[EnergyRating (group)],AM37,Table9[CountyName (group)],BJ$4)</f>
        <v>0</v>
      </c>
      <c r="BK37" s="1135">
        <f>SUMIFS(Table9[Count of EnergyRating],Table9[MainSpaceHeatingFuel],AL37,Table9[EnergyRating (group)],AM37,Table9[CountyName (group)],BK$4)</f>
        <v>0</v>
      </c>
      <c r="BL37" s="1164">
        <f>SUMIFS(Table9[Count of EnergyRating],Table9[MainSpaceHeatingFuel],AL37,Table9[EnergyRating (group)],AM37,Table9[CountyName (group)],BL$4)</f>
        <v>0</v>
      </c>
      <c r="BM37" s="1164">
        <f>SUMIFS(Table9[Count of EnergyRating],Table9[MainSpaceHeatingFuel],AL37,Table9[EnergyRating (group)],AM37,Table9[CountyName (group)],BM$4)</f>
        <v>0</v>
      </c>
    </row>
    <row r="38" spans="2:65">
      <c r="B38" s="1134" t="s">
        <v>62</v>
      </c>
      <c r="C38" s="1134" t="s">
        <v>1176</v>
      </c>
      <c r="D38" s="1134" t="s">
        <v>1094</v>
      </c>
      <c r="E38" s="1145">
        <f t="shared" ref="E38:AA38" si="53">IFERROR(G159*((SUM(AN$42)/SUM(AN$35:AN$43))/(SUM(G$159)/SUM(G$155:G$160))),G159)</f>
        <v>1.5427689610414409E-6</v>
      </c>
      <c r="F38" s="1145">
        <f t="shared" si="53"/>
        <v>0</v>
      </c>
      <c r="G38" s="1145">
        <f t="shared" si="53"/>
        <v>6.6857852423159061E-6</v>
      </c>
      <c r="H38" s="1145">
        <f t="shared" si="53"/>
        <v>1.5857385396643155E-6</v>
      </c>
      <c r="I38" s="1145">
        <f t="shared" si="53"/>
        <v>1.1647997729149502E-6</v>
      </c>
      <c r="J38" s="1145">
        <f t="shared" si="53"/>
        <v>6.6495464927817622E-7</v>
      </c>
      <c r="K38" s="1145">
        <f t="shared" si="53"/>
        <v>2.523556350687718E-6</v>
      </c>
      <c r="L38" s="1145">
        <f t="shared" si="53"/>
        <v>2.724772139391804E-6</v>
      </c>
      <c r="M38" s="1145">
        <f t="shared" si="53"/>
        <v>2.0708309568883582E-6</v>
      </c>
      <c r="N38" s="1145">
        <f t="shared" si="53"/>
        <v>3.4010738948216197E-6</v>
      </c>
      <c r="O38" s="1145">
        <f t="shared" si="53"/>
        <v>3.6135962183878963E-6</v>
      </c>
      <c r="P38" s="1145">
        <f t="shared" si="53"/>
        <v>3.382905175656307E-6</v>
      </c>
      <c r="Q38" s="1145">
        <f t="shared" si="53"/>
        <v>2.7186390810383002E-6</v>
      </c>
      <c r="R38" s="1145">
        <f t="shared" si="53"/>
        <v>1.6517991013830858E-5</v>
      </c>
      <c r="S38" s="1145">
        <f t="shared" si="53"/>
        <v>2.7610081578470695E-6</v>
      </c>
      <c r="T38" s="1145">
        <f t="shared" si="53"/>
        <v>5.9919256385892895E-6</v>
      </c>
      <c r="U38" s="1145">
        <f t="shared" si="53"/>
        <v>4.2095243460605249E-6</v>
      </c>
      <c r="V38" s="1145">
        <f t="shared" si="53"/>
        <v>0</v>
      </c>
      <c r="W38" s="1145">
        <f t="shared" si="53"/>
        <v>1.0506636903024573E-5</v>
      </c>
      <c r="X38" s="1145">
        <f t="shared" si="53"/>
        <v>5.6792596502055331E-7</v>
      </c>
      <c r="Y38" s="1145">
        <f t="shared" si="53"/>
        <v>2.6662071341855581E-6</v>
      </c>
      <c r="Z38" s="1145">
        <f t="shared" si="53"/>
        <v>7.4046246178455382E-7</v>
      </c>
      <c r="AA38" s="1145">
        <f t="shared" si="53"/>
        <v>1.4457629449035045E-6</v>
      </c>
      <c r="AB38" s="1145">
        <f>IFERROR(AD159*((SUM(BK$42)/SUM(BK$35:BK$43))/(SUM(AD$159)/SUM(AD$155:AD$160))),AD159)</f>
        <v>1.5683811054377346E-6</v>
      </c>
      <c r="AC38" s="1145">
        <f>IFERROR(AE159*((SUM(BL$42)/SUM(BL$35:BL$43))/(SUM(AE$159)/SUM(AE$155:AE$160))),AE159)</f>
        <v>2.5167121711448509E-6</v>
      </c>
      <c r="AD38" s="1145">
        <f>IFERROR(AF159*((SUM(BM$42)/SUM(BM$35:BM$43))/(SUM(AF$159)/SUM(AF$155:AF$160))),AF159)</f>
        <v>1.4446581380578374E-6</v>
      </c>
      <c r="AE38" s="1172">
        <f t="shared" si="5"/>
        <v>8.301661696197369E-5</v>
      </c>
      <c r="AG38" s="1164"/>
      <c r="AL38" s="1144" t="s">
        <v>398</v>
      </c>
      <c r="AM38" s="1144" t="s">
        <v>54</v>
      </c>
      <c r="AN38" s="1135">
        <f>SUMIFS(Table9[Count of EnergyRating],Table9[MainSpaceHeatingFuel],AL38,Table9[EnergyRating (group)],AM38,Table9[CountyName (group)],AN$4)</f>
        <v>0</v>
      </c>
      <c r="AO38" s="1164">
        <f>SUMIFS(Table9[Count of EnergyRating],Table9[MainSpaceHeatingFuel],AL38,Table9[EnergyRating (group)],AM38,Table9[CountyName (group)],AO$4)</f>
        <v>0</v>
      </c>
      <c r="AP38" s="1164">
        <f>SUMIFS(Table9[Count of EnergyRating],Table9[MainSpaceHeatingFuel],AL38,Table9[EnergyRating (group)],AM38,Table9[CountyName (group)],AP$4)</f>
        <v>0</v>
      </c>
      <c r="AQ38" s="1164">
        <f>SUMIFS(Table9[Count of EnergyRating],Table9[MainSpaceHeatingFuel],AL38,Table9[EnergyRating (group)],AM38,Table9[CountyName (group)],AQ$4)</f>
        <v>0</v>
      </c>
      <c r="AR38" s="1164">
        <f>SUMIFS(Table9[Count of EnergyRating],Table9[MainSpaceHeatingFuel],AL38,Table9[EnergyRating (group)],AM38,Table9[CountyName (group)],AR$4)</f>
        <v>0</v>
      </c>
      <c r="AS38" s="1164">
        <f>SUMIFS(Table9[Count of EnergyRating],Table9[MainSpaceHeatingFuel],AL38,Table9[EnergyRating (group)],AM38,Table9[CountyName (group)],AS$4)</f>
        <v>0</v>
      </c>
      <c r="AT38" s="1164">
        <f>SUMIFS(Table9[Count of EnergyRating],Table9[MainSpaceHeatingFuel],AL38,Table9[EnergyRating (group)],AM38,Table9[CountyName (group)],AT$4)</f>
        <v>0</v>
      </c>
      <c r="AU38" s="1164">
        <f>SUMIFS(Table9[Count of EnergyRating],Table9[MainSpaceHeatingFuel],AL38,Table9[EnergyRating (group)],AM38,Table9[CountyName (group)],AU$4)</f>
        <v>0</v>
      </c>
      <c r="AV38" s="1164">
        <f>SUMIFS(Table9[Count of EnergyRating],Table9[MainSpaceHeatingFuel],AL38,Table9[EnergyRating (group)],AM38,Table9[CountyName (group)],AV$4)</f>
        <v>0</v>
      </c>
      <c r="AW38" s="1164">
        <f>SUMIFS(Table9[Count of EnergyRating],Table9[MainSpaceHeatingFuel],AL38,Table9[EnergyRating (group)],AM38,Table9[CountyName (group)],AW$4)</f>
        <v>0</v>
      </c>
      <c r="AX38" s="1164">
        <f>SUMIFS(Table9[Count of EnergyRating],Table9[MainSpaceHeatingFuel],AL38,Table9[EnergyRating (group)],AM38,Table9[CountyName (group)],AX$4)</f>
        <v>0</v>
      </c>
      <c r="AY38" s="1164">
        <f>SUMIFS(Table9[Count of EnergyRating],Table9[MainSpaceHeatingFuel],AL38,Table9[EnergyRating (group)],AM38,Table9[CountyName (group)],AY$4)</f>
        <v>0</v>
      </c>
      <c r="AZ38" s="1164">
        <f>SUMIFS(Table9[Count of EnergyRating],Table9[MainSpaceHeatingFuel],AL38,Table9[EnergyRating (group)],AM38,Table9[CountyName (group)],AZ$4)</f>
        <v>0</v>
      </c>
      <c r="BA38" s="1164">
        <f>SUMIFS(Table9[Count of EnergyRating],Table9[MainSpaceHeatingFuel],AL38,Table9[EnergyRating (group)],AM38,Table9[CountyName (group)],BA$4)</f>
        <v>0</v>
      </c>
      <c r="BB38" s="1164">
        <f>SUMIFS(Table9[Count of EnergyRating],Table9[MainSpaceHeatingFuel],AL38,Table9[EnergyRating (group)],AM38,Table9[CountyName (group)],BB$4)</f>
        <v>0</v>
      </c>
      <c r="BC38" s="1164">
        <f>SUMIFS(Table9[Count of EnergyRating],Table9[MainSpaceHeatingFuel],AL38,Table9[EnergyRating (group)],AM38,Table9[CountyName (group)],BC$4)</f>
        <v>0</v>
      </c>
      <c r="BD38" s="1164">
        <f>SUMIFS(Table9[Count of EnergyRating],Table9[MainSpaceHeatingFuel],AL38,Table9[EnergyRating (group)],AM38,Table9[CountyName (group)],BD$4)</f>
        <v>0</v>
      </c>
      <c r="BE38" s="1164">
        <f>SUMIFS(Table9[Count of EnergyRating],Table9[MainSpaceHeatingFuel],AL38,Table9[EnergyRating (group)],AM38,Table9[CountyName (group)],BE$4)</f>
        <v>0</v>
      </c>
      <c r="BF38" s="1164">
        <f>SUMIFS(Table9[Count of EnergyRating],Table9[MainSpaceHeatingFuel],AL38,Table9[EnergyRating (group)],AM38,Table9[CountyName (group)],BF$4)</f>
        <v>0</v>
      </c>
      <c r="BG38" s="1164">
        <f>SUMIFS(Table9[Count of EnergyRating],Table9[MainSpaceHeatingFuel],AL38,Table9[EnergyRating (group)],AM38,Table9[CountyName (group)],BG$4)</f>
        <v>0</v>
      </c>
      <c r="BH38" s="1164">
        <f>SUMIFS(Table9[Count of EnergyRating],Table9[MainSpaceHeatingFuel],AL38,Table9[EnergyRating (group)],AM38,Table9[CountyName (group)],BH$4)</f>
        <v>0</v>
      </c>
      <c r="BI38" s="1164">
        <f>SUMIFS(Table9[Count of EnergyRating],Table9[MainSpaceHeatingFuel],AL38,Table9[EnergyRating (group)],AM38,Table9[CountyName (group)],BI$4)</f>
        <v>0</v>
      </c>
      <c r="BJ38" s="1164">
        <f>SUMIFS(Table9[Count of EnergyRating],Table9[MainSpaceHeatingFuel],AL38,Table9[EnergyRating (group)],AM38,Table9[CountyName (group)],BJ$4)</f>
        <v>0</v>
      </c>
      <c r="BK38" s="1135">
        <f>SUMIFS(Table9[Count of EnergyRating],Table9[MainSpaceHeatingFuel],AL38,Table9[EnergyRating (group)],AM38,Table9[CountyName (group)],BK$4)</f>
        <v>0</v>
      </c>
      <c r="BL38" s="1164">
        <f>SUMIFS(Table9[Count of EnergyRating],Table9[MainSpaceHeatingFuel],AL38,Table9[EnergyRating (group)],AM38,Table9[CountyName (group)],BL$4)</f>
        <v>0</v>
      </c>
      <c r="BM38" s="1164">
        <f>SUMIFS(Table9[Count of EnergyRating],Table9[MainSpaceHeatingFuel],AL38,Table9[EnergyRating (group)],AM38,Table9[CountyName (group)],BM$4)</f>
        <v>0</v>
      </c>
    </row>
    <row r="39" spans="2:65" ht="13.5" thickBot="1">
      <c r="B39" s="1138" t="s">
        <v>64</v>
      </c>
      <c r="C39" s="1138" t="s">
        <v>1176</v>
      </c>
      <c r="D39" s="1138" t="s">
        <v>1094</v>
      </c>
      <c r="E39" s="1147">
        <f t="shared" ref="E39:AA39" si="54">IFERROR(G160*((SUM(AN$43)/SUM(AN$35:AN$43))/(SUM(G$160)/SUM(G$155:G$160))),G160)</f>
        <v>1.7504493981047122E-6</v>
      </c>
      <c r="F39" s="1147">
        <f t="shared" si="54"/>
        <v>0</v>
      </c>
      <c r="G39" s="1147">
        <f t="shared" si="54"/>
        <v>5.6751432870821055E-6</v>
      </c>
      <c r="H39" s="1147">
        <f t="shared" si="54"/>
        <v>2.4708019106397475E-6</v>
      </c>
      <c r="I39" s="1147">
        <f t="shared" si="54"/>
        <v>1.7835996522760173E-6</v>
      </c>
      <c r="J39" s="1147">
        <f t="shared" si="54"/>
        <v>9.0433832301831959E-7</v>
      </c>
      <c r="K39" s="1147">
        <f t="shared" si="54"/>
        <v>2.8884078712690749E-6</v>
      </c>
      <c r="L39" s="1147">
        <f t="shared" si="54"/>
        <v>2.9583240370539585E-6</v>
      </c>
      <c r="M39" s="1147">
        <f t="shared" si="54"/>
        <v>2.1059297866661269E-6</v>
      </c>
      <c r="N39" s="1147">
        <f t="shared" si="54"/>
        <v>2.6617100046430066E-6</v>
      </c>
      <c r="O39" s="1147">
        <f t="shared" si="54"/>
        <v>4.2706137126402409E-6</v>
      </c>
      <c r="P39" s="1147">
        <f t="shared" si="54"/>
        <v>5.8169467044821855E-6</v>
      </c>
      <c r="Q39" s="1147">
        <f t="shared" si="54"/>
        <v>4.1495017552689842E-6</v>
      </c>
      <c r="R39" s="1147">
        <f t="shared" si="54"/>
        <v>2.3839283974109598E-5</v>
      </c>
      <c r="S39" s="1147">
        <f t="shared" si="54"/>
        <v>4.2391236362904497E-6</v>
      </c>
      <c r="T39" s="1147">
        <f t="shared" si="54"/>
        <v>7.1119117392601856E-6</v>
      </c>
      <c r="U39" s="1147">
        <f t="shared" si="54"/>
        <v>6.9186241727331394E-6</v>
      </c>
      <c r="V39" s="1147">
        <f t="shared" si="54"/>
        <v>0</v>
      </c>
      <c r="W39" s="1147">
        <f t="shared" si="54"/>
        <v>7.6945664378032897E-6</v>
      </c>
      <c r="X39" s="1147">
        <f t="shared" si="54"/>
        <v>5.4520892641973115E-7</v>
      </c>
      <c r="Y39" s="1147">
        <f t="shared" si="54"/>
        <v>2.9420216653082019E-6</v>
      </c>
      <c r="Z39" s="1147">
        <f t="shared" si="54"/>
        <v>1.2530903199430912E-6</v>
      </c>
      <c r="AA39" s="1147">
        <f t="shared" si="54"/>
        <v>9.7686685466453012E-7</v>
      </c>
      <c r="AB39" s="1147">
        <f>IFERROR(AD160*((SUM(BK$43)/SUM(BK$35:BK$43))/(SUM(AD$160)/SUM(AD$155:AD$160))),AD160)</f>
        <v>1.8820573265252813E-6</v>
      </c>
      <c r="AC39" s="1147">
        <f>IFERROR(AE160*((SUM(BL$43)/SUM(BL$35:BL$43))/(SUM(AE$160)/SUM(AE$155:AE$160))),AE160)</f>
        <v>3.0505602074483039E-6</v>
      </c>
      <c r="AD39" s="1147">
        <f>IFERROR(AF160*((SUM(BM$43)/SUM(BM$35:BM$43))/(SUM(AF$160)/SUM(AF$155:AF$160))),AF160)</f>
        <v>3.6116453451445944E-6</v>
      </c>
      <c r="AE39" s="1174">
        <f t="shared" si="5"/>
        <v>1.0150072704879489E-4</v>
      </c>
      <c r="AG39" s="1164"/>
      <c r="AL39" s="1144" t="s">
        <v>398</v>
      </c>
      <c r="AM39" s="1144" t="s">
        <v>56</v>
      </c>
      <c r="AN39" s="1135">
        <f>SUMIFS(Table9[Count of EnergyRating],Table9[MainSpaceHeatingFuel],AL39,Table9[EnergyRating (group)],AM39,Table9[CountyName (group)],AN$4)</f>
        <v>0</v>
      </c>
      <c r="AO39" s="1164">
        <f>SUMIFS(Table9[Count of EnergyRating],Table9[MainSpaceHeatingFuel],AL39,Table9[EnergyRating (group)],AM39,Table9[CountyName (group)],AO$4)</f>
        <v>1</v>
      </c>
      <c r="AP39" s="1164">
        <f>SUMIFS(Table9[Count of EnergyRating],Table9[MainSpaceHeatingFuel],AL39,Table9[EnergyRating (group)],AM39,Table9[CountyName (group)],AP$4)</f>
        <v>0</v>
      </c>
      <c r="AQ39" s="1164">
        <f>SUMIFS(Table9[Count of EnergyRating],Table9[MainSpaceHeatingFuel],AL39,Table9[EnergyRating (group)],AM39,Table9[CountyName (group)],AQ$4)</f>
        <v>0</v>
      </c>
      <c r="AR39" s="1164">
        <f>SUMIFS(Table9[Count of EnergyRating],Table9[MainSpaceHeatingFuel],AL39,Table9[EnergyRating (group)],AM39,Table9[CountyName (group)],AR$4)</f>
        <v>0</v>
      </c>
      <c r="AS39" s="1164">
        <f>SUMIFS(Table9[Count of EnergyRating],Table9[MainSpaceHeatingFuel],AL39,Table9[EnergyRating (group)],AM39,Table9[CountyName (group)],AS$4)</f>
        <v>0</v>
      </c>
      <c r="AT39" s="1164">
        <f>SUMIFS(Table9[Count of EnergyRating],Table9[MainSpaceHeatingFuel],AL39,Table9[EnergyRating (group)],AM39,Table9[CountyName (group)],AT$4)</f>
        <v>0</v>
      </c>
      <c r="AU39" s="1164">
        <f>SUMIFS(Table9[Count of EnergyRating],Table9[MainSpaceHeatingFuel],AL39,Table9[EnergyRating (group)],AM39,Table9[CountyName (group)],AU$4)</f>
        <v>0</v>
      </c>
      <c r="AV39" s="1164">
        <f>SUMIFS(Table9[Count of EnergyRating],Table9[MainSpaceHeatingFuel],AL39,Table9[EnergyRating (group)],AM39,Table9[CountyName (group)],AV$4)</f>
        <v>0</v>
      </c>
      <c r="AW39" s="1164">
        <f>SUMIFS(Table9[Count of EnergyRating],Table9[MainSpaceHeatingFuel],AL39,Table9[EnergyRating (group)],AM39,Table9[CountyName (group)],AW$4)</f>
        <v>0</v>
      </c>
      <c r="AX39" s="1164">
        <f>SUMIFS(Table9[Count of EnergyRating],Table9[MainSpaceHeatingFuel],AL39,Table9[EnergyRating (group)],AM39,Table9[CountyName (group)],AX$4)</f>
        <v>0</v>
      </c>
      <c r="AY39" s="1164">
        <f>SUMIFS(Table9[Count of EnergyRating],Table9[MainSpaceHeatingFuel],AL39,Table9[EnergyRating (group)],AM39,Table9[CountyName (group)],AY$4)</f>
        <v>0</v>
      </c>
      <c r="AZ39" s="1164">
        <f>SUMIFS(Table9[Count of EnergyRating],Table9[MainSpaceHeatingFuel],AL39,Table9[EnergyRating (group)],AM39,Table9[CountyName (group)],AZ$4)</f>
        <v>0</v>
      </c>
      <c r="BA39" s="1164">
        <f>SUMIFS(Table9[Count of EnergyRating],Table9[MainSpaceHeatingFuel],AL39,Table9[EnergyRating (group)],AM39,Table9[CountyName (group)],BA$4)</f>
        <v>0</v>
      </c>
      <c r="BB39" s="1164">
        <f>SUMIFS(Table9[Count of EnergyRating],Table9[MainSpaceHeatingFuel],AL39,Table9[EnergyRating (group)],AM39,Table9[CountyName (group)],BB$4)</f>
        <v>0</v>
      </c>
      <c r="BC39" s="1164">
        <f>SUMIFS(Table9[Count of EnergyRating],Table9[MainSpaceHeatingFuel],AL39,Table9[EnergyRating (group)],AM39,Table9[CountyName (group)],BC$4)</f>
        <v>0</v>
      </c>
      <c r="BD39" s="1164">
        <f>SUMIFS(Table9[Count of EnergyRating],Table9[MainSpaceHeatingFuel],AL39,Table9[EnergyRating (group)],AM39,Table9[CountyName (group)],BD$4)</f>
        <v>0</v>
      </c>
      <c r="BE39" s="1164">
        <f>SUMIFS(Table9[Count of EnergyRating],Table9[MainSpaceHeatingFuel],AL39,Table9[EnergyRating (group)],AM39,Table9[CountyName (group)],BE$4)</f>
        <v>0</v>
      </c>
      <c r="BF39" s="1164">
        <f>SUMIFS(Table9[Count of EnergyRating],Table9[MainSpaceHeatingFuel],AL39,Table9[EnergyRating (group)],AM39,Table9[CountyName (group)],BF$4)</f>
        <v>0</v>
      </c>
      <c r="BG39" s="1164">
        <f>SUMIFS(Table9[Count of EnergyRating],Table9[MainSpaceHeatingFuel],AL39,Table9[EnergyRating (group)],AM39,Table9[CountyName (group)],BG$4)</f>
        <v>0</v>
      </c>
      <c r="BH39" s="1164">
        <f>SUMIFS(Table9[Count of EnergyRating],Table9[MainSpaceHeatingFuel],AL39,Table9[EnergyRating (group)],AM39,Table9[CountyName (group)],BH$4)</f>
        <v>0</v>
      </c>
      <c r="BI39" s="1164">
        <f>SUMIFS(Table9[Count of EnergyRating],Table9[MainSpaceHeatingFuel],AL39,Table9[EnergyRating (group)],AM39,Table9[CountyName (group)],BI$4)</f>
        <v>0</v>
      </c>
      <c r="BJ39" s="1164">
        <f>SUMIFS(Table9[Count of EnergyRating],Table9[MainSpaceHeatingFuel],AL39,Table9[EnergyRating (group)],AM39,Table9[CountyName (group)],BJ$4)</f>
        <v>0</v>
      </c>
      <c r="BK39" s="1135">
        <f>SUMIFS(Table9[Count of EnergyRating],Table9[MainSpaceHeatingFuel],AL39,Table9[EnergyRating (group)],AM39,Table9[CountyName (group)],BK$4)</f>
        <v>0</v>
      </c>
      <c r="BL39" s="1164">
        <f>SUMIFS(Table9[Count of EnergyRating],Table9[MainSpaceHeatingFuel],AL39,Table9[EnergyRating (group)],AM39,Table9[CountyName (group)],BL$4)</f>
        <v>0</v>
      </c>
      <c r="BM39" s="1164">
        <f>SUMIFS(Table9[Count of EnergyRating],Table9[MainSpaceHeatingFuel],AL39,Table9[EnergyRating (group)],AM39,Table9[CountyName (group)],BM$4)</f>
        <v>0</v>
      </c>
    </row>
    <row r="40" spans="2:65" ht="13.5" thickBot="1">
      <c r="B40" s="1138" t="s">
        <v>1075</v>
      </c>
      <c r="C40" s="1134" t="s">
        <v>1176</v>
      </c>
      <c r="D40" s="1134" t="s">
        <v>1094</v>
      </c>
      <c r="E40" s="1147">
        <f>SUM(E34:E39)</f>
        <v>2.8311324512032206E-5</v>
      </c>
      <c r="F40" s="1147">
        <f t="shared" ref="F40" si="55">SUM(F34:F39)</f>
        <v>2.744473386635732E-3</v>
      </c>
      <c r="G40" s="1147">
        <f t="shared" ref="G40" si="56">SUM(G34:G39)</f>
        <v>1.6388758175013161E-4</v>
      </c>
      <c r="H40" s="1147">
        <f t="shared" ref="H40" si="57">SUM(H34:H39)</f>
        <v>3.8978495348006257E-5</v>
      </c>
      <c r="I40" s="1147">
        <f t="shared" ref="I40" si="58">SUM(I34:I39)</f>
        <v>3.1937143353334489E-5</v>
      </c>
      <c r="J40" s="1147">
        <f t="shared" ref="J40" si="59">SUM(J34:J39)</f>
        <v>1.5388411058999135E-5</v>
      </c>
      <c r="K40" s="1147">
        <f t="shared" ref="K40" si="60">SUM(K34:K39)</f>
        <v>6.7631427610700121E-5</v>
      </c>
      <c r="L40" s="1147">
        <f t="shared" ref="L40" si="61">SUM(L34:L39)</f>
        <v>1.2043582564029578E-4</v>
      </c>
      <c r="M40" s="1147">
        <f t="shared" ref="M40" si="62">SUM(M34:M39)</f>
        <v>2.6157163638977992E-5</v>
      </c>
      <c r="N40" s="1147">
        <f t="shared" ref="N40" si="63">SUM(N34:N39)</f>
        <v>6.4296282875277085E-5</v>
      </c>
      <c r="O40" s="1147">
        <f t="shared" ref="O40" si="64">SUM(O34:O39)</f>
        <v>5.9400421072922359E-5</v>
      </c>
      <c r="P40" s="1147">
        <f t="shared" ref="P40" si="65">SUM(P34:P39)</f>
        <v>1.0044492069726298E-4</v>
      </c>
      <c r="Q40" s="1147">
        <f t="shared" ref="Q40" si="66">SUM(Q34:Q39)</f>
        <v>5.5444306610511997E-5</v>
      </c>
      <c r="R40" s="1147">
        <f t="shared" ref="R40" si="67">SUM(R34:R39)</f>
        <v>4.0426799916603716E-4</v>
      </c>
      <c r="S40" s="1147">
        <f t="shared" ref="S40" si="68">SUM(S34:S39)</f>
        <v>6.4677114736819632E-5</v>
      </c>
      <c r="T40" s="1147">
        <f t="shared" ref="T40" si="69">SUM(T34:T39)</f>
        <v>1.6605372118516954E-4</v>
      </c>
      <c r="U40" s="1147">
        <f t="shared" ref="U40" si="70">SUM(U34:U39)</f>
        <v>5.3018653189478688E-5</v>
      </c>
      <c r="V40" s="1147">
        <f t="shared" ref="V40" si="71">SUM(V34:V39)</f>
        <v>7.1200301438767687E-5</v>
      </c>
      <c r="W40" s="1147">
        <f t="shared" ref="W40" si="72">SUM(W34:W39)</f>
        <v>2.1992319952791466E-4</v>
      </c>
      <c r="X40" s="1147">
        <f t="shared" ref="X40" si="73">SUM(X34:X39)</f>
        <v>1.2085464535637374E-5</v>
      </c>
      <c r="Y40" s="1147">
        <f t="shared" ref="Y40" si="74">SUM(Y34:Y39)</f>
        <v>4.7656828358222469E-5</v>
      </c>
      <c r="Z40" s="1147">
        <f t="shared" ref="Z40" si="75">SUM(Z34:Z39)</f>
        <v>1.5055011023306617E-5</v>
      </c>
      <c r="AA40" s="1147">
        <f t="shared" ref="AA40" si="76">SUM(AA34:AA39)</f>
        <v>3.730290116479846E-5</v>
      </c>
      <c r="AB40" s="1147">
        <f t="shared" ref="AB40" si="77">SUM(AB34:AB39)</f>
        <v>2.8288359454507393E-5</v>
      </c>
      <c r="AC40" s="1147">
        <f t="shared" ref="AC40" si="78">SUM(AC34:AC39)</f>
        <v>5.3258086878558327E-5</v>
      </c>
      <c r="AD40" s="1147">
        <f t="shared" ref="AD40" si="79">SUM(AD34:AD39)</f>
        <v>2.2868682970698613E-5</v>
      </c>
      <c r="AE40" s="1147">
        <f t="shared" ref="AE40" si="80">SUM(AE34:AE39)</f>
        <v>4.7124430144340999E-3</v>
      </c>
      <c r="AG40" s="1164"/>
      <c r="AL40" s="1144" t="s">
        <v>398</v>
      </c>
      <c r="AM40" s="1144" t="s">
        <v>58</v>
      </c>
      <c r="AN40" s="1135">
        <f>SUMIFS(Table9[Count of EnergyRating],Table9[MainSpaceHeatingFuel],AL40,Table9[EnergyRating (group)],AM40,Table9[CountyName (group)],AN$4)</f>
        <v>0</v>
      </c>
      <c r="AO40" s="1164">
        <f>SUMIFS(Table9[Count of EnergyRating],Table9[MainSpaceHeatingFuel],AL40,Table9[EnergyRating (group)],AM40,Table9[CountyName (group)],AO$4)</f>
        <v>1</v>
      </c>
      <c r="AP40" s="1164">
        <f>SUMIFS(Table9[Count of EnergyRating],Table9[MainSpaceHeatingFuel],AL40,Table9[EnergyRating (group)],AM40,Table9[CountyName (group)],AP$4)</f>
        <v>0</v>
      </c>
      <c r="AQ40" s="1164">
        <f>SUMIFS(Table9[Count of EnergyRating],Table9[MainSpaceHeatingFuel],AL40,Table9[EnergyRating (group)],AM40,Table9[CountyName (group)],AQ$4)</f>
        <v>0</v>
      </c>
      <c r="AR40" s="1164">
        <f>SUMIFS(Table9[Count of EnergyRating],Table9[MainSpaceHeatingFuel],AL40,Table9[EnergyRating (group)],AM40,Table9[CountyName (group)],AR$4)</f>
        <v>0</v>
      </c>
      <c r="AS40" s="1164">
        <f>SUMIFS(Table9[Count of EnergyRating],Table9[MainSpaceHeatingFuel],AL40,Table9[EnergyRating (group)],AM40,Table9[CountyName (group)],AS$4)</f>
        <v>0</v>
      </c>
      <c r="AT40" s="1164">
        <f>SUMIFS(Table9[Count of EnergyRating],Table9[MainSpaceHeatingFuel],AL40,Table9[EnergyRating (group)],AM40,Table9[CountyName (group)],AT$4)</f>
        <v>0</v>
      </c>
      <c r="AU40" s="1164">
        <f>SUMIFS(Table9[Count of EnergyRating],Table9[MainSpaceHeatingFuel],AL40,Table9[EnergyRating (group)],AM40,Table9[CountyName (group)],AU$4)</f>
        <v>0</v>
      </c>
      <c r="AV40" s="1164">
        <f>SUMIFS(Table9[Count of EnergyRating],Table9[MainSpaceHeatingFuel],AL40,Table9[EnergyRating (group)],AM40,Table9[CountyName (group)],AV$4)</f>
        <v>0</v>
      </c>
      <c r="AW40" s="1164">
        <f>SUMIFS(Table9[Count of EnergyRating],Table9[MainSpaceHeatingFuel],AL40,Table9[EnergyRating (group)],AM40,Table9[CountyName (group)],AW$4)</f>
        <v>0</v>
      </c>
      <c r="AX40" s="1164">
        <f>SUMIFS(Table9[Count of EnergyRating],Table9[MainSpaceHeatingFuel],AL40,Table9[EnergyRating (group)],AM40,Table9[CountyName (group)],AX$4)</f>
        <v>0</v>
      </c>
      <c r="AY40" s="1164">
        <f>SUMIFS(Table9[Count of EnergyRating],Table9[MainSpaceHeatingFuel],AL40,Table9[EnergyRating (group)],AM40,Table9[CountyName (group)],AY$4)</f>
        <v>0</v>
      </c>
      <c r="AZ40" s="1164">
        <f>SUMIFS(Table9[Count of EnergyRating],Table9[MainSpaceHeatingFuel],AL40,Table9[EnergyRating (group)],AM40,Table9[CountyName (group)],AZ$4)</f>
        <v>0</v>
      </c>
      <c r="BA40" s="1164">
        <f>SUMIFS(Table9[Count of EnergyRating],Table9[MainSpaceHeatingFuel],AL40,Table9[EnergyRating (group)],AM40,Table9[CountyName (group)],BA$4)</f>
        <v>0</v>
      </c>
      <c r="BB40" s="1164">
        <f>SUMIFS(Table9[Count of EnergyRating],Table9[MainSpaceHeatingFuel],AL40,Table9[EnergyRating (group)],AM40,Table9[CountyName (group)],BB$4)</f>
        <v>0</v>
      </c>
      <c r="BC40" s="1164">
        <f>SUMIFS(Table9[Count of EnergyRating],Table9[MainSpaceHeatingFuel],AL40,Table9[EnergyRating (group)],AM40,Table9[CountyName (group)],BC$4)</f>
        <v>0</v>
      </c>
      <c r="BD40" s="1164">
        <f>SUMIFS(Table9[Count of EnergyRating],Table9[MainSpaceHeatingFuel],AL40,Table9[EnergyRating (group)],AM40,Table9[CountyName (group)],BD$4)</f>
        <v>0</v>
      </c>
      <c r="BE40" s="1164">
        <f>SUMIFS(Table9[Count of EnergyRating],Table9[MainSpaceHeatingFuel],AL40,Table9[EnergyRating (group)],AM40,Table9[CountyName (group)],BE$4)</f>
        <v>0</v>
      </c>
      <c r="BF40" s="1164">
        <f>SUMIFS(Table9[Count of EnergyRating],Table9[MainSpaceHeatingFuel],AL40,Table9[EnergyRating (group)],AM40,Table9[CountyName (group)],BF$4)</f>
        <v>0</v>
      </c>
      <c r="BG40" s="1164">
        <f>SUMIFS(Table9[Count of EnergyRating],Table9[MainSpaceHeatingFuel],AL40,Table9[EnergyRating (group)],AM40,Table9[CountyName (group)],BG$4)</f>
        <v>0</v>
      </c>
      <c r="BH40" s="1164">
        <f>SUMIFS(Table9[Count of EnergyRating],Table9[MainSpaceHeatingFuel],AL40,Table9[EnergyRating (group)],AM40,Table9[CountyName (group)],BH$4)</f>
        <v>0</v>
      </c>
      <c r="BI40" s="1164">
        <f>SUMIFS(Table9[Count of EnergyRating],Table9[MainSpaceHeatingFuel],AL40,Table9[EnergyRating (group)],AM40,Table9[CountyName (group)],BI$4)</f>
        <v>0</v>
      </c>
      <c r="BJ40" s="1164">
        <f>SUMIFS(Table9[Count of EnergyRating],Table9[MainSpaceHeatingFuel],AL40,Table9[EnergyRating (group)],AM40,Table9[CountyName (group)],BJ$4)</f>
        <v>0</v>
      </c>
      <c r="BK40" s="1135">
        <f>SUMIFS(Table9[Count of EnergyRating],Table9[MainSpaceHeatingFuel],AL40,Table9[EnergyRating (group)],AM40,Table9[CountyName (group)],BK$4)</f>
        <v>0</v>
      </c>
      <c r="BL40" s="1164">
        <f>SUMIFS(Table9[Count of EnergyRating],Table9[MainSpaceHeatingFuel],AL40,Table9[EnergyRating (group)],AM40,Table9[CountyName (group)],BL$4)</f>
        <v>0</v>
      </c>
      <c r="BM40" s="1164">
        <f>SUMIFS(Table9[Count of EnergyRating],Table9[MainSpaceHeatingFuel],AL40,Table9[EnergyRating (group)],AM40,Table9[CountyName (group)],BM$4)</f>
        <v>0</v>
      </c>
    </row>
    <row r="41" spans="2:65" ht="13.5" thickBot="1">
      <c r="B41" s="1165"/>
      <c r="C41" s="1165" t="s">
        <v>1177</v>
      </c>
      <c r="D41" s="1165" t="s">
        <v>1094</v>
      </c>
      <c r="E41" s="1166">
        <f t="shared" ref="E41:AA41" si="81">G161</f>
        <v>3.7927948626981063E-5</v>
      </c>
      <c r="F41" s="1166">
        <f t="shared" si="81"/>
        <v>3.6766999570153618E-3</v>
      </c>
      <c r="G41" s="1166">
        <f t="shared" si="81"/>
        <v>2.1955595113811816E-4</v>
      </c>
      <c r="H41" s="1166">
        <f t="shared" si="81"/>
        <v>5.2218481282565851E-5</v>
      </c>
      <c r="I41" s="1166">
        <f t="shared" si="81"/>
        <v>4.2785364276510545E-5</v>
      </c>
      <c r="J41" s="1166">
        <f t="shared" si="81"/>
        <v>2.061545597587767E-5</v>
      </c>
      <c r="K41" s="1166">
        <f t="shared" si="81"/>
        <v>9.060407297079499E-5</v>
      </c>
      <c r="L41" s="1166">
        <f t="shared" si="81"/>
        <v>1.6134475820062225E-4</v>
      </c>
      <c r="M41" s="1166">
        <f t="shared" si="81"/>
        <v>3.50420750645227E-5</v>
      </c>
      <c r="N41" s="1166">
        <f t="shared" si="81"/>
        <v>8.6136065896985653E-5</v>
      </c>
      <c r="O41" s="1166">
        <f t="shared" si="81"/>
        <v>7.9577206566840524E-5</v>
      </c>
      <c r="P41" s="1166">
        <f t="shared" si="81"/>
        <v>1.3456346030112022E-4</v>
      </c>
      <c r="Q41" s="1166">
        <f t="shared" si="81"/>
        <v>7.4277302423218162E-5</v>
      </c>
      <c r="R41" s="1166">
        <f t="shared" si="81"/>
        <v>5.4158737424613913E-4</v>
      </c>
      <c r="S41" s="1166">
        <f t="shared" si="81"/>
        <v>8.6646256484288069E-5</v>
      </c>
      <c r="T41" s="1166">
        <f t="shared" si="81"/>
        <v>2.224578720700081E-4</v>
      </c>
      <c r="U41" s="1166">
        <f t="shared" si="81"/>
        <v>7.1027717321655264E-5</v>
      </c>
      <c r="V41" s="1166">
        <f t="shared" si="81"/>
        <v>9.5385200860081696E-5</v>
      </c>
      <c r="W41" s="1166">
        <f t="shared" si="81"/>
        <v>2.9462541782639167E-4</v>
      </c>
      <c r="X41" s="1166">
        <f t="shared" si="81"/>
        <v>1.6190584013335277E-5</v>
      </c>
      <c r="Y41" s="1166">
        <f t="shared" si="81"/>
        <v>6.3844619382866523E-5</v>
      </c>
      <c r="Z41" s="1166">
        <f t="shared" si="81"/>
        <v>2.0168808577921941E-5</v>
      </c>
      <c r="AA41" s="1166">
        <f t="shared" si="81"/>
        <v>4.9973731127080736E-5</v>
      </c>
      <c r="AB41" s="1166">
        <f>AD161</f>
        <v>3.7897182933851904E-5</v>
      </c>
      <c r="AC41" s="1166">
        <f>AE161</f>
        <v>7.1348480437316675E-5</v>
      </c>
      <c r="AD41" s="1166">
        <f>AF161</f>
        <v>3.0636582633594124E-5</v>
      </c>
      <c r="AE41" s="1175">
        <f t="shared" si="5"/>
        <v>6.313137927654049E-3</v>
      </c>
      <c r="AG41" s="1164"/>
      <c r="AL41" s="1144" t="s">
        <v>398</v>
      </c>
      <c r="AM41" s="1144" t="s">
        <v>60</v>
      </c>
      <c r="AN41" s="1135">
        <f>SUMIFS(Table9[Count of EnergyRating],Table9[MainSpaceHeatingFuel],AL41,Table9[EnergyRating (group)],AM41,Table9[CountyName (group)],AN$4)</f>
        <v>0</v>
      </c>
      <c r="AO41" s="1164">
        <f>SUMIFS(Table9[Count of EnergyRating],Table9[MainSpaceHeatingFuel],AL41,Table9[EnergyRating (group)],AM41,Table9[CountyName (group)],AO$4)</f>
        <v>0</v>
      </c>
      <c r="AP41" s="1164">
        <f>SUMIFS(Table9[Count of EnergyRating],Table9[MainSpaceHeatingFuel],AL41,Table9[EnergyRating (group)],AM41,Table9[CountyName (group)],AP$4)</f>
        <v>0</v>
      </c>
      <c r="AQ41" s="1164">
        <f>SUMIFS(Table9[Count of EnergyRating],Table9[MainSpaceHeatingFuel],AL41,Table9[EnergyRating (group)],AM41,Table9[CountyName (group)],AQ$4)</f>
        <v>0</v>
      </c>
      <c r="AR41" s="1164">
        <f>SUMIFS(Table9[Count of EnergyRating],Table9[MainSpaceHeatingFuel],AL41,Table9[EnergyRating (group)],AM41,Table9[CountyName (group)],AR$4)</f>
        <v>0</v>
      </c>
      <c r="AS41" s="1164">
        <f>SUMIFS(Table9[Count of EnergyRating],Table9[MainSpaceHeatingFuel],AL41,Table9[EnergyRating (group)],AM41,Table9[CountyName (group)],AS$4)</f>
        <v>0</v>
      </c>
      <c r="AT41" s="1164">
        <f>SUMIFS(Table9[Count of EnergyRating],Table9[MainSpaceHeatingFuel],AL41,Table9[EnergyRating (group)],AM41,Table9[CountyName (group)],AT$4)</f>
        <v>0</v>
      </c>
      <c r="AU41" s="1164">
        <f>SUMIFS(Table9[Count of EnergyRating],Table9[MainSpaceHeatingFuel],AL41,Table9[EnergyRating (group)],AM41,Table9[CountyName (group)],AU$4)</f>
        <v>0</v>
      </c>
      <c r="AV41" s="1164">
        <f>SUMIFS(Table9[Count of EnergyRating],Table9[MainSpaceHeatingFuel],AL41,Table9[EnergyRating (group)],AM41,Table9[CountyName (group)],AV$4)</f>
        <v>0</v>
      </c>
      <c r="AW41" s="1164">
        <f>SUMIFS(Table9[Count of EnergyRating],Table9[MainSpaceHeatingFuel],AL41,Table9[EnergyRating (group)],AM41,Table9[CountyName (group)],AW$4)</f>
        <v>0</v>
      </c>
      <c r="AX41" s="1164">
        <f>SUMIFS(Table9[Count of EnergyRating],Table9[MainSpaceHeatingFuel],AL41,Table9[EnergyRating (group)],AM41,Table9[CountyName (group)],AX$4)</f>
        <v>0</v>
      </c>
      <c r="AY41" s="1164">
        <f>SUMIFS(Table9[Count of EnergyRating],Table9[MainSpaceHeatingFuel],AL41,Table9[EnergyRating (group)],AM41,Table9[CountyName (group)],AY$4)</f>
        <v>0</v>
      </c>
      <c r="AZ41" s="1164">
        <f>SUMIFS(Table9[Count of EnergyRating],Table9[MainSpaceHeatingFuel],AL41,Table9[EnergyRating (group)],AM41,Table9[CountyName (group)],AZ$4)</f>
        <v>0</v>
      </c>
      <c r="BA41" s="1164">
        <f>SUMIFS(Table9[Count of EnergyRating],Table9[MainSpaceHeatingFuel],AL41,Table9[EnergyRating (group)],AM41,Table9[CountyName (group)],BA$4)</f>
        <v>0</v>
      </c>
      <c r="BB41" s="1164">
        <f>SUMIFS(Table9[Count of EnergyRating],Table9[MainSpaceHeatingFuel],AL41,Table9[EnergyRating (group)],AM41,Table9[CountyName (group)],BB$4)</f>
        <v>0</v>
      </c>
      <c r="BC41" s="1164">
        <f>SUMIFS(Table9[Count of EnergyRating],Table9[MainSpaceHeatingFuel],AL41,Table9[EnergyRating (group)],AM41,Table9[CountyName (group)],BC$4)</f>
        <v>0</v>
      </c>
      <c r="BD41" s="1164">
        <f>SUMIFS(Table9[Count of EnergyRating],Table9[MainSpaceHeatingFuel],AL41,Table9[EnergyRating (group)],AM41,Table9[CountyName (group)],BD$4)</f>
        <v>0</v>
      </c>
      <c r="BE41" s="1164">
        <f>SUMIFS(Table9[Count of EnergyRating],Table9[MainSpaceHeatingFuel],AL41,Table9[EnergyRating (group)],AM41,Table9[CountyName (group)],BE$4)</f>
        <v>0</v>
      </c>
      <c r="BF41" s="1164">
        <f>SUMIFS(Table9[Count of EnergyRating],Table9[MainSpaceHeatingFuel],AL41,Table9[EnergyRating (group)],AM41,Table9[CountyName (group)],BF$4)</f>
        <v>0</v>
      </c>
      <c r="BG41" s="1164">
        <f>SUMIFS(Table9[Count of EnergyRating],Table9[MainSpaceHeatingFuel],AL41,Table9[EnergyRating (group)],AM41,Table9[CountyName (group)],BG$4)</f>
        <v>0</v>
      </c>
      <c r="BH41" s="1164">
        <f>SUMIFS(Table9[Count of EnergyRating],Table9[MainSpaceHeatingFuel],AL41,Table9[EnergyRating (group)],AM41,Table9[CountyName (group)],BH$4)</f>
        <v>0</v>
      </c>
      <c r="BI41" s="1164">
        <f>SUMIFS(Table9[Count of EnergyRating],Table9[MainSpaceHeatingFuel],AL41,Table9[EnergyRating (group)],AM41,Table9[CountyName (group)],BI$4)</f>
        <v>0</v>
      </c>
      <c r="BJ41" s="1164">
        <f>SUMIFS(Table9[Count of EnergyRating],Table9[MainSpaceHeatingFuel],AL41,Table9[EnergyRating (group)],AM41,Table9[CountyName (group)],BJ$4)</f>
        <v>0</v>
      </c>
      <c r="BK41" s="1135">
        <f>SUMIFS(Table9[Count of EnergyRating],Table9[MainSpaceHeatingFuel],AL41,Table9[EnergyRating (group)],AM41,Table9[CountyName (group)],BK$4)</f>
        <v>0</v>
      </c>
      <c r="BL41" s="1164">
        <f>SUMIFS(Table9[Count of EnergyRating],Table9[MainSpaceHeatingFuel],AL41,Table9[EnergyRating (group)],AM41,Table9[CountyName (group)],BL$4)</f>
        <v>0</v>
      </c>
      <c r="BM41" s="1164">
        <f>SUMIFS(Table9[Count of EnergyRating],Table9[MainSpaceHeatingFuel],AL41,Table9[EnergyRating (group)],AM41,Table9[CountyName (group)],BM$4)</f>
        <v>0</v>
      </c>
    </row>
    <row r="42" spans="2:65" ht="15">
      <c r="B42" s="1137"/>
      <c r="C42" s="1137" t="s">
        <v>1199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G42" s="1164"/>
      <c r="AL42" s="1144" t="s">
        <v>398</v>
      </c>
      <c r="AM42" s="1144" t="s">
        <v>62</v>
      </c>
      <c r="AN42" s="1135">
        <f>SUMIFS(Table9[Count of EnergyRating],Table9[MainSpaceHeatingFuel],AL42,Table9[EnergyRating (group)],AM42,Table9[CountyName (group)],AN$4)</f>
        <v>0</v>
      </c>
      <c r="AO42" s="1164">
        <f>SUMIFS(Table9[Count of EnergyRating],Table9[MainSpaceHeatingFuel],AL42,Table9[EnergyRating (group)],AM42,Table9[CountyName (group)],AO$4)</f>
        <v>0</v>
      </c>
      <c r="AP42" s="1164">
        <f>SUMIFS(Table9[Count of EnergyRating],Table9[MainSpaceHeatingFuel],AL42,Table9[EnergyRating (group)],AM42,Table9[CountyName (group)],AP$4)</f>
        <v>0</v>
      </c>
      <c r="AQ42" s="1164">
        <f>SUMIFS(Table9[Count of EnergyRating],Table9[MainSpaceHeatingFuel],AL42,Table9[EnergyRating (group)],AM42,Table9[CountyName (group)],AQ$4)</f>
        <v>0</v>
      </c>
      <c r="AR42" s="1164">
        <f>SUMIFS(Table9[Count of EnergyRating],Table9[MainSpaceHeatingFuel],AL42,Table9[EnergyRating (group)],AM42,Table9[CountyName (group)],AR$4)</f>
        <v>0</v>
      </c>
      <c r="AS42" s="1164">
        <f>SUMIFS(Table9[Count of EnergyRating],Table9[MainSpaceHeatingFuel],AL42,Table9[EnergyRating (group)],AM42,Table9[CountyName (group)],AS$4)</f>
        <v>0</v>
      </c>
      <c r="AT42" s="1164">
        <f>SUMIFS(Table9[Count of EnergyRating],Table9[MainSpaceHeatingFuel],AL42,Table9[EnergyRating (group)],AM42,Table9[CountyName (group)],AT$4)</f>
        <v>0</v>
      </c>
      <c r="AU42" s="1164">
        <f>SUMIFS(Table9[Count of EnergyRating],Table9[MainSpaceHeatingFuel],AL42,Table9[EnergyRating (group)],AM42,Table9[CountyName (group)],AU$4)</f>
        <v>0</v>
      </c>
      <c r="AV42" s="1164">
        <f>SUMIFS(Table9[Count of EnergyRating],Table9[MainSpaceHeatingFuel],AL42,Table9[EnergyRating (group)],AM42,Table9[CountyName (group)],AV$4)</f>
        <v>0</v>
      </c>
      <c r="AW42" s="1164">
        <f>SUMIFS(Table9[Count of EnergyRating],Table9[MainSpaceHeatingFuel],AL42,Table9[EnergyRating (group)],AM42,Table9[CountyName (group)],AW$4)</f>
        <v>0</v>
      </c>
      <c r="AX42" s="1164">
        <f>SUMIFS(Table9[Count of EnergyRating],Table9[MainSpaceHeatingFuel],AL42,Table9[EnergyRating (group)],AM42,Table9[CountyName (group)],AX$4)</f>
        <v>0</v>
      </c>
      <c r="AY42" s="1164">
        <f>SUMIFS(Table9[Count of EnergyRating],Table9[MainSpaceHeatingFuel],AL42,Table9[EnergyRating (group)],AM42,Table9[CountyName (group)],AY$4)</f>
        <v>0</v>
      </c>
      <c r="AZ42" s="1164">
        <f>SUMIFS(Table9[Count of EnergyRating],Table9[MainSpaceHeatingFuel],AL42,Table9[EnergyRating (group)],AM42,Table9[CountyName (group)],AZ$4)</f>
        <v>0</v>
      </c>
      <c r="BA42" s="1164">
        <f>SUMIFS(Table9[Count of EnergyRating],Table9[MainSpaceHeatingFuel],AL42,Table9[EnergyRating (group)],AM42,Table9[CountyName (group)],BA$4)</f>
        <v>0</v>
      </c>
      <c r="BB42" s="1164">
        <f>SUMIFS(Table9[Count of EnergyRating],Table9[MainSpaceHeatingFuel],AL42,Table9[EnergyRating (group)],AM42,Table9[CountyName (group)],BB$4)</f>
        <v>0</v>
      </c>
      <c r="BC42" s="1164">
        <f>SUMIFS(Table9[Count of EnergyRating],Table9[MainSpaceHeatingFuel],AL42,Table9[EnergyRating (group)],AM42,Table9[CountyName (group)],BC$4)</f>
        <v>0</v>
      </c>
      <c r="BD42" s="1164">
        <f>SUMIFS(Table9[Count of EnergyRating],Table9[MainSpaceHeatingFuel],AL42,Table9[EnergyRating (group)],AM42,Table9[CountyName (group)],BD$4)</f>
        <v>0</v>
      </c>
      <c r="BE42" s="1164">
        <f>SUMIFS(Table9[Count of EnergyRating],Table9[MainSpaceHeatingFuel],AL42,Table9[EnergyRating (group)],AM42,Table9[CountyName (group)],BE$4)</f>
        <v>0</v>
      </c>
      <c r="BF42" s="1164">
        <f>SUMIFS(Table9[Count of EnergyRating],Table9[MainSpaceHeatingFuel],AL42,Table9[EnergyRating (group)],AM42,Table9[CountyName (group)],BF$4)</f>
        <v>0</v>
      </c>
      <c r="BG42" s="1164">
        <f>SUMIFS(Table9[Count of EnergyRating],Table9[MainSpaceHeatingFuel],AL42,Table9[EnergyRating (group)],AM42,Table9[CountyName (group)],BG$4)</f>
        <v>0</v>
      </c>
      <c r="BH42" s="1164">
        <f>SUMIFS(Table9[Count of EnergyRating],Table9[MainSpaceHeatingFuel],AL42,Table9[EnergyRating (group)],AM42,Table9[CountyName (group)],BH$4)</f>
        <v>0</v>
      </c>
      <c r="BI42" s="1164">
        <f>SUMIFS(Table9[Count of EnergyRating],Table9[MainSpaceHeatingFuel],AL42,Table9[EnergyRating (group)],AM42,Table9[CountyName (group)],BI$4)</f>
        <v>0</v>
      </c>
      <c r="BJ42" s="1164">
        <f>SUMIFS(Table9[Count of EnergyRating],Table9[MainSpaceHeatingFuel],AL42,Table9[EnergyRating (group)],AM42,Table9[CountyName (group)],BJ$4)</f>
        <v>0</v>
      </c>
      <c r="BK42" s="1135">
        <f>SUMIFS(Table9[Count of EnergyRating],Table9[MainSpaceHeatingFuel],AL42,Table9[EnergyRating (group)],AM42,Table9[CountyName (group)],BK$4)</f>
        <v>0</v>
      </c>
      <c r="BL42" s="1164">
        <f>SUMIFS(Table9[Count of EnergyRating],Table9[MainSpaceHeatingFuel],AL42,Table9[EnergyRating (group)],AM42,Table9[CountyName (group)],BL$4)</f>
        <v>0</v>
      </c>
      <c r="BM42" s="1164">
        <f>SUMIFS(Table9[Count of EnergyRating],Table9[MainSpaceHeatingFuel],AL42,Table9[EnergyRating (group)],AM42,Table9[CountyName (group)],BM$4)</f>
        <v>0</v>
      </c>
    </row>
    <row r="43" spans="2:65" ht="15">
      <c r="B43" s="1134" t="s">
        <v>1259</v>
      </c>
      <c r="C43" s="1134" t="s">
        <v>1178</v>
      </c>
      <c r="D43" s="1134" t="s">
        <v>1094</v>
      </c>
      <c r="E43" s="1145">
        <f t="shared" ref="E43:AA43" si="82">IFERROR(G163*((SUM(AN$45:AN$48)/SUM(AN$45:AN$53))/(SUM(G$163)/SUM(G$163:G$168))),G163)</f>
        <v>7.8375662637444713E-7</v>
      </c>
      <c r="F43" s="1145">
        <f t="shared" si="82"/>
        <v>9.1482446221191074E-4</v>
      </c>
      <c r="G43" s="1145">
        <f t="shared" si="82"/>
        <v>9.6297130125184075E-6</v>
      </c>
      <c r="H43" s="1145">
        <f t="shared" si="82"/>
        <v>2.3720713309635704E-6</v>
      </c>
      <c r="I43" s="1145">
        <f t="shared" si="82"/>
        <v>2.1766494355423792E-6</v>
      </c>
      <c r="J43" s="1145">
        <f t="shared" si="82"/>
        <v>3.6839506416797037E-7</v>
      </c>
      <c r="K43" s="1145">
        <f t="shared" si="82"/>
        <v>5.7606392568242965E-6</v>
      </c>
      <c r="L43" s="1145">
        <f t="shared" si="82"/>
        <v>9.3293998274531875E-6</v>
      </c>
      <c r="M43" s="1145">
        <f t="shared" si="82"/>
        <v>7.2822096692063694E-7</v>
      </c>
      <c r="N43" s="1145">
        <f t="shared" si="82"/>
        <v>3.4409062974127814E-6</v>
      </c>
      <c r="O43" s="1145">
        <f t="shared" si="82"/>
        <v>1.7777854805799412E-6</v>
      </c>
      <c r="P43" s="1145">
        <f t="shared" si="82"/>
        <v>8.6874205913302606E-6</v>
      </c>
      <c r="Q43" s="1145">
        <f t="shared" si="82"/>
        <v>1.9692802762152323E-6</v>
      </c>
      <c r="R43" s="1145">
        <f t="shared" si="82"/>
        <v>3.8413073968853367E-5</v>
      </c>
      <c r="S43" s="1145">
        <f t="shared" si="82"/>
        <v>2.585241443701261E-6</v>
      </c>
      <c r="T43" s="1145">
        <f t="shared" si="82"/>
        <v>6.2398498806377468E-6</v>
      </c>
      <c r="U43" s="1145">
        <f t="shared" si="82"/>
        <v>1.0709649458581555E-6</v>
      </c>
      <c r="V43" s="1145">
        <f t="shared" si="82"/>
        <v>2.6567563185644931E-6</v>
      </c>
      <c r="W43" s="1145">
        <f t="shared" si="82"/>
        <v>8.3725968655137942E-6</v>
      </c>
      <c r="X43" s="1145">
        <f t="shared" si="82"/>
        <v>1.6659161640602897E-7</v>
      </c>
      <c r="Y43" s="1145">
        <f t="shared" si="82"/>
        <v>1.3798081862906597E-6</v>
      </c>
      <c r="Z43" s="1145">
        <f t="shared" si="82"/>
        <v>4.9012426070179241E-7</v>
      </c>
      <c r="AA43" s="1145">
        <f t="shared" si="82"/>
        <v>1.382680039161435E-6</v>
      </c>
      <c r="AB43" s="1145">
        <f>IFERROR(AD163*((SUM(BK$45:BK$48)/SUM(BK$45:BK$53))/(SUM(AD$163)/SUM(AD$163:AD$168))),AD163)</f>
        <v>1.2843272772624962E-6</v>
      </c>
      <c r="AC43" s="1145">
        <f>IFERROR(AE163*((SUM(BL$45:BL$48)/SUM(BL$45:BL$53))/(SUM(AE$163)/SUM(AE$163:AE$168))),AE163)</f>
        <v>2.6608963776710255E-6</v>
      </c>
      <c r="AD43" s="1145">
        <f>IFERROR(AF163*((SUM(BM$45:BM$48)/SUM(BM$45:BM$53))/(SUM(AF$163)/SUM(AF$163:AF$168))),AF163)</f>
        <v>1.0550503810995532E-6</v>
      </c>
      <c r="AE43" s="1172">
        <f t="shared" si="5"/>
        <v>1.0296066619399353E-3</v>
      </c>
      <c r="AG43" s="1164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SUMIFS(Table9[Count of EnergyRating],Table9[MainSpaceHeatingFuel],AL43,Table9[EnergyRating (group)],AM43,Table9[CountyName (group)],AN$4)</f>
        <v>0</v>
      </c>
      <c r="AO43" s="1164">
        <f>SUMIFS(Table9[Count of EnergyRating],Table9[MainSpaceHeatingFuel],AL43,Table9[EnergyRating (group)],AM43,Table9[CountyName (group)],AO$4)</f>
        <v>0</v>
      </c>
      <c r="AP43" s="1164">
        <f>SUMIFS(Table9[Count of EnergyRating],Table9[MainSpaceHeatingFuel],AL43,Table9[EnergyRating (group)],AM43,Table9[CountyName (group)],AP$4)</f>
        <v>0</v>
      </c>
      <c r="AQ43" s="1164">
        <f>SUMIFS(Table9[Count of EnergyRating],Table9[MainSpaceHeatingFuel],AL43,Table9[EnergyRating (group)],AM43,Table9[CountyName (group)],AQ$4)</f>
        <v>0</v>
      </c>
      <c r="AR43" s="1164">
        <f>SUMIFS(Table9[Count of EnergyRating],Table9[MainSpaceHeatingFuel],AL43,Table9[EnergyRating (group)],AM43,Table9[CountyName (group)],AR$4)</f>
        <v>0</v>
      </c>
      <c r="AS43" s="1164">
        <f>SUMIFS(Table9[Count of EnergyRating],Table9[MainSpaceHeatingFuel],AL43,Table9[EnergyRating (group)],AM43,Table9[CountyName (group)],AS$4)</f>
        <v>0</v>
      </c>
      <c r="AT43" s="1164">
        <f>SUMIFS(Table9[Count of EnergyRating],Table9[MainSpaceHeatingFuel],AL43,Table9[EnergyRating (group)],AM43,Table9[CountyName (group)],AT$4)</f>
        <v>0</v>
      </c>
      <c r="AU43" s="1164">
        <f>SUMIFS(Table9[Count of EnergyRating],Table9[MainSpaceHeatingFuel],AL43,Table9[EnergyRating (group)],AM43,Table9[CountyName (group)],AU$4)</f>
        <v>0</v>
      </c>
      <c r="AV43" s="1164">
        <f>SUMIFS(Table9[Count of EnergyRating],Table9[MainSpaceHeatingFuel],AL43,Table9[EnergyRating (group)],AM43,Table9[CountyName (group)],AV$4)</f>
        <v>0</v>
      </c>
      <c r="AW43" s="1164">
        <f>SUMIFS(Table9[Count of EnergyRating],Table9[MainSpaceHeatingFuel],AL43,Table9[EnergyRating (group)],AM43,Table9[CountyName (group)],AW$4)</f>
        <v>0</v>
      </c>
      <c r="AX43" s="1164">
        <f>SUMIFS(Table9[Count of EnergyRating],Table9[MainSpaceHeatingFuel],AL43,Table9[EnergyRating (group)],AM43,Table9[CountyName (group)],AX$4)</f>
        <v>0</v>
      </c>
      <c r="AY43" s="1164">
        <f>SUMIFS(Table9[Count of EnergyRating],Table9[MainSpaceHeatingFuel],AL43,Table9[EnergyRating (group)],AM43,Table9[CountyName (group)],AY$4)</f>
        <v>0</v>
      </c>
      <c r="AZ43" s="1164">
        <f>SUMIFS(Table9[Count of EnergyRating],Table9[MainSpaceHeatingFuel],AL43,Table9[EnergyRating (group)],AM43,Table9[CountyName (group)],AZ$4)</f>
        <v>0</v>
      </c>
      <c r="BA43" s="1164">
        <f>SUMIFS(Table9[Count of EnergyRating],Table9[MainSpaceHeatingFuel],AL43,Table9[EnergyRating (group)],AM43,Table9[CountyName (group)],BA$4)</f>
        <v>0</v>
      </c>
      <c r="BB43" s="1164">
        <f>SUMIFS(Table9[Count of EnergyRating],Table9[MainSpaceHeatingFuel],AL43,Table9[EnergyRating (group)],AM43,Table9[CountyName (group)],BB$4)</f>
        <v>0</v>
      </c>
      <c r="BC43" s="1164">
        <f>SUMIFS(Table9[Count of EnergyRating],Table9[MainSpaceHeatingFuel],AL43,Table9[EnergyRating (group)],AM43,Table9[CountyName (group)],BC$4)</f>
        <v>0</v>
      </c>
      <c r="BD43" s="1164">
        <f>SUMIFS(Table9[Count of EnergyRating],Table9[MainSpaceHeatingFuel],AL43,Table9[EnergyRating (group)],AM43,Table9[CountyName (group)],BD$4)</f>
        <v>0</v>
      </c>
      <c r="BE43" s="1164">
        <f>SUMIFS(Table9[Count of EnergyRating],Table9[MainSpaceHeatingFuel],AL43,Table9[EnergyRating (group)],AM43,Table9[CountyName (group)],BE$4)</f>
        <v>0</v>
      </c>
      <c r="BF43" s="1164">
        <f>SUMIFS(Table9[Count of EnergyRating],Table9[MainSpaceHeatingFuel],AL43,Table9[EnergyRating (group)],AM43,Table9[CountyName (group)],BF$4)</f>
        <v>0</v>
      </c>
      <c r="BG43" s="1164">
        <f>SUMIFS(Table9[Count of EnergyRating],Table9[MainSpaceHeatingFuel],AL43,Table9[EnergyRating (group)],AM43,Table9[CountyName (group)],BG$4)</f>
        <v>0</v>
      </c>
      <c r="BH43" s="1164">
        <f>SUMIFS(Table9[Count of EnergyRating],Table9[MainSpaceHeatingFuel],AL43,Table9[EnergyRating (group)],AM43,Table9[CountyName (group)],BH$4)</f>
        <v>0</v>
      </c>
      <c r="BI43" s="1164">
        <f>SUMIFS(Table9[Count of EnergyRating],Table9[MainSpaceHeatingFuel],AL43,Table9[EnergyRating (group)],AM43,Table9[CountyName (group)],BI$4)</f>
        <v>0</v>
      </c>
      <c r="BJ43" s="1164">
        <f>SUMIFS(Table9[Count of EnergyRating],Table9[MainSpaceHeatingFuel],AL43,Table9[EnergyRating (group)],AM43,Table9[CountyName (group)],BJ$4)</f>
        <v>0</v>
      </c>
      <c r="BK43" s="1135">
        <f>SUMIFS(Table9[Count of EnergyRating],Table9[MainSpaceHeatingFuel],AL43,Table9[EnergyRating (group)],AM43,Table9[CountyName (group)],BK$4)</f>
        <v>0</v>
      </c>
      <c r="BL43" s="1164">
        <f>SUMIFS(Table9[Count of EnergyRating],Table9[MainSpaceHeatingFuel],AL43,Table9[EnergyRating (group)],AM43,Table9[CountyName (group)],BL$4)</f>
        <v>0</v>
      </c>
      <c r="BM43" s="1164">
        <f>SUMIFS(Table9[Count of EnergyRating],Table9[MainSpaceHeatingFuel],AL43,Table9[EnergyRating (group)],AM43,Table9[CountyName (group)],BM$4)</f>
        <v>0</v>
      </c>
    </row>
    <row r="44" spans="2:65" ht="15">
      <c r="B44" s="1136" t="s">
        <v>56</v>
      </c>
      <c r="C44" s="1136" t="s">
        <v>1178</v>
      </c>
      <c r="D44" s="1136" t="s">
        <v>1094</v>
      </c>
      <c r="E44" s="1146">
        <f t="shared" ref="E44:AA44" si="83">IFERROR(G164*((SUM(AN$49)/SUM(AN$45:AN$53))/(SUM(G$164)/SUM(G$163:G$168))),G164)</f>
        <v>3.6393524209182714E-6</v>
      </c>
      <c r="F44" s="1146">
        <f t="shared" si="83"/>
        <v>0</v>
      </c>
      <c r="G44" s="1146">
        <f t="shared" si="83"/>
        <v>2.1819500674534857E-5</v>
      </c>
      <c r="H44" s="1146">
        <f t="shared" si="83"/>
        <v>5.3595504131290047E-6</v>
      </c>
      <c r="I44" s="1146">
        <f t="shared" si="83"/>
        <v>3.4579993258412585E-6</v>
      </c>
      <c r="J44" s="1146">
        <f t="shared" si="83"/>
        <v>1.4097038564697338E-6</v>
      </c>
      <c r="K44" s="1146">
        <f t="shared" si="83"/>
        <v>8.9287274897826498E-6</v>
      </c>
      <c r="L44" s="1146">
        <f t="shared" si="83"/>
        <v>1.7023338318485937E-5</v>
      </c>
      <c r="M44" s="1146">
        <f t="shared" si="83"/>
        <v>2.3867204248882774E-6</v>
      </c>
      <c r="N44" s="1146">
        <f t="shared" si="83"/>
        <v>6.4965440483694123E-6</v>
      </c>
      <c r="O44" s="1146">
        <f t="shared" si="83"/>
        <v>5.4568952994847521E-6</v>
      </c>
      <c r="P44" s="1146">
        <f t="shared" si="83"/>
        <v>1.1510128585464752E-5</v>
      </c>
      <c r="Q44" s="1146">
        <f t="shared" si="83"/>
        <v>5.685294358943253E-6</v>
      </c>
      <c r="R44" s="1146">
        <f t="shared" si="83"/>
        <v>4.3194426282892489E-5</v>
      </c>
      <c r="S44" s="1146">
        <f t="shared" si="83"/>
        <v>7.2418362119961853E-6</v>
      </c>
      <c r="T44" s="1146">
        <f t="shared" si="83"/>
        <v>2.4350364472086384E-5</v>
      </c>
      <c r="U44" s="1146">
        <f t="shared" si="83"/>
        <v>3.5009905452384562E-6</v>
      </c>
      <c r="V44" s="1146">
        <f t="shared" si="83"/>
        <v>7.2510709404458222E-6</v>
      </c>
      <c r="W44" s="1146">
        <f t="shared" si="83"/>
        <v>2.2620171214747024E-5</v>
      </c>
      <c r="X44" s="1146">
        <f t="shared" si="83"/>
        <v>1.4766075090534387E-6</v>
      </c>
      <c r="Y44" s="1146">
        <f t="shared" si="83"/>
        <v>4.7194930880985741E-6</v>
      </c>
      <c r="Z44" s="1146">
        <f t="shared" si="83"/>
        <v>1.5758560084132817E-6</v>
      </c>
      <c r="AA44" s="1146">
        <f t="shared" si="83"/>
        <v>3.2236606203929496E-6</v>
      </c>
      <c r="AB44" s="1146">
        <f>IFERROR(AD164*((SUM(BK$49)/SUM(BK$45:BK$53))/(SUM(AD$164)/SUM(AD$163:AD$168))),AD164)</f>
        <v>2.7289831234616579E-6</v>
      </c>
      <c r="AC44" s="1146">
        <f>IFERROR(AE164*((SUM(BL$49)/SUM(BL$45:BL$53))/(SUM(AE$164)/SUM(AE$163:AE$168))),AE164)</f>
        <v>6.6603897862621311E-6</v>
      </c>
      <c r="AD44" s="1146">
        <f>IFERROR(AF164*((SUM(BM$49)/SUM(BM$45:BM$53))/(SUM(AF$164)/SUM(AF$163:AF$168))),AF164)</f>
        <v>2.0599754931565462E-6</v>
      </c>
      <c r="AE44" s="1173">
        <f t="shared" si="5"/>
        <v>2.2377758051255706E-4</v>
      </c>
      <c r="AG44" s="58" t="s">
        <v>1163</v>
      </c>
      <c r="AH44" s="1158">
        <f>SUM(E43:AD48)</f>
        <v>1.5708143381447E-3</v>
      </c>
      <c r="AI44" s="1140">
        <f>'SHWLP-Apt'!S9</f>
        <v>1.5708143381447E-3</v>
      </c>
      <c r="AJ44" s="1160">
        <f>IFERROR((AI44-AH44)/AI44,"N/A")</f>
        <v>0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</row>
    <row r="45" spans="2:65" ht="15">
      <c r="B45" s="1134" t="s">
        <v>58</v>
      </c>
      <c r="C45" s="1134" t="s">
        <v>1178</v>
      </c>
      <c r="D45" s="1134" t="s">
        <v>1094</v>
      </c>
      <c r="E45" s="1145">
        <f t="shared" ref="E45:AA45" si="84">IFERROR(G165*((SUM(AN$50)/SUM(AN$45:AN$53))/(SUM(G$165)/SUM(G$163:G$168))),G165)</f>
        <v>2.5811711463577957E-6</v>
      </c>
      <c r="F45" s="1145">
        <f t="shared" si="84"/>
        <v>0</v>
      </c>
      <c r="G45" s="1145">
        <f t="shared" si="84"/>
        <v>1.2257272944245825E-5</v>
      </c>
      <c r="H45" s="1145">
        <f t="shared" si="84"/>
        <v>2.6674826597453993E-6</v>
      </c>
      <c r="I45" s="1145">
        <f t="shared" si="84"/>
        <v>2.899866101319512E-6</v>
      </c>
      <c r="J45" s="1145">
        <f t="shared" si="84"/>
        <v>1.977131823853777E-6</v>
      </c>
      <c r="K45" s="1145">
        <f t="shared" si="84"/>
        <v>3.8410757305648399E-6</v>
      </c>
      <c r="L45" s="1145">
        <f t="shared" si="84"/>
        <v>8.3948932104118922E-6</v>
      </c>
      <c r="M45" s="1145">
        <f t="shared" si="84"/>
        <v>2.7143095028141193E-6</v>
      </c>
      <c r="N45" s="1145">
        <f t="shared" si="84"/>
        <v>6.5064022335717939E-6</v>
      </c>
      <c r="O45" s="1145">
        <f t="shared" si="84"/>
        <v>5.967908906125465E-6</v>
      </c>
      <c r="P45" s="1145">
        <f t="shared" si="84"/>
        <v>7.0820982335894225E-6</v>
      </c>
      <c r="Q45" s="1145">
        <f t="shared" si="84"/>
        <v>5.1511056272304648E-6</v>
      </c>
      <c r="R45" s="1145">
        <f t="shared" si="84"/>
        <v>2.5269881449106597E-5</v>
      </c>
      <c r="S45" s="1145">
        <f t="shared" si="84"/>
        <v>6.3679817781994691E-6</v>
      </c>
      <c r="T45" s="1145">
        <f t="shared" si="84"/>
        <v>1.445715391616014E-5</v>
      </c>
      <c r="U45" s="1145">
        <f t="shared" si="84"/>
        <v>6.001698077551638E-6</v>
      </c>
      <c r="V45" s="1145">
        <f t="shared" si="84"/>
        <v>7.4592356564394808E-6</v>
      </c>
      <c r="W45" s="1145">
        <f t="shared" si="84"/>
        <v>2.3413319294681235E-5</v>
      </c>
      <c r="X45" s="1145">
        <f t="shared" si="84"/>
        <v>1.514469240054809E-6</v>
      </c>
      <c r="Y45" s="1145">
        <f t="shared" si="84"/>
        <v>5.5980134464892177E-6</v>
      </c>
      <c r="Z45" s="1145">
        <f t="shared" si="84"/>
        <v>1.4714318150846905E-6</v>
      </c>
      <c r="AA45" s="1145">
        <f t="shared" si="84"/>
        <v>4.2135523664530059E-6</v>
      </c>
      <c r="AB45" s="1145">
        <f>IFERROR(AD165*((SUM(BK$50)/SUM(BK$45:BK$53))/(SUM(AD$165)/SUM(AD$163:AD$168))),AD165)</f>
        <v>2.8439977378604253E-6</v>
      </c>
      <c r="AC45" s="1145">
        <f>IFERROR(AE165*((SUM(BL$50)/SUM(BL$45:BL$53))/(SUM(AE$165)/SUM(AE$163:AE$168))),AE165)</f>
        <v>4.126730058409234E-6</v>
      </c>
      <c r="AD45" s="1145">
        <f>IFERROR(AF165*((SUM(BM$50)/SUM(BM$45:BM$53))/(SUM(AF$165)/SUM(AF$163:AF$168))),AF165)</f>
        <v>1.6720580301595343E-6</v>
      </c>
      <c r="AE45" s="1172">
        <f t="shared" si="5"/>
        <v>1.664502409864798E-4</v>
      </c>
      <c r="AG45" s="58" t="s">
        <v>1107</v>
      </c>
      <c r="AH45" s="1158">
        <f>SUM(E50:AD50)</f>
        <v>4.7348534457405354E-3</v>
      </c>
      <c r="AI45" s="1140">
        <f>'SHWLP-Apt'!S35</f>
        <v>4.7348534457405363E-3</v>
      </c>
      <c r="AJ45" s="1160">
        <f>(AI45-AH45)/AI45</f>
        <v>1.8318660713114158E-16</v>
      </c>
      <c r="AL45" s="1144" t="s">
        <v>399</v>
      </c>
      <c r="AM45" s="1144" t="s">
        <v>48</v>
      </c>
      <c r="AN45" s="1135">
        <f>SUMIFS(Table9[Count of EnergyRating],Table9[MainSpaceHeatingFuel],AL45,Table9[EnergyRating (group)],AM45,Table9[CountyName (group)],AN$4)</f>
        <v>0</v>
      </c>
      <c r="AO45" s="1164">
        <f>SUMIFS(Table9[Count of EnergyRating],Table9[MainSpaceHeatingFuel],AL45,Table9[EnergyRating (group)],AM45,Table9[CountyName (group)],AO$4)</f>
        <v>1</v>
      </c>
      <c r="AP45" s="1164">
        <f>SUMIFS(Table9[Count of EnergyRating],Table9[MainSpaceHeatingFuel],AL45,Table9[EnergyRating (group)],AM45,Table9[CountyName (group)],AP$4)</f>
        <v>0</v>
      </c>
      <c r="AQ45" s="1164">
        <f>SUMIFS(Table9[Count of EnergyRating],Table9[MainSpaceHeatingFuel],AL45,Table9[EnergyRating (group)],AM45,Table9[CountyName (group)],AQ$4)</f>
        <v>0</v>
      </c>
      <c r="AR45" s="1164">
        <f>SUMIFS(Table9[Count of EnergyRating],Table9[MainSpaceHeatingFuel],AL45,Table9[EnergyRating (group)],AM45,Table9[CountyName (group)],AR$4)</f>
        <v>0</v>
      </c>
      <c r="AS45" s="1164">
        <f>SUMIFS(Table9[Count of EnergyRating],Table9[MainSpaceHeatingFuel],AL45,Table9[EnergyRating (group)],AM45,Table9[CountyName (group)],AS$4)</f>
        <v>0</v>
      </c>
      <c r="AT45" s="1164">
        <f>SUMIFS(Table9[Count of EnergyRating],Table9[MainSpaceHeatingFuel],AL45,Table9[EnergyRating (group)],AM45,Table9[CountyName (group)],AT$4)</f>
        <v>0</v>
      </c>
      <c r="AU45" s="1164">
        <f>SUMIFS(Table9[Count of EnergyRating],Table9[MainSpaceHeatingFuel],AL45,Table9[EnergyRating (group)],AM45,Table9[CountyName (group)],AU$4)</f>
        <v>0</v>
      </c>
      <c r="AV45" s="1164">
        <f>SUMIFS(Table9[Count of EnergyRating],Table9[MainSpaceHeatingFuel],AL45,Table9[EnergyRating (group)],AM45,Table9[CountyName (group)],AV$4)</f>
        <v>0</v>
      </c>
      <c r="AW45" s="1164">
        <f>SUMIFS(Table9[Count of EnergyRating],Table9[MainSpaceHeatingFuel],AL45,Table9[EnergyRating (group)],AM45,Table9[CountyName (group)],AW$4)</f>
        <v>0</v>
      </c>
      <c r="AX45" s="1164">
        <f>SUMIFS(Table9[Count of EnergyRating],Table9[MainSpaceHeatingFuel],AL45,Table9[EnergyRating (group)],AM45,Table9[CountyName (group)],AX$4)</f>
        <v>0</v>
      </c>
      <c r="AY45" s="1164">
        <f>SUMIFS(Table9[Count of EnergyRating],Table9[MainSpaceHeatingFuel],AL45,Table9[EnergyRating (group)],AM45,Table9[CountyName (group)],AY$4)</f>
        <v>0</v>
      </c>
      <c r="AZ45" s="1164">
        <f>SUMIFS(Table9[Count of EnergyRating],Table9[MainSpaceHeatingFuel],AL45,Table9[EnergyRating (group)],AM45,Table9[CountyName (group)],AZ$4)</f>
        <v>0</v>
      </c>
      <c r="BA45" s="1164">
        <f>SUMIFS(Table9[Count of EnergyRating],Table9[MainSpaceHeatingFuel],AL45,Table9[EnergyRating (group)],AM45,Table9[CountyName (group)],BA$4)</f>
        <v>0</v>
      </c>
      <c r="BB45" s="1164">
        <f>SUMIFS(Table9[Count of EnergyRating],Table9[MainSpaceHeatingFuel],AL45,Table9[EnergyRating (group)],AM45,Table9[CountyName (group)],BB$4)</f>
        <v>0</v>
      </c>
      <c r="BC45" s="1164">
        <f>SUMIFS(Table9[Count of EnergyRating],Table9[MainSpaceHeatingFuel],AL45,Table9[EnergyRating (group)],AM45,Table9[CountyName (group)],BC$4)</f>
        <v>0</v>
      </c>
      <c r="BD45" s="1164">
        <f>SUMIFS(Table9[Count of EnergyRating],Table9[MainSpaceHeatingFuel],AL45,Table9[EnergyRating (group)],AM45,Table9[CountyName (group)],BD$4)</f>
        <v>0</v>
      </c>
      <c r="BE45" s="1164">
        <f>SUMIFS(Table9[Count of EnergyRating],Table9[MainSpaceHeatingFuel],AL45,Table9[EnergyRating (group)],AM45,Table9[CountyName (group)],BE$4)</f>
        <v>0</v>
      </c>
      <c r="BF45" s="1164">
        <f>SUMIFS(Table9[Count of EnergyRating],Table9[MainSpaceHeatingFuel],AL45,Table9[EnergyRating (group)],AM45,Table9[CountyName (group)],BF$4)</f>
        <v>0</v>
      </c>
      <c r="BG45" s="1164">
        <f>SUMIFS(Table9[Count of EnergyRating],Table9[MainSpaceHeatingFuel],AL45,Table9[EnergyRating (group)],AM45,Table9[CountyName (group)],BG$4)</f>
        <v>0</v>
      </c>
      <c r="BH45" s="1164">
        <f>SUMIFS(Table9[Count of EnergyRating],Table9[MainSpaceHeatingFuel],AL45,Table9[EnergyRating (group)],AM45,Table9[CountyName (group)],BH$4)</f>
        <v>0</v>
      </c>
      <c r="BI45" s="1164">
        <f>SUMIFS(Table9[Count of EnergyRating],Table9[MainSpaceHeatingFuel],AL45,Table9[EnergyRating (group)],AM45,Table9[CountyName (group)],BI$4)</f>
        <v>0</v>
      </c>
      <c r="BJ45" s="1164">
        <f>SUMIFS(Table9[Count of EnergyRating],Table9[MainSpaceHeatingFuel],AL45,Table9[EnergyRating (group)],AM45,Table9[CountyName (group)],BJ$4)</f>
        <v>0</v>
      </c>
      <c r="BK45" s="1135">
        <f>SUMIFS(Table9[Count of EnergyRating],Table9[MainSpaceHeatingFuel],AL45,Table9[EnergyRating (group)],AM45,Table9[CountyName (group)],BK$4)</f>
        <v>0</v>
      </c>
      <c r="BL45" s="1164">
        <f>SUMIFS(Table9[Count of EnergyRating],Table9[MainSpaceHeatingFuel],AL45,Table9[EnergyRating (group)],AM45,Table9[CountyName (group)],BL$4)</f>
        <v>0</v>
      </c>
      <c r="BM45" s="1164">
        <f>SUMIFS(Table9[Count of EnergyRating],Table9[MainSpaceHeatingFuel],AL45,Table9[EnergyRating (group)],AM45,Table9[CountyName (group)],BM$4)</f>
        <v>0</v>
      </c>
    </row>
    <row r="46" spans="2:65">
      <c r="B46" s="1136" t="s">
        <v>60</v>
      </c>
      <c r="C46" s="1136" t="s">
        <v>1178</v>
      </c>
      <c r="D46" s="1136" t="s">
        <v>1094</v>
      </c>
      <c r="E46" s="1146">
        <f t="shared" ref="E46:AA46" si="85">IFERROR(G166*((SUM(AN$51)/SUM(AN$45:AN$53))/(SUM(G$166)/SUM(G$163:G$168))),G166)</f>
        <v>1.3350885239781703E-6</v>
      </c>
      <c r="F46" s="1146">
        <f t="shared" si="85"/>
        <v>0</v>
      </c>
      <c r="G46" s="1146">
        <f t="shared" si="85"/>
        <v>6.802397775612113E-6</v>
      </c>
      <c r="H46" s="1146">
        <f t="shared" si="85"/>
        <v>1.2415472287294255E-6</v>
      </c>
      <c r="I46" s="1146">
        <f t="shared" si="85"/>
        <v>1.128399780011358E-6</v>
      </c>
      <c r="J46" s="1146">
        <f t="shared" si="85"/>
        <v>8.5114195107606559E-7</v>
      </c>
      <c r="K46" s="1146">
        <f t="shared" si="85"/>
        <v>2.2093786524093274E-6</v>
      </c>
      <c r="L46" s="1146">
        <f t="shared" si="85"/>
        <v>3.5032784649323201E-6</v>
      </c>
      <c r="M46" s="1146">
        <f t="shared" si="85"/>
        <v>1.4975500705181347E-6</v>
      </c>
      <c r="N46" s="1146">
        <f t="shared" si="85"/>
        <v>2.9673137459168333E-6</v>
      </c>
      <c r="O46" s="1146">
        <f t="shared" si="85"/>
        <v>3.9694806944412494E-6</v>
      </c>
      <c r="P46" s="1146">
        <f t="shared" si="85"/>
        <v>3.1353755286570653E-6</v>
      </c>
      <c r="Q46" s="1146">
        <f t="shared" si="85"/>
        <v>3.3863749956792865E-6</v>
      </c>
      <c r="R46" s="1146">
        <f t="shared" si="85"/>
        <v>1.4426193025179789E-5</v>
      </c>
      <c r="S46" s="1146">
        <f t="shared" si="85"/>
        <v>3.0306015469971201E-6</v>
      </c>
      <c r="T46" s="1146">
        <f t="shared" si="85"/>
        <v>5.9359263335557458E-6</v>
      </c>
      <c r="U46" s="1146">
        <f t="shared" si="85"/>
        <v>3.3898479882467595E-6</v>
      </c>
      <c r="V46" s="1146">
        <f t="shared" si="85"/>
        <v>3.9724766635456775E-6</v>
      </c>
      <c r="W46" s="1146">
        <f t="shared" si="85"/>
        <v>1.2834578020753548E-5</v>
      </c>
      <c r="X46" s="1146">
        <f t="shared" si="85"/>
        <v>4.9977484921808694E-7</v>
      </c>
      <c r="Y46" s="1146">
        <f t="shared" si="85"/>
        <v>2.3188851320311177E-6</v>
      </c>
      <c r="Z46" s="1146">
        <f t="shared" si="85"/>
        <v>8.1640732965989281E-7</v>
      </c>
      <c r="AA46" s="1146">
        <f t="shared" si="85"/>
        <v>2.8068640957360827E-6</v>
      </c>
      <c r="AB46" s="1146">
        <f>IFERROR(AD166*((SUM(BK$51)/SUM(BK$45:BK$53))/(SUM(AD$166)/SUM(AD$163:AD$168))),AD166)</f>
        <v>1.4219988689302127E-6</v>
      </c>
      <c r="AC46" s="1146">
        <f>IFERROR(AE166*((SUM(BL$51)/SUM(BL$45:BL$53))/(SUM(AE$166)/SUM(AE$163:AE$168))),AE166)</f>
        <v>2.4489219443126665E-6</v>
      </c>
      <c r="AD46" s="1146">
        <f>IFERROR(AF166*((SUM(BM$51)/SUM(BM$45:BM$53))/(SUM(AF$166)/SUM(AF$163:AF$168))),AF166)</f>
        <v>1.1503759247497596E-6</v>
      </c>
      <c r="AE46" s="1173">
        <f t="shared" si="5"/>
        <v>8.7080179134877802E-5</v>
      </c>
      <c r="AG46" s="1164"/>
      <c r="AL46" s="1144" t="s">
        <v>399</v>
      </c>
      <c r="AM46" s="1144" t="s">
        <v>50</v>
      </c>
      <c r="AN46" s="1135">
        <f>SUMIFS(Table9[Count of EnergyRating],Table9[MainSpaceHeatingFuel],AL46,Table9[EnergyRating (group)],AM46,Table9[CountyName (group)],AN$4)</f>
        <v>0</v>
      </c>
      <c r="AO46" s="1164">
        <f>SUMIFS(Table9[Count of EnergyRating],Table9[MainSpaceHeatingFuel],AL46,Table9[EnergyRating (group)],AM46,Table9[CountyName (group)],AO$4)</f>
        <v>0</v>
      </c>
      <c r="AP46" s="1164">
        <f>SUMIFS(Table9[Count of EnergyRating],Table9[MainSpaceHeatingFuel],AL46,Table9[EnergyRating (group)],AM46,Table9[CountyName (group)],AP$4)</f>
        <v>0</v>
      </c>
      <c r="AQ46" s="1164">
        <f>SUMIFS(Table9[Count of EnergyRating],Table9[MainSpaceHeatingFuel],AL46,Table9[EnergyRating (group)],AM46,Table9[CountyName (group)],AQ$4)</f>
        <v>0</v>
      </c>
      <c r="AR46" s="1164">
        <f>SUMIFS(Table9[Count of EnergyRating],Table9[MainSpaceHeatingFuel],AL46,Table9[EnergyRating (group)],AM46,Table9[CountyName (group)],AR$4)</f>
        <v>0</v>
      </c>
      <c r="AS46" s="1164">
        <f>SUMIFS(Table9[Count of EnergyRating],Table9[MainSpaceHeatingFuel],AL46,Table9[EnergyRating (group)],AM46,Table9[CountyName (group)],AS$4)</f>
        <v>0</v>
      </c>
      <c r="AT46" s="1164">
        <f>SUMIFS(Table9[Count of EnergyRating],Table9[MainSpaceHeatingFuel],AL46,Table9[EnergyRating (group)],AM46,Table9[CountyName (group)],AT$4)</f>
        <v>0</v>
      </c>
      <c r="AU46" s="1164">
        <f>SUMIFS(Table9[Count of EnergyRating],Table9[MainSpaceHeatingFuel],AL46,Table9[EnergyRating (group)],AM46,Table9[CountyName (group)],AU$4)</f>
        <v>0</v>
      </c>
      <c r="AV46" s="1164">
        <f>SUMIFS(Table9[Count of EnergyRating],Table9[MainSpaceHeatingFuel],AL46,Table9[EnergyRating (group)],AM46,Table9[CountyName (group)],AV$4)</f>
        <v>0</v>
      </c>
      <c r="AW46" s="1164">
        <f>SUMIFS(Table9[Count of EnergyRating],Table9[MainSpaceHeatingFuel],AL46,Table9[EnergyRating (group)],AM46,Table9[CountyName (group)],AW$4)</f>
        <v>0</v>
      </c>
      <c r="AX46" s="1164">
        <f>SUMIFS(Table9[Count of EnergyRating],Table9[MainSpaceHeatingFuel],AL46,Table9[EnergyRating (group)],AM46,Table9[CountyName (group)],AX$4)</f>
        <v>0</v>
      </c>
      <c r="AY46" s="1164">
        <f>SUMIFS(Table9[Count of EnergyRating],Table9[MainSpaceHeatingFuel],AL46,Table9[EnergyRating (group)],AM46,Table9[CountyName (group)],AY$4)</f>
        <v>0</v>
      </c>
      <c r="AZ46" s="1164">
        <f>SUMIFS(Table9[Count of EnergyRating],Table9[MainSpaceHeatingFuel],AL46,Table9[EnergyRating (group)],AM46,Table9[CountyName (group)],AZ$4)</f>
        <v>0</v>
      </c>
      <c r="BA46" s="1164">
        <f>SUMIFS(Table9[Count of EnergyRating],Table9[MainSpaceHeatingFuel],AL46,Table9[EnergyRating (group)],AM46,Table9[CountyName (group)],BA$4)</f>
        <v>0</v>
      </c>
      <c r="BB46" s="1164">
        <f>SUMIFS(Table9[Count of EnergyRating],Table9[MainSpaceHeatingFuel],AL46,Table9[EnergyRating (group)],AM46,Table9[CountyName (group)],BB$4)</f>
        <v>0</v>
      </c>
      <c r="BC46" s="1164">
        <f>SUMIFS(Table9[Count of EnergyRating],Table9[MainSpaceHeatingFuel],AL46,Table9[EnergyRating (group)],AM46,Table9[CountyName (group)],BC$4)</f>
        <v>0</v>
      </c>
      <c r="BD46" s="1164">
        <f>SUMIFS(Table9[Count of EnergyRating],Table9[MainSpaceHeatingFuel],AL46,Table9[EnergyRating (group)],AM46,Table9[CountyName (group)],BD$4)</f>
        <v>0</v>
      </c>
      <c r="BE46" s="1164">
        <f>SUMIFS(Table9[Count of EnergyRating],Table9[MainSpaceHeatingFuel],AL46,Table9[EnergyRating (group)],AM46,Table9[CountyName (group)],BE$4)</f>
        <v>0</v>
      </c>
      <c r="BF46" s="1164">
        <f>SUMIFS(Table9[Count of EnergyRating],Table9[MainSpaceHeatingFuel],AL46,Table9[EnergyRating (group)],AM46,Table9[CountyName (group)],BF$4)</f>
        <v>0</v>
      </c>
      <c r="BG46" s="1164">
        <f>SUMIFS(Table9[Count of EnergyRating],Table9[MainSpaceHeatingFuel],AL46,Table9[EnergyRating (group)],AM46,Table9[CountyName (group)],BG$4)</f>
        <v>0</v>
      </c>
      <c r="BH46" s="1164">
        <f>SUMIFS(Table9[Count of EnergyRating],Table9[MainSpaceHeatingFuel],AL46,Table9[EnergyRating (group)],AM46,Table9[CountyName (group)],BH$4)</f>
        <v>0</v>
      </c>
      <c r="BI46" s="1164">
        <f>SUMIFS(Table9[Count of EnergyRating],Table9[MainSpaceHeatingFuel],AL46,Table9[EnergyRating (group)],AM46,Table9[CountyName (group)],BI$4)</f>
        <v>0</v>
      </c>
      <c r="BJ46" s="1164">
        <f>SUMIFS(Table9[Count of EnergyRating],Table9[MainSpaceHeatingFuel],AL46,Table9[EnergyRating (group)],AM46,Table9[CountyName (group)],BJ$4)</f>
        <v>0</v>
      </c>
      <c r="BK46" s="1135">
        <f>SUMIFS(Table9[Count of EnergyRating],Table9[MainSpaceHeatingFuel],AL46,Table9[EnergyRating (group)],AM46,Table9[CountyName (group)],BK$4)</f>
        <v>0</v>
      </c>
      <c r="BL46" s="1164">
        <f>SUMIFS(Table9[Count of EnergyRating],Table9[MainSpaceHeatingFuel],AL46,Table9[EnergyRating (group)],AM46,Table9[CountyName (group)],BL$4)</f>
        <v>0</v>
      </c>
      <c r="BM46" s="1164">
        <f>SUMIFS(Table9[Count of EnergyRating],Table9[MainSpaceHeatingFuel],AL46,Table9[EnergyRating (group)],AM46,Table9[CountyName (group)],BM$4)</f>
        <v>0</v>
      </c>
    </row>
    <row r="47" spans="2:65">
      <c r="B47" s="1134" t="s">
        <v>62</v>
      </c>
      <c r="C47" s="1134" t="s">
        <v>1178</v>
      </c>
      <c r="D47" s="1134" t="s">
        <v>1094</v>
      </c>
      <c r="E47" s="1145">
        <f t="shared" ref="E47:AA47" si="86">IFERROR(G167*((SUM(AN$52)/SUM(AN$45:AN$53))/(SUM(G$167)/SUM(G$163:G$168))),G167)</f>
        <v>5.1425632034714697E-7</v>
      </c>
      <c r="F47" s="1145">
        <f t="shared" si="86"/>
        <v>0</v>
      </c>
      <c r="G47" s="1145">
        <f t="shared" si="86"/>
        <v>2.2285950807719685E-6</v>
      </c>
      <c r="H47" s="1145">
        <f t="shared" si="86"/>
        <v>5.2857951322143847E-7</v>
      </c>
      <c r="I47" s="1145">
        <f t="shared" si="86"/>
        <v>3.8826659097165006E-7</v>
      </c>
      <c r="J47" s="1145">
        <f t="shared" si="86"/>
        <v>2.2165154975939207E-7</v>
      </c>
      <c r="K47" s="1145">
        <f t="shared" si="86"/>
        <v>8.4118545022923945E-7</v>
      </c>
      <c r="L47" s="1145">
        <f t="shared" si="86"/>
        <v>9.0825737979726799E-7</v>
      </c>
      <c r="M47" s="1145">
        <f t="shared" si="86"/>
        <v>6.9027698562945277E-7</v>
      </c>
      <c r="N47" s="1145">
        <f t="shared" si="86"/>
        <v>1.1336912982738733E-6</v>
      </c>
      <c r="O47" s="1145">
        <f t="shared" si="86"/>
        <v>1.2045320727959655E-6</v>
      </c>
      <c r="P47" s="1145">
        <f t="shared" si="86"/>
        <v>1.1276350585521023E-6</v>
      </c>
      <c r="Q47" s="1145">
        <f t="shared" si="86"/>
        <v>9.0621302701276673E-7</v>
      </c>
      <c r="R47" s="1145">
        <f t="shared" si="86"/>
        <v>5.5059970046102864E-6</v>
      </c>
      <c r="S47" s="1145">
        <f t="shared" si="86"/>
        <v>9.2033605261568985E-7</v>
      </c>
      <c r="T47" s="1145">
        <f t="shared" si="86"/>
        <v>1.9973085461964301E-6</v>
      </c>
      <c r="U47" s="1145">
        <f t="shared" si="86"/>
        <v>1.403174782020175E-6</v>
      </c>
      <c r="V47" s="1145">
        <f t="shared" si="86"/>
        <v>1.0841912291336457E-6</v>
      </c>
      <c r="W47" s="1145">
        <f t="shared" si="86"/>
        <v>3.502212301008191E-6</v>
      </c>
      <c r="X47" s="1145">
        <f t="shared" si="86"/>
        <v>1.8930865500685113E-7</v>
      </c>
      <c r="Y47" s="1145">
        <f t="shared" si="86"/>
        <v>8.8873571139518609E-7</v>
      </c>
      <c r="Z47" s="1145">
        <f t="shared" si="86"/>
        <v>2.4682082059485127E-7</v>
      </c>
      <c r="AA47" s="1145">
        <f t="shared" si="86"/>
        <v>4.8192098163450145E-7</v>
      </c>
      <c r="AB47" s="1145">
        <f>IFERROR(AD167*((SUM(BK$52)/SUM(BK$45:BK$53))/(SUM(AD$167)/SUM(AD$163:AD$168))),AD167)</f>
        <v>5.227937018125782E-7</v>
      </c>
      <c r="AC47" s="1145">
        <f>IFERROR(AE167*((SUM(BL$52)/SUM(BL$45:BL$53))/(SUM(AE$167)/SUM(AE$163:AE$168))),AE167)</f>
        <v>8.3890405704828366E-7</v>
      </c>
      <c r="AD47" s="1145">
        <f>IFERROR(AF167*((SUM(BM$52)/SUM(BM$45:BM$53))/(SUM(AF$167)/SUM(AF$163:AF$168))),AF167)</f>
        <v>4.8155271268594587E-7</v>
      </c>
      <c r="AE47" s="1172">
        <f t="shared" si="5"/>
        <v>2.8756396883124879E-5</v>
      </c>
      <c r="AG47" s="1164"/>
      <c r="AL47" s="1144" t="s">
        <v>399</v>
      </c>
      <c r="AM47" s="1144" t="s">
        <v>52</v>
      </c>
      <c r="AN47" s="1135">
        <f>SUMIFS(Table9[Count of EnergyRating],Table9[MainSpaceHeatingFuel],AL47,Table9[EnergyRating (group)],AM47,Table9[CountyName (group)],AN$4)</f>
        <v>0</v>
      </c>
      <c r="AO47" s="1164">
        <f>SUMIFS(Table9[Count of EnergyRating],Table9[MainSpaceHeatingFuel],AL47,Table9[EnergyRating (group)],AM47,Table9[CountyName (group)],AO$4)</f>
        <v>0</v>
      </c>
      <c r="AP47" s="1164">
        <f>SUMIFS(Table9[Count of EnergyRating],Table9[MainSpaceHeatingFuel],AL47,Table9[EnergyRating (group)],AM47,Table9[CountyName (group)],AP$4)</f>
        <v>0</v>
      </c>
      <c r="AQ47" s="1164">
        <f>SUMIFS(Table9[Count of EnergyRating],Table9[MainSpaceHeatingFuel],AL47,Table9[EnergyRating (group)],AM47,Table9[CountyName (group)],AQ$4)</f>
        <v>0</v>
      </c>
      <c r="AR47" s="1164">
        <f>SUMIFS(Table9[Count of EnergyRating],Table9[MainSpaceHeatingFuel],AL47,Table9[EnergyRating (group)],AM47,Table9[CountyName (group)],AR$4)</f>
        <v>0</v>
      </c>
      <c r="AS47" s="1164">
        <f>SUMIFS(Table9[Count of EnergyRating],Table9[MainSpaceHeatingFuel],AL47,Table9[EnergyRating (group)],AM47,Table9[CountyName (group)],AS$4)</f>
        <v>0</v>
      </c>
      <c r="AT47" s="1164">
        <f>SUMIFS(Table9[Count of EnergyRating],Table9[MainSpaceHeatingFuel],AL47,Table9[EnergyRating (group)],AM47,Table9[CountyName (group)],AT$4)</f>
        <v>0</v>
      </c>
      <c r="AU47" s="1164">
        <f>SUMIFS(Table9[Count of EnergyRating],Table9[MainSpaceHeatingFuel],AL47,Table9[EnergyRating (group)],AM47,Table9[CountyName (group)],AU$4)</f>
        <v>0</v>
      </c>
      <c r="AV47" s="1164">
        <f>SUMIFS(Table9[Count of EnergyRating],Table9[MainSpaceHeatingFuel],AL47,Table9[EnergyRating (group)],AM47,Table9[CountyName (group)],AV$4)</f>
        <v>0</v>
      </c>
      <c r="AW47" s="1164">
        <f>SUMIFS(Table9[Count of EnergyRating],Table9[MainSpaceHeatingFuel],AL47,Table9[EnergyRating (group)],AM47,Table9[CountyName (group)],AW$4)</f>
        <v>0</v>
      </c>
      <c r="AX47" s="1164">
        <f>SUMIFS(Table9[Count of EnergyRating],Table9[MainSpaceHeatingFuel],AL47,Table9[EnergyRating (group)],AM47,Table9[CountyName (group)],AX$4)</f>
        <v>0</v>
      </c>
      <c r="AY47" s="1164">
        <f>SUMIFS(Table9[Count of EnergyRating],Table9[MainSpaceHeatingFuel],AL47,Table9[EnergyRating (group)],AM47,Table9[CountyName (group)],AY$4)</f>
        <v>0</v>
      </c>
      <c r="AZ47" s="1164">
        <f>SUMIFS(Table9[Count of EnergyRating],Table9[MainSpaceHeatingFuel],AL47,Table9[EnergyRating (group)],AM47,Table9[CountyName (group)],AZ$4)</f>
        <v>0</v>
      </c>
      <c r="BA47" s="1164">
        <f>SUMIFS(Table9[Count of EnergyRating],Table9[MainSpaceHeatingFuel],AL47,Table9[EnergyRating (group)],AM47,Table9[CountyName (group)],BA$4)</f>
        <v>0</v>
      </c>
      <c r="BB47" s="1164">
        <f>SUMIFS(Table9[Count of EnergyRating],Table9[MainSpaceHeatingFuel],AL47,Table9[EnergyRating (group)],AM47,Table9[CountyName (group)],BB$4)</f>
        <v>0</v>
      </c>
      <c r="BC47" s="1164">
        <f>SUMIFS(Table9[Count of EnergyRating],Table9[MainSpaceHeatingFuel],AL47,Table9[EnergyRating (group)],AM47,Table9[CountyName (group)],BC$4)</f>
        <v>0</v>
      </c>
      <c r="BD47" s="1164">
        <f>SUMIFS(Table9[Count of EnergyRating],Table9[MainSpaceHeatingFuel],AL47,Table9[EnergyRating (group)],AM47,Table9[CountyName (group)],BD$4)</f>
        <v>0</v>
      </c>
      <c r="BE47" s="1164">
        <f>SUMIFS(Table9[Count of EnergyRating],Table9[MainSpaceHeatingFuel],AL47,Table9[EnergyRating (group)],AM47,Table9[CountyName (group)],BE$4)</f>
        <v>0</v>
      </c>
      <c r="BF47" s="1164">
        <f>SUMIFS(Table9[Count of EnergyRating],Table9[MainSpaceHeatingFuel],AL47,Table9[EnergyRating (group)],AM47,Table9[CountyName (group)],BF$4)</f>
        <v>0</v>
      </c>
      <c r="BG47" s="1164">
        <f>SUMIFS(Table9[Count of EnergyRating],Table9[MainSpaceHeatingFuel],AL47,Table9[EnergyRating (group)],AM47,Table9[CountyName (group)],BG$4)</f>
        <v>0</v>
      </c>
      <c r="BH47" s="1164">
        <f>SUMIFS(Table9[Count of EnergyRating],Table9[MainSpaceHeatingFuel],AL47,Table9[EnergyRating (group)],AM47,Table9[CountyName (group)],BH$4)</f>
        <v>0</v>
      </c>
      <c r="BI47" s="1164">
        <f>SUMIFS(Table9[Count of EnergyRating],Table9[MainSpaceHeatingFuel],AL47,Table9[EnergyRating (group)],AM47,Table9[CountyName (group)],BI$4)</f>
        <v>0</v>
      </c>
      <c r="BJ47" s="1164">
        <f>SUMIFS(Table9[Count of EnergyRating],Table9[MainSpaceHeatingFuel],AL47,Table9[EnergyRating (group)],AM47,Table9[CountyName (group)],BJ$4)</f>
        <v>0</v>
      </c>
      <c r="BK47" s="1135">
        <f>SUMIFS(Table9[Count of EnergyRating],Table9[MainSpaceHeatingFuel],AL47,Table9[EnergyRating (group)],AM47,Table9[CountyName (group)],BK$4)</f>
        <v>0</v>
      </c>
      <c r="BL47" s="1164">
        <f>SUMIFS(Table9[Count of EnergyRating],Table9[MainSpaceHeatingFuel],AL47,Table9[EnergyRating (group)],AM47,Table9[CountyName (group)],BL$4)</f>
        <v>0</v>
      </c>
      <c r="BM47" s="1164">
        <f>SUMIFS(Table9[Count of EnergyRating],Table9[MainSpaceHeatingFuel],AL47,Table9[EnergyRating (group)],AM47,Table9[CountyName (group)],BM$4)</f>
        <v>0</v>
      </c>
    </row>
    <row r="48" spans="2:65" ht="13.5" thickBot="1">
      <c r="B48" s="1138" t="s">
        <v>64</v>
      </c>
      <c r="C48" s="1138" t="s">
        <v>1178</v>
      </c>
      <c r="D48" s="1138" t="s">
        <v>1094</v>
      </c>
      <c r="E48" s="1147">
        <f t="shared" ref="E48:AA48" si="87">IFERROR(G168*((SUM(AN$53)/SUM(AN$45:AN$53))/(SUM(G$168)/SUM(G$163:G$168))),G168)</f>
        <v>5.8348313270157072E-7</v>
      </c>
      <c r="F48" s="1147">
        <f t="shared" si="87"/>
        <v>0</v>
      </c>
      <c r="G48" s="1147">
        <f t="shared" si="87"/>
        <v>1.8917144290273684E-6</v>
      </c>
      <c r="H48" s="1147">
        <f t="shared" si="87"/>
        <v>8.2360063687991595E-7</v>
      </c>
      <c r="I48" s="1147">
        <f t="shared" si="87"/>
        <v>5.9453321742533906E-7</v>
      </c>
      <c r="J48" s="1147">
        <f t="shared" si="87"/>
        <v>3.0144610767277318E-7</v>
      </c>
      <c r="K48" s="1147">
        <f t="shared" si="87"/>
        <v>9.6280262375635829E-7</v>
      </c>
      <c r="L48" s="1147">
        <f t="shared" si="87"/>
        <v>9.8610801235131943E-7</v>
      </c>
      <c r="M48" s="1147">
        <f t="shared" si="87"/>
        <v>7.0197659555537571E-7</v>
      </c>
      <c r="N48" s="1147">
        <f t="shared" si="87"/>
        <v>8.8723666821433553E-7</v>
      </c>
      <c r="O48" s="1147">
        <f t="shared" si="87"/>
        <v>1.4235379042134136E-6</v>
      </c>
      <c r="P48" s="1147">
        <f t="shared" si="87"/>
        <v>1.9389822348273955E-6</v>
      </c>
      <c r="Q48" s="1147">
        <f t="shared" si="87"/>
        <v>1.3831672517563283E-6</v>
      </c>
      <c r="R48" s="1147">
        <f t="shared" si="87"/>
        <v>7.9464279913698665E-6</v>
      </c>
      <c r="S48" s="1147">
        <f t="shared" si="87"/>
        <v>1.4130412120968166E-6</v>
      </c>
      <c r="T48" s="1147">
        <f t="shared" si="87"/>
        <v>2.3706372464200619E-6</v>
      </c>
      <c r="U48" s="1147">
        <f t="shared" si="87"/>
        <v>2.3062080575777133E-6</v>
      </c>
      <c r="V48" s="1147">
        <f t="shared" si="87"/>
        <v>1.3097030047934437E-6</v>
      </c>
      <c r="W48" s="1147">
        <f t="shared" si="87"/>
        <v>2.564855479267763E-6</v>
      </c>
      <c r="X48" s="1147">
        <f t="shared" si="87"/>
        <v>1.8173630880657708E-7</v>
      </c>
      <c r="Y48" s="1147">
        <f t="shared" si="87"/>
        <v>9.8067388843606731E-7</v>
      </c>
      <c r="Z48" s="1147">
        <f t="shared" si="87"/>
        <v>4.1769677331436371E-7</v>
      </c>
      <c r="AA48" s="1147">
        <f t="shared" si="87"/>
        <v>3.2562228488817667E-7</v>
      </c>
      <c r="AB48" s="1147">
        <f>IFERROR(AD168*((SUM(BK$53)/SUM(BK$45:BK$53))/(SUM(AD$168)/SUM(AD$163:AD$168))),AD168)</f>
        <v>6.2735244217509376E-7</v>
      </c>
      <c r="AC48" s="1147">
        <f>IFERROR(AE168*((SUM(BL$53)/SUM(BL$45:BL$53))/(SUM(AE$168)/SUM(AE$163:AE$168))),AE168)</f>
        <v>1.016853402482768E-6</v>
      </c>
      <c r="AD48" s="1147">
        <f>IFERROR(AF168*((SUM(BM$53)/SUM(BM$45:BM$53))/(SUM(AF$168)/SUM(AF$163:AF$168))),AF168)</f>
        <v>1.2038817817148648E-6</v>
      </c>
      <c r="AE48" s="1174">
        <f t="shared" si="5"/>
        <v>3.5143278687725077E-5</v>
      </c>
      <c r="AG48" s="1164"/>
      <c r="AL48" s="1144" t="s">
        <v>399</v>
      </c>
      <c r="AM48" s="1144" t="s">
        <v>54</v>
      </c>
      <c r="AN48" s="1135">
        <f>SUMIFS(Table9[Count of EnergyRating],Table9[MainSpaceHeatingFuel],AL48,Table9[EnergyRating (group)],AM48,Table9[CountyName (group)],AN$4)</f>
        <v>0</v>
      </c>
      <c r="AO48" s="1164">
        <f>SUMIFS(Table9[Count of EnergyRating],Table9[MainSpaceHeatingFuel],AL48,Table9[EnergyRating (group)],AM48,Table9[CountyName (group)],AO$4)</f>
        <v>0</v>
      </c>
      <c r="AP48" s="1164">
        <f>SUMIFS(Table9[Count of EnergyRating],Table9[MainSpaceHeatingFuel],AL48,Table9[EnergyRating (group)],AM48,Table9[CountyName (group)],AP$4)</f>
        <v>0</v>
      </c>
      <c r="AQ48" s="1164">
        <f>SUMIFS(Table9[Count of EnergyRating],Table9[MainSpaceHeatingFuel],AL48,Table9[EnergyRating (group)],AM48,Table9[CountyName (group)],AQ$4)</f>
        <v>0</v>
      </c>
      <c r="AR48" s="1164">
        <f>SUMIFS(Table9[Count of EnergyRating],Table9[MainSpaceHeatingFuel],AL48,Table9[EnergyRating (group)],AM48,Table9[CountyName (group)],AR$4)</f>
        <v>0</v>
      </c>
      <c r="AS48" s="1164">
        <f>SUMIFS(Table9[Count of EnergyRating],Table9[MainSpaceHeatingFuel],AL48,Table9[EnergyRating (group)],AM48,Table9[CountyName (group)],AS$4)</f>
        <v>0</v>
      </c>
      <c r="AT48" s="1164">
        <f>SUMIFS(Table9[Count of EnergyRating],Table9[MainSpaceHeatingFuel],AL48,Table9[EnergyRating (group)],AM48,Table9[CountyName (group)],AT$4)</f>
        <v>0</v>
      </c>
      <c r="AU48" s="1164">
        <f>SUMIFS(Table9[Count of EnergyRating],Table9[MainSpaceHeatingFuel],AL48,Table9[EnergyRating (group)],AM48,Table9[CountyName (group)],AU$4)</f>
        <v>0</v>
      </c>
      <c r="AV48" s="1164">
        <f>SUMIFS(Table9[Count of EnergyRating],Table9[MainSpaceHeatingFuel],AL48,Table9[EnergyRating (group)],AM48,Table9[CountyName (group)],AV$4)</f>
        <v>0</v>
      </c>
      <c r="AW48" s="1164">
        <f>SUMIFS(Table9[Count of EnergyRating],Table9[MainSpaceHeatingFuel],AL48,Table9[EnergyRating (group)],AM48,Table9[CountyName (group)],AW$4)</f>
        <v>0</v>
      </c>
      <c r="AX48" s="1164">
        <f>SUMIFS(Table9[Count of EnergyRating],Table9[MainSpaceHeatingFuel],AL48,Table9[EnergyRating (group)],AM48,Table9[CountyName (group)],AX$4)</f>
        <v>0</v>
      </c>
      <c r="AY48" s="1164">
        <f>SUMIFS(Table9[Count of EnergyRating],Table9[MainSpaceHeatingFuel],AL48,Table9[EnergyRating (group)],AM48,Table9[CountyName (group)],AY$4)</f>
        <v>0</v>
      </c>
      <c r="AZ48" s="1164">
        <f>SUMIFS(Table9[Count of EnergyRating],Table9[MainSpaceHeatingFuel],AL48,Table9[EnergyRating (group)],AM48,Table9[CountyName (group)],AZ$4)</f>
        <v>0</v>
      </c>
      <c r="BA48" s="1164">
        <f>SUMIFS(Table9[Count of EnergyRating],Table9[MainSpaceHeatingFuel],AL48,Table9[EnergyRating (group)],AM48,Table9[CountyName (group)],BA$4)</f>
        <v>0</v>
      </c>
      <c r="BB48" s="1164">
        <f>SUMIFS(Table9[Count of EnergyRating],Table9[MainSpaceHeatingFuel],AL48,Table9[EnergyRating (group)],AM48,Table9[CountyName (group)],BB$4)</f>
        <v>0</v>
      </c>
      <c r="BC48" s="1164">
        <f>SUMIFS(Table9[Count of EnergyRating],Table9[MainSpaceHeatingFuel],AL48,Table9[EnergyRating (group)],AM48,Table9[CountyName (group)],BC$4)</f>
        <v>0</v>
      </c>
      <c r="BD48" s="1164">
        <f>SUMIFS(Table9[Count of EnergyRating],Table9[MainSpaceHeatingFuel],AL48,Table9[EnergyRating (group)],AM48,Table9[CountyName (group)],BD$4)</f>
        <v>0</v>
      </c>
      <c r="BE48" s="1164">
        <f>SUMIFS(Table9[Count of EnergyRating],Table9[MainSpaceHeatingFuel],AL48,Table9[EnergyRating (group)],AM48,Table9[CountyName (group)],BE$4)</f>
        <v>0</v>
      </c>
      <c r="BF48" s="1164">
        <f>SUMIFS(Table9[Count of EnergyRating],Table9[MainSpaceHeatingFuel],AL48,Table9[EnergyRating (group)],AM48,Table9[CountyName (group)],BF$4)</f>
        <v>0</v>
      </c>
      <c r="BG48" s="1164">
        <f>SUMIFS(Table9[Count of EnergyRating],Table9[MainSpaceHeatingFuel],AL48,Table9[EnergyRating (group)],AM48,Table9[CountyName (group)],BG$4)</f>
        <v>0</v>
      </c>
      <c r="BH48" s="1164">
        <f>SUMIFS(Table9[Count of EnergyRating],Table9[MainSpaceHeatingFuel],AL48,Table9[EnergyRating (group)],AM48,Table9[CountyName (group)],BH$4)</f>
        <v>0</v>
      </c>
      <c r="BI48" s="1164">
        <f>SUMIFS(Table9[Count of EnergyRating],Table9[MainSpaceHeatingFuel],AL48,Table9[EnergyRating (group)],AM48,Table9[CountyName (group)],BI$4)</f>
        <v>0</v>
      </c>
      <c r="BJ48" s="1164">
        <f>SUMIFS(Table9[Count of EnergyRating],Table9[MainSpaceHeatingFuel],AL48,Table9[EnergyRating (group)],AM48,Table9[CountyName (group)],BJ$4)</f>
        <v>0</v>
      </c>
      <c r="BK48" s="1135">
        <f>SUMIFS(Table9[Count of EnergyRating],Table9[MainSpaceHeatingFuel],AL48,Table9[EnergyRating (group)],AM48,Table9[CountyName (group)],BK$4)</f>
        <v>0</v>
      </c>
      <c r="BL48" s="1164">
        <f>SUMIFS(Table9[Count of EnergyRating],Table9[MainSpaceHeatingFuel],AL48,Table9[EnergyRating (group)],AM48,Table9[CountyName (group)],BL$4)</f>
        <v>0</v>
      </c>
      <c r="BM48" s="1164">
        <f>SUMIFS(Table9[Count of EnergyRating],Table9[MainSpaceHeatingFuel],AL48,Table9[EnergyRating (group)],AM48,Table9[CountyName (group)],BM$4)</f>
        <v>0</v>
      </c>
    </row>
    <row r="49" spans="2:65" ht="13.5" thickBot="1">
      <c r="B49" s="1138" t="s">
        <v>1075</v>
      </c>
      <c r="C49" s="1138" t="s">
        <v>1178</v>
      </c>
      <c r="D49" s="1138" t="s">
        <v>1094</v>
      </c>
      <c r="E49" s="1147">
        <f>SUM(E43:E48)</f>
        <v>9.4371081706774015E-6</v>
      </c>
      <c r="F49" s="1147">
        <f t="shared" ref="F49" si="88">SUM(F43:F48)</f>
        <v>9.1482446221191074E-4</v>
      </c>
      <c r="G49" s="1147">
        <f t="shared" ref="G49" si="89">SUM(G43:G48)</f>
        <v>5.4629193916710544E-5</v>
      </c>
      <c r="H49" s="1147">
        <f t="shared" ref="H49" si="90">SUM(H43:H48)</f>
        <v>1.2992831782668755E-5</v>
      </c>
      <c r="I49" s="1147">
        <f t="shared" ref="I49" si="91">SUM(I43:I48)</f>
        <v>1.0645714451111496E-5</v>
      </c>
      <c r="J49" s="1147">
        <f t="shared" ref="J49" si="92">SUM(J43:J48)</f>
        <v>5.129470352999713E-6</v>
      </c>
      <c r="K49" s="1147">
        <f t="shared" ref="K49" si="93">SUM(K43:K48)</f>
        <v>2.254380920356671E-5</v>
      </c>
      <c r="L49" s="1147">
        <f t="shared" ref="L49" si="94">SUM(L43:L48)</f>
        <v>4.0145275213431928E-5</v>
      </c>
      <c r="M49" s="1147">
        <f t="shared" ref="M49" si="95">SUM(M43:M48)</f>
        <v>8.7190545463259969E-6</v>
      </c>
      <c r="N49" s="1147">
        <f t="shared" ref="N49" si="96">SUM(N43:N48)</f>
        <v>2.1432094291759033E-5</v>
      </c>
      <c r="O49" s="1147">
        <f t="shared" ref="O49" si="97">SUM(O43:O48)</f>
        <v>1.9800140357640786E-5</v>
      </c>
      <c r="P49" s="1147">
        <f t="shared" ref="P49" si="98">SUM(P43:P48)</f>
        <v>3.3481640232421E-5</v>
      </c>
      <c r="Q49" s="1147">
        <f t="shared" ref="Q49" si="99">SUM(Q43:Q48)</f>
        <v>1.848143553683733E-5</v>
      </c>
      <c r="R49" s="1147">
        <f t="shared" ref="R49" si="100">SUM(R43:R48)</f>
        <v>1.3475599972201239E-4</v>
      </c>
      <c r="S49" s="1147">
        <f t="shared" ref="S49" si="101">SUM(S43:S48)</f>
        <v>2.1559038245606543E-5</v>
      </c>
      <c r="T49" s="1147">
        <f t="shared" ref="T49" si="102">SUM(T43:T48)</f>
        <v>5.5351240395056508E-5</v>
      </c>
      <c r="U49" s="1147">
        <f t="shared" ref="U49" si="103">SUM(U43:U48)</f>
        <v>1.7672884396492895E-5</v>
      </c>
      <c r="V49" s="1147">
        <f t="shared" ref="V49" si="104">SUM(V43:V48)</f>
        <v>2.3733433812922567E-5</v>
      </c>
      <c r="W49" s="1147">
        <f t="shared" ref="W49" si="105">SUM(W43:W48)</f>
        <v>7.3307733175971535E-5</v>
      </c>
      <c r="X49" s="1147">
        <f t="shared" ref="X49" si="106">SUM(X43:X48)</f>
        <v>4.0284881785457922E-6</v>
      </c>
      <c r="Y49" s="1147">
        <f t="shared" ref="Y49" si="107">SUM(Y43:Y48)</f>
        <v>1.5885609452740822E-5</v>
      </c>
      <c r="Z49" s="1147">
        <f t="shared" ref="Z49" si="108">SUM(Z43:Z48)</f>
        <v>5.018337007768873E-6</v>
      </c>
      <c r="AA49" s="1147">
        <f t="shared" ref="AA49" si="109">SUM(AA43:AA48)</f>
        <v>1.2434300388266153E-5</v>
      </c>
      <c r="AB49" s="1147">
        <f t="shared" ref="AB49" si="110">SUM(AB43:AB48)</f>
        <v>9.4294531515024626E-6</v>
      </c>
      <c r="AC49" s="1147">
        <f t="shared" ref="AC49" si="111">SUM(AC43:AC48)</f>
        <v>1.7752695626186108E-5</v>
      </c>
      <c r="AD49" s="1147">
        <f t="shared" ref="AD49" si="112">SUM(AD43:AD48)</f>
        <v>7.6228943235662044E-6</v>
      </c>
      <c r="AE49" s="1147">
        <f t="shared" ref="AE49" si="113">SUM(AE43:AE48)</f>
        <v>1.5708143381446998E-3</v>
      </c>
      <c r="AG49" s="1164"/>
      <c r="AL49" s="1144" t="s">
        <v>399</v>
      </c>
      <c r="AM49" s="1144" t="s">
        <v>56</v>
      </c>
      <c r="AN49" s="1135">
        <f>SUMIFS(Table9[Count of EnergyRating],Table9[MainSpaceHeatingFuel],AL49,Table9[EnergyRating (group)],AM49,Table9[CountyName (group)],AN$4)</f>
        <v>0</v>
      </c>
      <c r="AO49" s="1164">
        <f>SUMIFS(Table9[Count of EnergyRating],Table9[MainSpaceHeatingFuel],AL49,Table9[EnergyRating (group)],AM49,Table9[CountyName (group)],AO$4)</f>
        <v>0</v>
      </c>
      <c r="AP49" s="1164">
        <f>SUMIFS(Table9[Count of EnergyRating],Table9[MainSpaceHeatingFuel],AL49,Table9[EnergyRating (group)],AM49,Table9[CountyName (group)],AP$4)</f>
        <v>0</v>
      </c>
      <c r="AQ49" s="1164">
        <f>SUMIFS(Table9[Count of EnergyRating],Table9[MainSpaceHeatingFuel],AL49,Table9[EnergyRating (group)],AM49,Table9[CountyName (group)],AQ$4)</f>
        <v>0</v>
      </c>
      <c r="AR49" s="1164">
        <f>SUMIFS(Table9[Count of EnergyRating],Table9[MainSpaceHeatingFuel],AL49,Table9[EnergyRating (group)],AM49,Table9[CountyName (group)],AR$4)</f>
        <v>0</v>
      </c>
      <c r="AS49" s="1164">
        <f>SUMIFS(Table9[Count of EnergyRating],Table9[MainSpaceHeatingFuel],AL49,Table9[EnergyRating (group)],AM49,Table9[CountyName (group)],AS$4)</f>
        <v>0</v>
      </c>
      <c r="AT49" s="1164">
        <f>SUMIFS(Table9[Count of EnergyRating],Table9[MainSpaceHeatingFuel],AL49,Table9[EnergyRating (group)],AM49,Table9[CountyName (group)],AT$4)</f>
        <v>0</v>
      </c>
      <c r="AU49" s="1164">
        <f>SUMIFS(Table9[Count of EnergyRating],Table9[MainSpaceHeatingFuel],AL49,Table9[EnergyRating (group)],AM49,Table9[CountyName (group)],AU$4)</f>
        <v>0</v>
      </c>
      <c r="AV49" s="1164">
        <f>SUMIFS(Table9[Count of EnergyRating],Table9[MainSpaceHeatingFuel],AL49,Table9[EnergyRating (group)],AM49,Table9[CountyName (group)],AV$4)</f>
        <v>0</v>
      </c>
      <c r="AW49" s="1164">
        <f>SUMIFS(Table9[Count of EnergyRating],Table9[MainSpaceHeatingFuel],AL49,Table9[EnergyRating (group)],AM49,Table9[CountyName (group)],AW$4)</f>
        <v>0</v>
      </c>
      <c r="AX49" s="1164">
        <f>SUMIFS(Table9[Count of EnergyRating],Table9[MainSpaceHeatingFuel],AL49,Table9[EnergyRating (group)],AM49,Table9[CountyName (group)],AX$4)</f>
        <v>0</v>
      </c>
      <c r="AY49" s="1164">
        <f>SUMIFS(Table9[Count of EnergyRating],Table9[MainSpaceHeatingFuel],AL49,Table9[EnergyRating (group)],AM49,Table9[CountyName (group)],AY$4)</f>
        <v>0</v>
      </c>
      <c r="AZ49" s="1164">
        <f>SUMIFS(Table9[Count of EnergyRating],Table9[MainSpaceHeatingFuel],AL49,Table9[EnergyRating (group)],AM49,Table9[CountyName (group)],AZ$4)</f>
        <v>0</v>
      </c>
      <c r="BA49" s="1164">
        <f>SUMIFS(Table9[Count of EnergyRating],Table9[MainSpaceHeatingFuel],AL49,Table9[EnergyRating (group)],AM49,Table9[CountyName (group)],BA$4)</f>
        <v>0</v>
      </c>
      <c r="BB49" s="1164">
        <f>SUMIFS(Table9[Count of EnergyRating],Table9[MainSpaceHeatingFuel],AL49,Table9[EnergyRating (group)],AM49,Table9[CountyName (group)],BB$4)</f>
        <v>0</v>
      </c>
      <c r="BC49" s="1164">
        <f>SUMIFS(Table9[Count of EnergyRating],Table9[MainSpaceHeatingFuel],AL49,Table9[EnergyRating (group)],AM49,Table9[CountyName (group)],BC$4)</f>
        <v>0</v>
      </c>
      <c r="BD49" s="1164">
        <f>SUMIFS(Table9[Count of EnergyRating],Table9[MainSpaceHeatingFuel],AL49,Table9[EnergyRating (group)],AM49,Table9[CountyName (group)],BD$4)</f>
        <v>0</v>
      </c>
      <c r="BE49" s="1164">
        <f>SUMIFS(Table9[Count of EnergyRating],Table9[MainSpaceHeatingFuel],AL49,Table9[EnergyRating (group)],AM49,Table9[CountyName (group)],BE$4)</f>
        <v>0</v>
      </c>
      <c r="BF49" s="1164">
        <f>SUMIFS(Table9[Count of EnergyRating],Table9[MainSpaceHeatingFuel],AL49,Table9[EnergyRating (group)],AM49,Table9[CountyName (group)],BF$4)</f>
        <v>0</v>
      </c>
      <c r="BG49" s="1164">
        <f>SUMIFS(Table9[Count of EnergyRating],Table9[MainSpaceHeatingFuel],AL49,Table9[EnergyRating (group)],AM49,Table9[CountyName (group)],BG$4)</f>
        <v>0</v>
      </c>
      <c r="BH49" s="1164">
        <f>SUMIFS(Table9[Count of EnergyRating],Table9[MainSpaceHeatingFuel],AL49,Table9[EnergyRating (group)],AM49,Table9[CountyName (group)],BH$4)</f>
        <v>0</v>
      </c>
      <c r="BI49" s="1164">
        <f>SUMIFS(Table9[Count of EnergyRating],Table9[MainSpaceHeatingFuel],AL49,Table9[EnergyRating (group)],AM49,Table9[CountyName (group)],BI$4)</f>
        <v>0</v>
      </c>
      <c r="BJ49" s="1164">
        <f>SUMIFS(Table9[Count of EnergyRating],Table9[MainSpaceHeatingFuel],AL49,Table9[EnergyRating (group)],AM49,Table9[CountyName (group)],BJ$4)</f>
        <v>0</v>
      </c>
      <c r="BK49" s="1135">
        <f>SUMIFS(Table9[Count of EnergyRating],Table9[MainSpaceHeatingFuel],AL49,Table9[EnergyRating (group)],AM49,Table9[CountyName (group)],BK$4)</f>
        <v>0</v>
      </c>
      <c r="BL49" s="1164">
        <f>SUMIFS(Table9[Count of EnergyRating],Table9[MainSpaceHeatingFuel],AL49,Table9[EnergyRating (group)],AM49,Table9[CountyName (group)],BL$4)</f>
        <v>0</v>
      </c>
      <c r="BM49" s="1164">
        <f>SUMIFS(Table9[Count of EnergyRating],Table9[MainSpaceHeatingFuel],AL49,Table9[EnergyRating (group)],AM49,Table9[CountyName (group)],BM$4)</f>
        <v>0</v>
      </c>
    </row>
    <row r="50" spans="2:65" ht="13.5" thickBot="1">
      <c r="B50" s="1165"/>
      <c r="C50" s="1165" t="s">
        <v>1179</v>
      </c>
      <c r="D50" s="1165" t="s">
        <v>1094</v>
      </c>
      <c r="E50" s="1166">
        <f t="shared" ref="E50:AA50" si="114">G169</f>
        <v>2.8445961470235794E-5</v>
      </c>
      <c r="F50" s="1166">
        <f t="shared" si="114"/>
        <v>2.757524967761521E-3</v>
      </c>
      <c r="G50" s="1166">
        <f t="shared" si="114"/>
        <v>1.646669633535886E-4</v>
      </c>
      <c r="H50" s="1166">
        <f t="shared" si="114"/>
        <v>3.9163860961924385E-5</v>
      </c>
      <c r="I50" s="1166">
        <f t="shared" si="114"/>
        <v>3.2089023207382905E-5</v>
      </c>
      <c r="J50" s="1166">
        <f t="shared" si="114"/>
        <v>1.5461591981908253E-5</v>
      </c>
      <c r="K50" s="1166">
        <f t="shared" si="114"/>
        <v>6.7953054728096246E-5</v>
      </c>
      <c r="L50" s="1166">
        <f t="shared" si="114"/>
        <v>1.2100856865046668E-4</v>
      </c>
      <c r="M50" s="1166">
        <f t="shared" si="114"/>
        <v>2.6281556298392024E-5</v>
      </c>
      <c r="N50" s="1166">
        <f t="shared" si="114"/>
        <v>6.4602049422739233E-5</v>
      </c>
      <c r="O50" s="1166">
        <f t="shared" si="114"/>
        <v>5.968290492513039E-5</v>
      </c>
      <c r="P50" s="1166">
        <f t="shared" si="114"/>
        <v>1.0092259522584015E-4</v>
      </c>
      <c r="Q50" s="1166">
        <f t="shared" si="114"/>
        <v>5.5707976817413611E-5</v>
      </c>
      <c r="R50" s="1166">
        <f t="shared" si="114"/>
        <v>4.0619053068460429E-4</v>
      </c>
      <c r="S50" s="1166">
        <f t="shared" si="114"/>
        <v>6.4984692363216049E-5</v>
      </c>
      <c r="T50" s="1166">
        <f t="shared" si="114"/>
        <v>1.6684340405250607E-4</v>
      </c>
      <c r="U50" s="1166">
        <f t="shared" si="114"/>
        <v>5.3270787991241448E-5</v>
      </c>
      <c r="V50" s="1166">
        <f t="shared" si="114"/>
        <v>7.1538900645061262E-5</v>
      </c>
      <c r="W50" s="1166">
        <f t="shared" si="114"/>
        <v>2.2096906336979371E-4</v>
      </c>
      <c r="X50" s="1166">
        <f t="shared" si="114"/>
        <v>1.2142938010001458E-5</v>
      </c>
      <c r="Y50" s="1166">
        <f t="shared" si="114"/>
        <v>4.7883464537149892E-5</v>
      </c>
      <c r="Z50" s="1166">
        <f t="shared" si="114"/>
        <v>1.5126606433441457E-5</v>
      </c>
      <c r="AA50" s="1166">
        <f t="shared" si="114"/>
        <v>3.7480298345310554E-5</v>
      </c>
      <c r="AB50" s="1166">
        <f>AD169</f>
        <v>2.8422887200388927E-5</v>
      </c>
      <c r="AC50" s="1166">
        <f>AE169</f>
        <v>5.3511360327987503E-5</v>
      </c>
      <c r="AD50" s="1166">
        <f>AF169</f>
        <v>2.2977436975195591E-5</v>
      </c>
      <c r="AE50" s="1175">
        <f t="shared" si="5"/>
        <v>4.7348534457405354E-3</v>
      </c>
      <c r="AG50" s="1164"/>
      <c r="AL50" s="1144" t="s">
        <v>399</v>
      </c>
      <c r="AM50" s="1144" t="s">
        <v>58</v>
      </c>
      <c r="AN50" s="1135">
        <f>SUMIFS(Table9[Count of EnergyRating],Table9[MainSpaceHeatingFuel],AL50,Table9[EnergyRating (group)],AM50,Table9[CountyName (group)],AN$4)</f>
        <v>0</v>
      </c>
      <c r="AO50" s="1164">
        <f>SUMIFS(Table9[Count of EnergyRating],Table9[MainSpaceHeatingFuel],AL50,Table9[EnergyRating (group)],AM50,Table9[CountyName (group)],AO$4)</f>
        <v>0</v>
      </c>
      <c r="AP50" s="1164">
        <f>SUMIFS(Table9[Count of EnergyRating],Table9[MainSpaceHeatingFuel],AL50,Table9[EnergyRating (group)],AM50,Table9[CountyName (group)],AP$4)</f>
        <v>0</v>
      </c>
      <c r="AQ50" s="1164">
        <f>SUMIFS(Table9[Count of EnergyRating],Table9[MainSpaceHeatingFuel],AL50,Table9[EnergyRating (group)],AM50,Table9[CountyName (group)],AQ$4)</f>
        <v>0</v>
      </c>
      <c r="AR50" s="1164">
        <f>SUMIFS(Table9[Count of EnergyRating],Table9[MainSpaceHeatingFuel],AL50,Table9[EnergyRating (group)],AM50,Table9[CountyName (group)],AR$4)</f>
        <v>0</v>
      </c>
      <c r="AS50" s="1164">
        <f>SUMIFS(Table9[Count of EnergyRating],Table9[MainSpaceHeatingFuel],AL50,Table9[EnergyRating (group)],AM50,Table9[CountyName (group)],AS$4)</f>
        <v>0</v>
      </c>
      <c r="AT50" s="1164">
        <f>SUMIFS(Table9[Count of EnergyRating],Table9[MainSpaceHeatingFuel],AL50,Table9[EnergyRating (group)],AM50,Table9[CountyName (group)],AT$4)</f>
        <v>0</v>
      </c>
      <c r="AU50" s="1164">
        <f>SUMIFS(Table9[Count of EnergyRating],Table9[MainSpaceHeatingFuel],AL50,Table9[EnergyRating (group)],AM50,Table9[CountyName (group)],AU$4)</f>
        <v>0</v>
      </c>
      <c r="AV50" s="1164">
        <f>SUMIFS(Table9[Count of EnergyRating],Table9[MainSpaceHeatingFuel],AL50,Table9[EnergyRating (group)],AM50,Table9[CountyName (group)],AV$4)</f>
        <v>0</v>
      </c>
      <c r="AW50" s="1164">
        <f>SUMIFS(Table9[Count of EnergyRating],Table9[MainSpaceHeatingFuel],AL50,Table9[EnergyRating (group)],AM50,Table9[CountyName (group)],AW$4)</f>
        <v>0</v>
      </c>
      <c r="AX50" s="1164">
        <f>SUMIFS(Table9[Count of EnergyRating],Table9[MainSpaceHeatingFuel],AL50,Table9[EnergyRating (group)],AM50,Table9[CountyName (group)],AX$4)</f>
        <v>0</v>
      </c>
      <c r="AY50" s="1164">
        <f>SUMIFS(Table9[Count of EnergyRating],Table9[MainSpaceHeatingFuel],AL50,Table9[EnergyRating (group)],AM50,Table9[CountyName (group)],AY$4)</f>
        <v>0</v>
      </c>
      <c r="AZ50" s="1164">
        <f>SUMIFS(Table9[Count of EnergyRating],Table9[MainSpaceHeatingFuel],AL50,Table9[EnergyRating (group)],AM50,Table9[CountyName (group)],AZ$4)</f>
        <v>0</v>
      </c>
      <c r="BA50" s="1164">
        <f>SUMIFS(Table9[Count of EnergyRating],Table9[MainSpaceHeatingFuel],AL50,Table9[EnergyRating (group)],AM50,Table9[CountyName (group)],BA$4)</f>
        <v>0</v>
      </c>
      <c r="BB50" s="1164">
        <f>SUMIFS(Table9[Count of EnergyRating],Table9[MainSpaceHeatingFuel],AL50,Table9[EnergyRating (group)],AM50,Table9[CountyName (group)],BB$4)</f>
        <v>0</v>
      </c>
      <c r="BC50" s="1164">
        <f>SUMIFS(Table9[Count of EnergyRating],Table9[MainSpaceHeatingFuel],AL50,Table9[EnergyRating (group)],AM50,Table9[CountyName (group)],BC$4)</f>
        <v>0</v>
      </c>
      <c r="BD50" s="1164">
        <f>SUMIFS(Table9[Count of EnergyRating],Table9[MainSpaceHeatingFuel],AL50,Table9[EnergyRating (group)],AM50,Table9[CountyName (group)],BD$4)</f>
        <v>0</v>
      </c>
      <c r="BE50" s="1164">
        <f>SUMIFS(Table9[Count of EnergyRating],Table9[MainSpaceHeatingFuel],AL50,Table9[EnergyRating (group)],AM50,Table9[CountyName (group)],BE$4)</f>
        <v>0</v>
      </c>
      <c r="BF50" s="1164">
        <f>SUMIFS(Table9[Count of EnergyRating],Table9[MainSpaceHeatingFuel],AL50,Table9[EnergyRating (group)],AM50,Table9[CountyName (group)],BF$4)</f>
        <v>0</v>
      </c>
      <c r="BG50" s="1164">
        <f>SUMIFS(Table9[Count of EnergyRating],Table9[MainSpaceHeatingFuel],AL50,Table9[EnergyRating (group)],AM50,Table9[CountyName (group)],BG$4)</f>
        <v>0</v>
      </c>
      <c r="BH50" s="1164">
        <f>SUMIFS(Table9[Count of EnergyRating],Table9[MainSpaceHeatingFuel],AL50,Table9[EnergyRating (group)],AM50,Table9[CountyName (group)],BH$4)</f>
        <v>0</v>
      </c>
      <c r="BI50" s="1164">
        <f>SUMIFS(Table9[Count of EnergyRating],Table9[MainSpaceHeatingFuel],AL50,Table9[EnergyRating (group)],AM50,Table9[CountyName (group)],BI$4)</f>
        <v>0</v>
      </c>
      <c r="BJ50" s="1164">
        <f>SUMIFS(Table9[Count of EnergyRating],Table9[MainSpaceHeatingFuel],AL50,Table9[EnergyRating (group)],AM50,Table9[CountyName (group)],BJ$4)</f>
        <v>0</v>
      </c>
      <c r="BK50" s="1135">
        <f>SUMIFS(Table9[Count of EnergyRating],Table9[MainSpaceHeatingFuel],AL50,Table9[EnergyRating (group)],AM50,Table9[CountyName (group)],BK$4)</f>
        <v>0</v>
      </c>
      <c r="BL50" s="1164">
        <f>SUMIFS(Table9[Count of EnergyRating],Table9[MainSpaceHeatingFuel],AL50,Table9[EnergyRating (group)],AM50,Table9[CountyName (group)],BL$4)</f>
        <v>0</v>
      </c>
      <c r="BM50" s="1164">
        <f>SUMIFS(Table9[Count of EnergyRating],Table9[MainSpaceHeatingFuel],AL50,Table9[EnergyRating (group)],AM50,Table9[CountyName (group)],BM$4)</f>
        <v>0</v>
      </c>
    </row>
    <row r="51" spans="2:65" ht="15">
      <c r="B51" s="1137"/>
      <c r="C51" s="1137" t="s">
        <v>1200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G51" s="1164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SUMIFS(Table9[Count of EnergyRating],Table9[MainSpaceHeatingFuel],AL51,Table9[EnergyRating (group)],AM51,Table9[CountyName (group)],AN$4)</f>
        <v>0</v>
      </c>
      <c r="AO51" s="1164">
        <f>SUMIFS(Table9[Count of EnergyRating],Table9[MainSpaceHeatingFuel],AL51,Table9[EnergyRating (group)],AM51,Table9[CountyName (group)],AO$4)</f>
        <v>0</v>
      </c>
      <c r="AP51" s="1164">
        <f>SUMIFS(Table9[Count of EnergyRating],Table9[MainSpaceHeatingFuel],AL51,Table9[EnergyRating (group)],AM51,Table9[CountyName (group)],AP$4)</f>
        <v>0</v>
      </c>
      <c r="AQ51" s="1164">
        <f>SUMIFS(Table9[Count of EnergyRating],Table9[MainSpaceHeatingFuel],AL51,Table9[EnergyRating (group)],AM51,Table9[CountyName (group)],AQ$4)</f>
        <v>0</v>
      </c>
      <c r="AR51" s="1164">
        <f>SUMIFS(Table9[Count of EnergyRating],Table9[MainSpaceHeatingFuel],AL51,Table9[EnergyRating (group)],AM51,Table9[CountyName (group)],AR$4)</f>
        <v>0</v>
      </c>
      <c r="AS51" s="1164">
        <f>SUMIFS(Table9[Count of EnergyRating],Table9[MainSpaceHeatingFuel],AL51,Table9[EnergyRating (group)],AM51,Table9[CountyName (group)],AS$4)</f>
        <v>0</v>
      </c>
      <c r="AT51" s="1164">
        <f>SUMIFS(Table9[Count of EnergyRating],Table9[MainSpaceHeatingFuel],AL51,Table9[EnergyRating (group)],AM51,Table9[CountyName (group)],AT$4)</f>
        <v>0</v>
      </c>
      <c r="AU51" s="1164">
        <f>SUMIFS(Table9[Count of EnergyRating],Table9[MainSpaceHeatingFuel],AL51,Table9[EnergyRating (group)],AM51,Table9[CountyName (group)],AU$4)</f>
        <v>0</v>
      </c>
      <c r="AV51" s="1164">
        <f>SUMIFS(Table9[Count of EnergyRating],Table9[MainSpaceHeatingFuel],AL51,Table9[EnergyRating (group)],AM51,Table9[CountyName (group)],AV$4)</f>
        <v>0</v>
      </c>
      <c r="AW51" s="1164">
        <f>SUMIFS(Table9[Count of EnergyRating],Table9[MainSpaceHeatingFuel],AL51,Table9[EnergyRating (group)],AM51,Table9[CountyName (group)],AW$4)</f>
        <v>0</v>
      </c>
      <c r="AX51" s="1164">
        <f>SUMIFS(Table9[Count of EnergyRating],Table9[MainSpaceHeatingFuel],AL51,Table9[EnergyRating (group)],AM51,Table9[CountyName (group)],AX$4)</f>
        <v>0</v>
      </c>
      <c r="AY51" s="1164">
        <f>SUMIFS(Table9[Count of EnergyRating],Table9[MainSpaceHeatingFuel],AL51,Table9[EnergyRating (group)],AM51,Table9[CountyName (group)],AY$4)</f>
        <v>0</v>
      </c>
      <c r="AZ51" s="1164">
        <f>SUMIFS(Table9[Count of EnergyRating],Table9[MainSpaceHeatingFuel],AL51,Table9[EnergyRating (group)],AM51,Table9[CountyName (group)],AZ$4)</f>
        <v>0</v>
      </c>
      <c r="BA51" s="1164">
        <f>SUMIFS(Table9[Count of EnergyRating],Table9[MainSpaceHeatingFuel],AL51,Table9[EnergyRating (group)],AM51,Table9[CountyName (group)],BA$4)</f>
        <v>0</v>
      </c>
      <c r="BB51" s="1164">
        <f>SUMIFS(Table9[Count of EnergyRating],Table9[MainSpaceHeatingFuel],AL51,Table9[EnergyRating (group)],AM51,Table9[CountyName (group)],BB$4)</f>
        <v>0</v>
      </c>
      <c r="BC51" s="1164">
        <f>SUMIFS(Table9[Count of EnergyRating],Table9[MainSpaceHeatingFuel],AL51,Table9[EnergyRating (group)],AM51,Table9[CountyName (group)],BC$4)</f>
        <v>0</v>
      </c>
      <c r="BD51" s="1164">
        <f>SUMIFS(Table9[Count of EnergyRating],Table9[MainSpaceHeatingFuel],AL51,Table9[EnergyRating (group)],AM51,Table9[CountyName (group)],BD$4)</f>
        <v>0</v>
      </c>
      <c r="BE51" s="1164">
        <f>SUMIFS(Table9[Count of EnergyRating],Table9[MainSpaceHeatingFuel],AL51,Table9[EnergyRating (group)],AM51,Table9[CountyName (group)],BE$4)</f>
        <v>0</v>
      </c>
      <c r="BF51" s="1164">
        <f>SUMIFS(Table9[Count of EnergyRating],Table9[MainSpaceHeatingFuel],AL51,Table9[EnergyRating (group)],AM51,Table9[CountyName (group)],BF$4)</f>
        <v>0</v>
      </c>
      <c r="BG51" s="1164">
        <f>SUMIFS(Table9[Count of EnergyRating],Table9[MainSpaceHeatingFuel],AL51,Table9[EnergyRating (group)],AM51,Table9[CountyName (group)],BG$4)</f>
        <v>0</v>
      </c>
      <c r="BH51" s="1164">
        <f>SUMIFS(Table9[Count of EnergyRating],Table9[MainSpaceHeatingFuel],AL51,Table9[EnergyRating (group)],AM51,Table9[CountyName (group)],BH$4)</f>
        <v>0</v>
      </c>
      <c r="BI51" s="1164">
        <f>SUMIFS(Table9[Count of EnergyRating],Table9[MainSpaceHeatingFuel],AL51,Table9[EnergyRating (group)],AM51,Table9[CountyName (group)],BI$4)</f>
        <v>0</v>
      </c>
      <c r="BJ51" s="1164">
        <f>SUMIFS(Table9[Count of EnergyRating],Table9[MainSpaceHeatingFuel],AL51,Table9[EnergyRating (group)],AM51,Table9[CountyName (group)],BJ$4)</f>
        <v>0</v>
      </c>
      <c r="BK51" s="1135">
        <f>SUMIFS(Table9[Count of EnergyRating],Table9[MainSpaceHeatingFuel],AL51,Table9[EnergyRating (group)],AM51,Table9[CountyName (group)],BK$4)</f>
        <v>0</v>
      </c>
      <c r="BL51" s="1164">
        <f>SUMIFS(Table9[Count of EnergyRating],Table9[MainSpaceHeatingFuel],AL51,Table9[EnergyRating (group)],AM51,Table9[CountyName (group)],BL$4)</f>
        <v>0</v>
      </c>
      <c r="BM51" s="1164">
        <f>SUMIFS(Table9[Count of EnergyRating],Table9[MainSpaceHeatingFuel],AL51,Table9[EnergyRating (group)],AM51,Table9[CountyName (group)],BM$4)</f>
        <v>0</v>
      </c>
    </row>
    <row r="52" spans="2:65" ht="15">
      <c r="B52" s="1134" t="s">
        <v>1259</v>
      </c>
      <c r="C52" s="1134" t="s">
        <v>1180</v>
      </c>
      <c r="D52" s="1134" t="s">
        <v>1094</v>
      </c>
      <c r="E52" s="1145">
        <f t="shared" ref="E52:AA52" si="115">IFERROR(G171*((SUM(AN$55:AN$58)/SUM(AN$55:AN$63))/(SUM(G$171)/SUM(G$171:G$176))),G171)</f>
        <v>7.1948512693244529E-3</v>
      </c>
      <c r="F52" s="1145">
        <f t="shared" si="115"/>
        <v>0.4882235189932525</v>
      </c>
      <c r="G52" s="1145">
        <f t="shared" si="115"/>
        <v>1.8354233001860086E-2</v>
      </c>
      <c r="H52" s="1145">
        <f t="shared" si="115"/>
        <v>4.5211679568165648E-3</v>
      </c>
      <c r="I52" s="1145">
        <f t="shared" si="115"/>
        <v>1.8446119767107738E-3</v>
      </c>
      <c r="J52" s="1145">
        <f t="shared" si="115"/>
        <v>7.0216099230415146E-4</v>
      </c>
      <c r="K52" s="1145">
        <f t="shared" si="115"/>
        <v>5.1152976597616841E-3</v>
      </c>
      <c r="L52" s="1145">
        <f t="shared" si="115"/>
        <v>9.5646118196001575E-3</v>
      </c>
      <c r="M52" s="1145">
        <f t="shared" si="115"/>
        <v>1.3879891629507339E-3</v>
      </c>
      <c r="N52" s="1145">
        <f t="shared" si="115"/>
        <v>6.5583674028687608E-3</v>
      </c>
      <c r="O52" s="1145">
        <f t="shared" si="115"/>
        <v>3.3884591259853679E-3</v>
      </c>
      <c r="P52" s="1145">
        <f t="shared" si="115"/>
        <v>1.6558223647075477E-2</v>
      </c>
      <c r="Q52" s="1145">
        <f t="shared" si="115"/>
        <v>3.7534482064662325E-3</v>
      </c>
      <c r="R52" s="1145">
        <f t="shared" si="115"/>
        <v>9.2632599677761052E-2</v>
      </c>
      <c r="S52" s="1145">
        <f t="shared" si="115"/>
        <v>4.9274701916946035E-3</v>
      </c>
      <c r="T52" s="1145">
        <f t="shared" si="115"/>
        <v>0</v>
      </c>
      <c r="U52" s="1145">
        <f t="shared" si="115"/>
        <v>2.0412591868056444E-3</v>
      </c>
      <c r="V52" s="1145">
        <f t="shared" si="115"/>
        <v>2.1540916594014474E-3</v>
      </c>
      <c r="W52" s="1145">
        <f t="shared" si="115"/>
        <v>3.4409774636584019E-2</v>
      </c>
      <c r="X52" s="1145">
        <f t="shared" si="115"/>
        <v>2.3888039679181307E-3</v>
      </c>
      <c r="Y52" s="1145">
        <f t="shared" si="115"/>
        <v>2.6299144030699972E-3</v>
      </c>
      <c r="Z52" s="1145">
        <f t="shared" si="115"/>
        <v>0</v>
      </c>
      <c r="AA52" s="1145">
        <f t="shared" si="115"/>
        <v>1.202852980172645E-2</v>
      </c>
      <c r="AB52" s="1145">
        <f>IFERROR(AD171*((SUM(BK$55:BK$58)/SUM(BK$55:BK$63))/(SUM(AD$171)/SUM(AD$171:AD$176))),AD171)</f>
        <v>1.3150637346412458E-3</v>
      </c>
      <c r="AC52" s="1145">
        <f>IFERROR(AE171*((SUM(BL$55:BL$58)/SUM(BL$55:BL$63))/(SUM(AE$171)/SUM(AE$171:AE$176))),AE171)</f>
        <v>5.0716684958409738E-3</v>
      </c>
      <c r="AD52" s="1145">
        <f>IFERROR(AF171*((SUM(BM$55:BM$58)/SUM(BM$55:BM$63))/(SUM(AF$171)/SUM(AF$171:AF$176))),AF171)</f>
        <v>8.0097073457799858E-3</v>
      </c>
      <c r="AE52" s="1172">
        <f t="shared" si="5"/>
        <v>0.7347758243162007</v>
      </c>
      <c r="AG52" s="58" t="s">
        <v>1163</v>
      </c>
      <c r="AH52" s="1158">
        <f>SUM(E52:AD57)</f>
        <v>2.9939721285037972</v>
      </c>
      <c r="AI52" s="1140">
        <f>'SHWLP-Apt'!S10</f>
        <v>2.9939721285037981</v>
      </c>
      <c r="AJ52" s="1160">
        <f>IFERROR((AI52-AH52)/AI52,"N/A")</f>
        <v>2.9665554039208166E-16</v>
      </c>
      <c r="AL52" s="1144" t="s">
        <v>399</v>
      </c>
      <c r="AM52" s="1144" t="s">
        <v>62</v>
      </c>
      <c r="AN52" s="1135">
        <f>SUMIFS(Table9[Count of EnergyRating],Table9[MainSpaceHeatingFuel],AL52,Table9[EnergyRating (group)],AM52,Table9[CountyName (group)],AN$4)</f>
        <v>0</v>
      </c>
      <c r="AO52" s="1164">
        <f>SUMIFS(Table9[Count of EnergyRating],Table9[MainSpaceHeatingFuel],AL52,Table9[EnergyRating (group)],AM52,Table9[CountyName (group)],AO$4)</f>
        <v>0</v>
      </c>
      <c r="AP52" s="1164">
        <f>SUMIFS(Table9[Count of EnergyRating],Table9[MainSpaceHeatingFuel],AL52,Table9[EnergyRating (group)],AM52,Table9[CountyName (group)],AP$4)</f>
        <v>0</v>
      </c>
      <c r="AQ52" s="1164">
        <f>SUMIFS(Table9[Count of EnergyRating],Table9[MainSpaceHeatingFuel],AL52,Table9[EnergyRating (group)],AM52,Table9[CountyName (group)],AQ$4)</f>
        <v>0</v>
      </c>
      <c r="AR52" s="1164">
        <f>SUMIFS(Table9[Count of EnergyRating],Table9[MainSpaceHeatingFuel],AL52,Table9[EnergyRating (group)],AM52,Table9[CountyName (group)],AR$4)</f>
        <v>0</v>
      </c>
      <c r="AS52" s="1164">
        <f>SUMIFS(Table9[Count of EnergyRating],Table9[MainSpaceHeatingFuel],AL52,Table9[EnergyRating (group)],AM52,Table9[CountyName (group)],AS$4)</f>
        <v>0</v>
      </c>
      <c r="AT52" s="1164">
        <f>SUMIFS(Table9[Count of EnergyRating],Table9[MainSpaceHeatingFuel],AL52,Table9[EnergyRating (group)],AM52,Table9[CountyName (group)],AT$4)</f>
        <v>0</v>
      </c>
      <c r="AU52" s="1164">
        <f>SUMIFS(Table9[Count of EnergyRating],Table9[MainSpaceHeatingFuel],AL52,Table9[EnergyRating (group)],AM52,Table9[CountyName (group)],AU$4)</f>
        <v>0</v>
      </c>
      <c r="AV52" s="1164">
        <f>SUMIFS(Table9[Count of EnergyRating],Table9[MainSpaceHeatingFuel],AL52,Table9[EnergyRating (group)],AM52,Table9[CountyName (group)],AV$4)</f>
        <v>0</v>
      </c>
      <c r="AW52" s="1164">
        <f>SUMIFS(Table9[Count of EnergyRating],Table9[MainSpaceHeatingFuel],AL52,Table9[EnergyRating (group)],AM52,Table9[CountyName (group)],AW$4)</f>
        <v>0</v>
      </c>
      <c r="AX52" s="1164">
        <f>SUMIFS(Table9[Count of EnergyRating],Table9[MainSpaceHeatingFuel],AL52,Table9[EnergyRating (group)],AM52,Table9[CountyName (group)],AX$4)</f>
        <v>0</v>
      </c>
      <c r="AY52" s="1164">
        <f>SUMIFS(Table9[Count of EnergyRating],Table9[MainSpaceHeatingFuel],AL52,Table9[EnergyRating (group)],AM52,Table9[CountyName (group)],AY$4)</f>
        <v>0</v>
      </c>
      <c r="AZ52" s="1164">
        <f>SUMIFS(Table9[Count of EnergyRating],Table9[MainSpaceHeatingFuel],AL52,Table9[EnergyRating (group)],AM52,Table9[CountyName (group)],AZ$4)</f>
        <v>0</v>
      </c>
      <c r="BA52" s="1164">
        <f>SUMIFS(Table9[Count of EnergyRating],Table9[MainSpaceHeatingFuel],AL52,Table9[EnergyRating (group)],AM52,Table9[CountyName (group)],BA$4)</f>
        <v>0</v>
      </c>
      <c r="BB52" s="1164">
        <f>SUMIFS(Table9[Count of EnergyRating],Table9[MainSpaceHeatingFuel],AL52,Table9[EnergyRating (group)],AM52,Table9[CountyName (group)],BB$4)</f>
        <v>0</v>
      </c>
      <c r="BC52" s="1164">
        <f>SUMIFS(Table9[Count of EnergyRating],Table9[MainSpaceHeatingFuel],AL52,Table9[EnergyRating (group)],AM52,Table9[CountyName (group)],BC$4)</f>
        <v>0</v>
      </c>
      <c r="BD52" s="1164">
        <f>SUMIFS(Table9[Count of EnergyRating],Table9[MainSpaceHeatingFuel],AL52,Table9[EnergyRating (group)],AM52,Table9[CountyName (group)],BD$4)</f>
        <v>0</v>
      </c>
      <c r="BE52" s="1164">
        <f>SUMIFS(Table9[Count of EnergyRating],Table9[MainSpaceHeatingFuel],AL52,Table9[EnergyRating (group)],AM52,Table9[CountyName (group)],BE$4)</f>
        <v>0</v>
      </c>
      <c r="BF52" s="1152">
        <f>SUMIFS(Table9[Count of EnergyRating],Table9[MainSpaceHeatingFuel],AL52,Table9[EnergyRating (group)],AM52,Table9[CountyName (group)],BF$4)</f>
        <v>0</v>
      </c>
      <c r="BG52" s="1164">
        <f>SUMIFS(Table9[Count of EnergyRating],Table9[MainSpaceHeatingFuel],AL52,Table9[EnergyRating (group)],AM52,Table9[CountyName (group)],BG$4)</f>
        <v>0</v>
      </c>
      <c r="BH52" s="1164">
        <f>SUMIFS(Table9[Count of EnergyRating],Table9[MainSpaceHeatingFuel],AL52,Table9[EnergyRating (group)],AM52,Table9[CountyName (group)],BH$4)</f>
        <v>0</v>
      </c>
      <c r="BI52" s="1164">
        <f>SUMIFS(Table9[Count of EnergyRating],Table9[MainSpaceHeatingFuel],AL52,Table9[EnergyRating (group)],AM52,Table9[CountyName (group)],BI$4)</f>
        <v>0</v>
      </c>
      <c r="BJ52" s="1164">
        <f>SUMIFS(Table9[Count of EnergyRating],Table9[MainSpaceHeatingFuel],AL52,Table9[EnergyRating (group)],AM52,Table9[CountyName (group)],BJ$4)</f>
        <v>0</v>
      </c>
      <c r="BK52" s="1135">
        <f>SUMIFS(Table9[Count of EnergyRating],Table9[MainSpaceHeatingFuel],AL52,Table9[EnergyRating (group)],AM52,Table9[CountyName (group)],BK$4)</f>
        <v>0</v>
      </c>
      <c r="BL52" s="1164">
        <f>SUMIFS(Table9[Count of EnergyRating],Table9[MainSpaceHeatingFuel],AL52,Table9[EnergyRating (group)],AM52,Table9[CountyName (group)],BL$4)</f>
        <v>0</v>
      </c>
      <c r="BM52" s="1164">
        <f>SUMIFS(Table9[Count of EnergyRating],Table9[MainSpaceHeatingFuel],AL52,Table9[EnergyRating (group)],AM52,Table9[CountyName (group)],BM$4)</f>
        <v>0</v>
      </c>
    </row>
    <row r="53" spans="2:65" ht="15">
      <c r="B53" s="1136" t="s">
        <v>56</v>
      </c>
      <c r="C53" s="1136" t="s">
        <v>1180</v>
      </c>
      <c r="D53" s="1136" t="s">
        <v>1094</v>
      </c>
      <c r="E53" s="1146">
        <f t="shared" ref="E53:AA53" si="116">IFERROR(G172*((SUM(AN$59)/SUM(AN$55:AN$63))/(SUM(G$172)/SUM(G$171:G$176))),G172)</f>
        <v>3.5974256346622264E-3</v>
      </c>
      <c r="F53" s="1146">
        <f t="shared" si="116"/>
        <v>1.0461932549855411</v>
      </c>
      <c r="G53" s="1146">
        <f t="shared" si="116"/>
        <v>4.1587968285663433E-2</v>
      </c>
      <c r="H53" s="1146">
        <f t="shared" si="116"/>
        <v>1.0215303087423883E-2</v>
      </c>
      <c r="I53" s="1146">
        <f t="shared" si="116"/>
        <v>1.6601507790396965E-2</v>
      </c>
      <c r="J53" s="1146">
        <f t="shared" si="116"/>
        <v>2.6868955504313124E-3</v>
      </c>
      <c r="K53" s="1146">
        <f t="shared" si="116"/>
        <v>3.3760964554427113E-2</v>
      </c>
      <c r="L53" s="1146">
        <f t="shared" si="116"/>
        <v>5.7387670917600934E-2</v>
      </c>
      <c r="M53" s="1146">
        <f t="shared" si="116"/>
        <v>4.549089129837057E-3</v>
      </c>
      <c r="N53" s="1146">
        <f t="shared" si="116"/>
        <v>1.2382412956192098E-2</v>
      </c>
      <c r="O53" s="1146">
        <f t="shared" si="116"/>
        <v>1.0400842440817938E-2</v>
      </c>
      <c r="P53" s="1146">
        <f t="shared" si="116"/>
        <v>2.1938305083895816E-2</v>
      </c>
      <c r="Q53" s="1146">
        <f t="shared" si="116"/>
        <v>1.083617104814584E-2</v>
      </c>
      <c r="R53" s="1146">
        <f t="shared" si="116"/>
        <v>0.11789603595351407</v>
      </c>
      <c r="S53" s="1146">
        <f t="shared" si="116"/>
        <v>1.380293982006473E-2</v>
      </c>
      <c r="T53" s="1146">
        <f t="shared" si="116"/>
        <v>5.2749732096488852E-2</v>
      </c>
      <c r="U53" s="1146">
        <f t="shared" si="116"/>
        <v>6.6728879792244972E-3</v>
      </c>
      <c r="V53" s="1146">
        <f t="shared" si="116"/>
        <v>3.6619558209824613E-2</v>
      </c>
      <c r="W53" s="1146">
        <f t="shared" si="116"/>
        <v>7.7161312821430836E-2</v>
      </c>
      <c r="X53" s="1146">
        <f t="shared" si="116"/>
        <v>4.948236790687557E-3</v>
      </c>
      <c r="Y53" s="1146">
        <f t="shared" si="116"/>
        <v>8.9953538259158819E-3</v>
      </c>
      <c r="Z53" s="1146">
        <f t="shared" si="116"/>
        <v>7.8258684573879293E-3</v>
      </c>
      <c r="AA53" s="1146">
        <f t="shared" si="116"/>
        <v>9.4084540033305911E-3</v>
      </c>
      <c r="AB53" s="1146">
        <f>IFERROR(AD172*((SUM(BK$59)/SUM(BK$55:BK$63))/(SUM(AD$172)/SUM(AD$171:AD$176))),AD172)</f>
        <v>1.4027346502839958E-2</v>
      </c>
      <c r="AC53" s="1146">
        <f>IFERROR(AE172*((SUM(BL$59)/SUM(BL$55:BL$63))/(SUM(AE$172)/SUM(AE$171:AE$176))),AE172)</f>
        <v>1.2694702932615621E-2</v>
      </c>
      <c r="AD53" s="1146">
        <f>IFERROR(AF172*((SUM(BM$59)/SUM(BM$55:BM$63))/(SUM(AF$172)/SUM(AF$171:AF$176))),AF172)</f>
        <v>5.5881679156604552E-3</v>
      </c>
      <c r="AE53" s="1173">
        <f t="shared" si="5"/>
        <v>1.6405284087740213</v>
      </c>
      <c r="AG53" s="58" t="s">
        <v>1107</v>
      </c>
      <c r="AH53" s="1158">
        <f>SUM(E59:AD59)</f>
        <v>2.7357126426484353</v>
      </c>
      <c r="AI53" s="1140">
        <f>'SHWLP-Apt'!S36</f>
        <v>2.7357126426484353</v>
      </c>
      <c r="AJ53" s="1160">
        <f>(AI53-AH53)/AI53</f>
        <v>0</v>
      </c>
      <c r="AL53" s="1144" t="s">
        <v>399</v>
      </c>
      <c r="AM53" s="1144" t="s">
        <v>64</v>
      </c>
      <c r="AN53" s="1135">
        <f>SUMIFS(Table9[Count of EnergyRating],Table9[MainSpaceHeatingFuel],AL53,Table9[EnergyRating (group)],AM53,Table9[CountyName (group)],AN$4)</f>
        <v>0</v>
      </c>
      <c r="AO53" s="1164">
        <f>SUMIFS(Table9[Count of EnergyRating],Table9[MainSpaceHeatingFuel],AL53,Table9[EnergyRating (group)],AM53,Table9[CountyName (group)],AO$4)</f>
        <v>0</v>
      </c>
      <c r="AP53" s="1164">
        <f>SUMIFS(Table9[Count of EnergyRating],Table9[MainSpaceHeatingFuel],AL53,Table9[EnergyRating (group)],AM53,Table9[CountyName (group)],AP$4)</f>
        <v>0</v>
      </c>
      <c r="AQ53" s="1164">
        <f>SUMIFS(Table9[Count of EnergyRating],Table9[MainSpaceHeatingFuel],AL53,Table9[EnergyRating (group)],AM53,Table9[CountyName (group)],AQ$4)</f>
        <v>0</v>
      </c>
      <c r="AR53" s="1164">
        <f>SUMIFS(Table9[Count of EnergyRating],Table9[MainSpaceHeatingFuel],AL53,Table9[EnergyRating (group)],AM53,Table9[CountyName (group)],AR$4)</f>
        <v>0</v>
      </c>
      <c r="AS53" s="1164">
        <f>SUMIFS(Table9[Count of EnergyRating],Table9[MainSpaceHeatingFuel],AL53,Table9[EnergyRating (group)],AM53,Table9[CountyName (group)],AS$4)</f>
        <v>0</v>
      </c>
      <c r="AT53" s="1164">
        <f>SUMIFS(Table9[Count of EnergyRating],Table9[MainSpaceHeatingFuel],AL53,Table9[EnergyRating (group)],AM53,Table9[CountyName (group)],AT$4)</f>
        <v>0</v>
      </c>
      <c r="AU53" s="1164">
        <f>SUMIFS(Table9[Count of EnergyRating],Table9[MainSpaceHeatingFuel],AL53,Table9[EnergyRating (group)],AM53,Table9[CountyName (group)],AU$4)</f>
        <v>0</v>
      </c>
      <c r="AV53" s="1164">
        <f>SUMIFS(Table9[Count of EnergyRating],Table9[MainSpaceHeatingFuel],AL53,Table9[EnergyRating (group)],AM53,Table9[CountyName (group)],AV$4)</f>
        <v>0</v>
      </c>
      <c r="AW53" s="1164">
        <f>SUMIFS(Table9[Count of EnergyRating],Table9[MainSpaceHeatingFuel],AL53,Table9[EnergyRating (group)],AM53,Table9[CountyName (group)],AW$4)</f>
        <v>0</v>
      </c>
      <c r="AX53" s="1164">
        <f>SUMIFS(Table9[Count of EnergyRating],Table9[MainSpaceHeatingFuel],AL53,Table9[EnergyRating (group)],AM53,Table9[CountyName (group)],AX$4)</f>
        <v>0</v>
      </c>
      <c r="AY53" s="1164">
        <f>SUMIFS(Table9[Count of EnergyRating],Table9[MainSpaceHeatingFuel],AL53,Table9[EnergyRating (group)],AM53,Table9[CountyName (group)],AY$4)</f>
        <v>0</v>
      </c>
      <c r="AZ53" s="1164">
        <f>SUMIFS(Table9[Count of EnergyRating],Table9[MainSpaceHeatingFuel],AL53,Table9[EnergyRating (group)],AM53,Table9[CountyName (group)],AZ$4)</f>
        <v>0</v>
      </c>
      <c r="BA53" s="1164">
        <f>SUMIFS(Table9[Count of EnergyRating],Table9[MainSpaceHeatingFuel],AL53,Table9[EnergyRating (group)],AM53,Table9[CountyName (group)],BA$4)</f>
        <v>0</v>
      </c>
      <c r="BB53" s="1164">
        <f>SUMIFS(Table9[Count of EnergyRating],Table9[MainSpaceHeatingFuel],AL53,Table9[EnergyRating (group)],AM53,Table9[CountyName (group)],BB$4)</f>
        <v>0</v>
      </c>
      <c r="BC53" s="1164">
        <f>SUMIFS(Table9[Count of EnergyRating],Table9[MainSpaceHeatingFuel],AL53,Table9[EnergyRating (group)],AM53,Table9[CountyName (group)],BC$4)</f>
        <v>0</v>
      </c>
      <c r="BD53" s="1164">
        <f>SUMIFS(Table9[Count of EnergyRating],Table9[MainSpaceHeatingFuel],AL53,Table9[EnergyRating (group)],AM53,Table9[CountyName (group)],BD$4)</f>
        <v>0</v>
      </c>
      <c r="BE53" s="1164">
        <f>SUMIFS(Table9[Count of EnergyRating],Table9[MainSpaceHeatingFuel],AL53,Table9[EnergyRating (group)],AM53,Table9[CountyName (group)],BE$4)</f>
        <v>0</v>
      </c>
      <c r="BF53" s="1164">
        <f>SUMIFS(Table9[Count of EnergyRating],Table9[MainSpaceHeatingFuel],AL53,Table9[EnergyRating (group)],AM53,Table9[CountyName (group)],BF$4)</f>
        <v>0</v>
      </c>
      <c r="BG53" s="1164">
        <f>SUMIFS(Table9[Count of EnergyRating],Table9[MainSpaceHeatingFuel],AL53,Table9[EnergyRating (group)],AM53,Table9[CountyName (group)],BG$4)</f>
        <v>0</v>
      </c>
      <c r="BH53" s="1164">
        <f>SUMIFS(Table9[Count of EnergyRating],Table9[MainSpaceHeatingFuel],AL53,Table9[EnergyRating (group)],AM53,Table9[CountyName (group)],BH$4)</f>
        <v>0</v>
      </c>
      <c r="BI53" s="1164">
        <f>SUMIFS(Table9[Count of EnergyRating],Table9[MainSpaceHeatingFuel],AL53,Table9[EnergyRating (group)],AM53,Table9[CountyName (group)],BI$4)</f>
        <v>0</v>
      </c>
      <c r="BJ53" s="1164">
        <f>SUMIFS(Table9[Count of EnergyRating],Table9[MainSpaceHeatingFuel],AL53,Table9[EnergyRating (group)],AM53,Table9[CountyName (group)],BJ$4)</f>
        <v>0</v>
      </c>
      <c r="BK53" s="1135">
        <f>SUMIFS(Table9[Count of EnergyRating],Table9[MainSpaceHeatingFuel],AL53,Table9[EnergyRating (group)],AM53,Table9[CountyName (group)],BK$4)</f>
        <v>0</v>
      </c>
      <c r="BL53" s="1164">
        <f>SUMIFS(Table9[Count of EnergyRating],Table9[MainSpaceHeatingFuel],AL53,Table9[EnergyRating (group)],AM53,Table9[CountyName (group)],BL$4)</f>
        <v>0</v>
      </c>
      <c r="BM53" s="1164">
        <f>SUMIFS(Table9[Count of EnergyRating],Table9[MainSpaceHeatingFuel],AL53,Table9[EnergyRating (group)],AM53,Table9[CountyName (group)],BM$4)</f>
        <v>0</v>
      </c>
    </row>
    <row r="54" spans="2:65">
      <c r="B54" s="1134" t="s">
        <v>58</v>
      </c>
      <c r="C54" s="1134" t="s">
        <v>1180</v>
      </c>
      <c r="D54" s="1134" t="s">
        <v>1094</v>
      </c>
      <c r="E54" s="1145">
        <f t="shared" ref="E54:AA54" si="117">IFERROR(G173*((SUM(AN$60)/SUM(AN$55:AN$63))/(SUM(G$173)/SUM(G$171:G$176))),G173)</f>
        <v>7.1948512693244529E-3</v>
      </c>
      <c r="F54" s="1145">
        <f t="shared" si="117"/>
        <v>0.13949243399807215</v>
      </c>
      <c r="G54" s="1145">
        <f t="shared" si="117"/>
        <v>2.3362362231732541E-2</v>
      </c>
      <c r="H54" s="1145">
        <f t="shared" si="117"/>
        <v>5.0842219494747305E-3</v>
      </c>
      <c r="I54" s="1145">
        <f t="shared" si="117"/>
        <v>1.8446119767107738E-3</v>
      </c>
      <c r="J54" s="1145">
        <f t="shared" si="117"/>
        <v>3.7684132562652993E-3</v>
      </c>
      <c r="K54" s="1145">
        <f t="shared" si="117"/>
        <v>4.0922381278093471E-3</v>
      </c>
      <c r="L54" s="1145">
        <f t="shared" si="117"/>
        <v>9.564611819600154E-3</v>
      </c>
      <c r="M54" s="1145">
        <f t="shared" si="117"/>
        <v>5.1734739123637111E-3</v>
      </c>
      <c r="N54" s="1145">
        <f t="shared" si="117"/>
        <v>1.2401202657187839E-2</v>
      </c>
      <c r="O54" s="1145">
        <f t="shared" si="117"/>
        <v>1.1374834375075136E-2</v>
      </c>
      <c r="P54" s="1145">
        <f t="shared" si="117"/>
        <v>1.3498479233221438E-2</v>
      </c>
      <c r="Q54" s="1145">
        <f t="shared" si="117"/>
        <v>9.818007325501265E-3</v>
      </c>
      <c r="R54" s="1145">
        <f t="shared" si="117"/>
        <v>2.9474008988378514E-2</v>
      </c>
      <c r="S54" s="1145">
        <f t="shared" si="117"/>
        <v>1.2137373269248188E-2</v>
      </c>
      <c r="T54" s="1145">
        <f t="shared" si="117"/>
        <v>2.637486604824443E-2</v>
      </c>
      <c r="U54" s="1145">
        <f t="shared" si="117"/>
        <v>1.1439236535813422E-2</v>
      </c>
      <c r="V54" s="1145">
        <f t="shared" si="117"/>
        <v>4.3081833188028948E-3</v>
      </c>
      <c r="W54" s="1145">
        <f t="shared" si="117"/>
        <v>2.6068011088321227E-2</v>
      </c>
      <c r="X54" s="1145">
        <f t="shared" si="117"/>
        <v>3.4125770970259013E-4</v>
      </c>
      <c r="Y54" s="1145">
        <f t="shared" si="117"/>
        <v>1.066981362900845E-2</v>
      </c>
      <c r="Z54" s="1145">
        <f t="shared" si="117"/>
        <v>1.7390818794195398E-3</v>
      </c>
      <c r="AA54" s="1145">
        <f t="shared" si="117"/>
        <v>1.4291322536704692E-3</v>
      </c>
      <c r="AB54" s="1145">
        <f>IFERROR(AD173*((SUM(BK$60)/SUM(BK$55:BK$63))/(SUM(AD$173)/SUM(AD$171:AD$176))),AD173)</f>
        <v>2.6301274692824917E-3</v>
      </c>
      <c r="AC54" s="1145">
        <f>IFERROR(AE173*((SUM(BL$60)/SUM(BL$55:BL$63))/(SUM(AE$173)/SUM(AE$171:AE$176))),AE173)</f>
        <v>7.8655474913279996E-3</v>
      </c>
      <c r="AD54" s="1145">
        <f>IFERROR(AF173*((SUM(BM$60)/SUM(BM$55:BM$63))/(SUM(AF$173)/SUM(AF$171:AF$176))),AF173)</f>
        <v>7.4508905542139403E-4</v>
      </c>
      <c r="AE54" s="1172">
        <f t="shared" si="5"/>
        <v>0.38189147086898045</v>
      </c>
      <c r="AG54" s="1164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</row>
    <row r="55" spans="2:65">
      <c r="B55" s="1136" t="s">
        <v>60</v>
      </c>
      <c r="C55" s="1136" t="s">
        <v>1180</v>
      </c>
      <c r="D55" s="1136" t="s">
        <v>1094</v>
      </c>
      <c r="E55" s="1146">
        <f t="shared" ref="E55:AA55" si="118">IFERROR(G174*((SUM(AN$61)/SUM(AN$55:AN$63))/(SUM(G$174)/SUM(G$171:G$176))),G174)</f>
        <v>0</v>
      </c>
      <c r="F55" s="1146">
        <f t="shared" si="118"/>
        <v>0</v>
      </c>
      <c r="G55" s="1146">
        <f t="shared" si="118"/>
        <v>1.2965370160316687E-2</v>
      </c>
      <c r="H55" s="1146">
        <f t="shared" si="118"/>
        <v>2.3663890179582846E-3</v>
      </c>
      <c r="I55" s="1146">
        <f t="shared" si="118"/>
        <v>0</v>
      </c>
      <c r="J55" s="1146">
        <f t="shared" si="118"/>
        <v>1.622276558750981E-3</v>
      </c>
      <c r="K55" s="1146">
        <f t="shared" si="118"/>
        <v>0</v>
      </c>
      <c r="L55" s="1146">
        <f t="shared" si="118"/>
        <v>0</v>
      </c>
      <c r="M55" s="1146">
        <f t="shared" si="118"/>
        <v>2.8543304344075646E-3</v>
      </c>
      <c r="N55" s="1146">
        <f t="shared" si="118"/>
        <v>5.6556999997174834E-3</v>
      </c>
      <c r="O55" s="1146">
        <f t="shared" si="118"/>
        <v>7.5658302036050208E-3</v>
      </c>
      <c r="P55" s="1146">
        <f t="shared" si="118"/>
        <v>5.976025757620366E-3</v>
      </c>
      <c r="Q55" s="1146">
        <f t="shared" si="118"/>
        <v>6.4544307417647197E-3</v>
      </c>
      <c r="R55" s="1146">
        <f t="shared" si="118"/>
        <v>4.2105727126255021E-3</v>
      </c>
      <c r="S55" s="1146">
        <f t="shared" si="118"/>
        <v>5.7763265485765106E-3</v>
      </c>
      <c r="T55" s="1146">
        <f t="shared" si="118"/>
        <v>2.6374866048244426E-2</v>
      </c>
      <c r="U55" s="1146">
        <f t="shared" si="118"/>
        <v>6.4610502655983231E-3</v>
      </c>
      <c r="V55" s="1146">
        <f t="shared" si="118"/>
        <v>0</v>
      </c>
      <c r="W55" s="1146">
        <f t="shared" si="118"/>
        <v>1.0427204435328489E-3</v>
      </c>
      <c r="X55" s="1146">
        <f t="shared" si="118"/>
        <v>0</v>
      </c>
      <c r="Y55" s="1146">
        <f t="shared" si="118"/>
        <v>4.4197950616513106E-3</v>
      </c>
      <c r="Z55" s="1146">
        <f t="shared" si="118"/>
        <v>0</v>
      </c>
      <c r="AA55" s="1146">
        <f t="shared" si="118"/>
        <v>4.7637741789015656E-4</v>
      </c>
      <c r="AB55" s="1146">
        <f>IFERROR(AD174*((SUM(BK$61)/SUM(BK$55:BK$63))/(SUM(AD$174)/SUM(AD$171:AD$176))),AD174)</f>
        <v>0</v>
      </c>
      <c r="AC55" s="1146">
        <f>IFERROR(AE174*((SUM(BL$61)/SUM(BL$55:BL$63))/(SUM(AE$174)/SUM(AE$171:AE$176))),AE174)</f>
        <v>4.6676452258599416E-3</v>
      </c>
      <c r="AD55" s="1146">
        <f>IFERROR(AF174*((SUM(BM$61)/SUM(BM$55:BM$63))/(SUM(AF$174)/SUM(AF$171:AF$176))),AF174)</f>
        <v>1.8627226385534851E-4</v>
      </c>
      <c r="AE55" s="1173">
        <f t="shared" si="5"/>
        <v>9.9075978861975444E-2</v>
      </c>
      <c r="AG55" s="1164"/>
      <c r="AL55" s="1144" t="s">
        <v>1132</v>
      </c>
      <c r="AM55" s="1144" t="s">
        <v>48</v>
      </c>
      <c r="AN55" s="1135">
        <f>SUMIFS(Table9[Count of EnergyRating],Table9[MainSpaceHeatingFuel],AL55,Table9[EnergyRating (group)],AM55,Table9[CountyName (group)],AN$4)</f>
        <v>0</v>
      </c>
      <c r="AO55" s="1164">
        <f>SUMIFS(Table9[Count of EnergyRating],Table9[MainSpaceHeatingFuel],AL55,Table9[EnergyRating (group)],AM55,Table9[CountyName (group)],AO$4)</f>
        <v>0</v>
      </c>
      <c r="AP55" s="1164">
        <f>SUMIFS(Table9[Count of EnergyRating],Table9[MainSpaceHeatingFuel],AL55,Table9[EnergyRating (group)],AM55,Table9[CountyName (group)],AP$4)</f>
        <v>0</v>
      </c>
      <c r="AQ55" s="1164">
        <f>SUMIFS(Table9[Count of EnergyRating],Table9[MainSpaceHeatingFuel],AL55,Table9[EnergyRating (group)],AM55,Table9[CountyName (group)],AQ$4)</f>
        <v>0</v>
      </c>
      <c r="AR55" s="1164">
        <f>SUMIFS(Table9[Count of EnergyRating],Table9[MainSpaceHeatingFuel],AL55,Table9[EnergyRating (group)],AM55,Table9[CountyName (group)],AR$4)</f>
        <v>0</v>
      </c>
      <c r="AS55" s="1164">
        <f>SUMIFS(Table9[Count of EnergyRating],Table9[MainSpaceHeatingFuel],AL55,Table9[EnergyRating (group)],AM55,Table9[CountyName (group)],AS$4)</f>
        <v>0</v>
      </c>
      <c r="AT55" s="1164">
        <f>SUMIFS(Table9[Count of EnergyRating],Table9[MainSpaceHeatingFuel],AL55,Table9[EnergyRating (group)],AM55,Table9[CountyName (group)],AT$4)</f>
        <v>0</v>
      </c>
      <c r="AU55" s="1164">
        <f>SUMIFS(Table9[Count of EnergyRating],Table9[MainSpaceHeatingFuel],AL55,Table9[EnergyRating (group)],AM55,Table9[CountyName (group)],AU$4)</f>
        <v>0</v>
      </c>
      <c r="AV55" s="1164">
        <f>SUMIFS(Table9[Count of EnergyRating],Table9[MainSpaceHeatingFuel],AL55,Table9[EnergyRating (group)],AM55,Table9[CountyName (group)],AV$4)</f>
        <v>0</v>
      </c>
      <c r="AW55" s="1164">
        <f>SUMIFS(Table9[Count of EnergyRating],Table9[MainSpaceHeatingFuel],AL55,Table9[EnergyRating (group)],AM55,Table9[CountyName (group)],AW$4)</f>
        <v>0</v>
      </c>
      <c r="AX55" s="1164">
        <f>SUMIFS(Table9[Count of EnergyRating],Table9[MainSpaceHeatingFuel],AL55,Table9[EnergyRating (group)],AM55,Table9[CountyName (group)],AX$4)</f>
        <v>0</v>
      </c>
      <c r="AY55" s="1164">
        <f>SUMIFS(Table9[Count of EnergyRating],Table9[MainSpaceHeatingFuel],AL55,Table9[EnergyRating (group)],AM55,Table9[CountyName (group)],AY$4)</f>
        <v>0</v>
      </c>
      <c r="AZ55" s="1164">
        <f>SUMIFS(Table9[Count of EnergyRating],Table9[MainSpaceHeatingFuel],AL55,Table9[EnergyRating (group)],AM55,Table9[CountyName (group)],AZ$4)</f>
        <v>0</v>
      </c>
      <c r="BA55" s="1164">
        <f>SUMIFS(Table9[Count of EnergyRating],Table9[MainSpaceHeatingFuel],AL55,Table9[EnergyRating (group)],AM55,Table9[CountyName (group)],BA$4)</f>
        <v>0</v>
      </c>
      <c r="BB55" s="1164">
        <f>SUMIFS(Table9[Count of EnergyRating],Table9[MainSpaceHeatingFuel],AL55,Table9[EnergyRating (group)],AM55,Table9[CountyName (group)],BB$4)</f>
        <v>0</v>
      </c>
      <c r="BC55" s="1164">
        <f>SUMIFS(Table9[Count of EnergyRating],Table9[MainSpaceHeatingFuel],AL55,Table9[EnergyRating (group)],AM55,Table9[CountyName (group)],BC$4)</f>
        <v>0</v>
      </c>
      <c r="BD55" s="1164">
        <f>SUMIFS(Table9[Count of EnergyRating],Table9[MainSpaceHeatingFuel],AL55,Table9[EnergyRating (group)],AM55,Table9[CountyName (group)],BD$4)</f>
        <v>0</v>
      </c>
      <c r="BE55" s="1164">
        <f>SUMIFS(Table9[Count of EnergyRating],Table9[MainSpaceHeatingFuel],AL55,Table9[EnergyRating (group)],AM55,Table9[CountyName (group)],BE$4)</f>
        <v>0</v>
      </c>
      <c r="BF55" s="1164">
        <f>SUMIFS(Table9[Count of EnergyRating],Table9[MainSpaceHeatingFuel],AL55,Table9[EnergyRating (group)],AM55,Table9[CountyName (group)],BF$4)</f>
        <v>0</v>
      </c>
      <c r="BG55" s="1164">
        <f>SUMIFS(Table9[Count of EnergyRating],Table9[MainSpaceHeatingFuel],AL55,Table9[EnergyRating (group)],AM55,Table9[CountyName (group)],BG$4)</f>
        <v>0</v>
      </c>
      <c r="BH55" s="1164">
        <f>SUMIFS(Table9[Count of EnergyRating],Table9[MainSpaceHeatingFuel],AL55,Table9[EnergyRating (group)],AM55,Table9[CountyName (group)],BH$4)</f>
        <v>0</v>
      </c>
      <c r="BI55" s="1164">
        <f>SUMIFS(Table9[Count of EnergyRating],Table9[MainSpaceHeatingFuel],AL55,Table9[EnergyRating (group)],AM55,Table9[CountyName (group)],BI$4)</f>
        <v>0</v>
      </c>
      <c r="BJ55" s="1164">
        <f>SUMIFS(Table9[Count of EnergyRating],Table9[MainSpaceHeatingFuel],AL55,Table9[EnergyRating (group)],AM55,Table9[CountyName (group)],BJ$4)</f>
        <v>0</v>
      </c>
      <c r="BK55" s="1135">
        <f>SUMIFS(Table9[Count of EnergyRating],Table9[MainSpaceHeatingFuel],AL55,Table9[EnergyRating (group)],AM55,Table9[CountyName (group)],BK$4)</f>
        <v>0</v>
      </c>
      <c r="BL55" s="1164">
        <f>SUMIFS(Table9[Count of EnergyRating],Table9[MainSpaceHeatingFuel],AL55,Table9[EnergyRating (group)],AM55,Table9[CountyName (group)],BL$4)</f>
        <v>0</v>
      </c>
      <c r="BM55" s="1164">
        <f>SUMIFS(Table9[Count of EnergyRating],Table9[MainSpaceHeatingFuel],AL55,Table9[EnergyRating (group)],AM55,Table9[CountyName (group)],BM$4)</f>
        <v>0</v>
      </c>
    </row>
    <row r="56" spans="2:65">
      <c r="B56" s="1134" t="s">
        <v>62</v>
      </c>
      <c r="C56" s="1134" t="s">
        <v>1180</v>
      </c>
      <c r="D56" s="1134" t="s">
        <v>1094</v>
      </c>
      <c r="E56" s="1145">
        <f t="shared" ref="E56:AA56" si="119">IFERROR(G175*((SUM(AN$62)/SUM(AN$55:AN$63))/(SUM(G$175)/SUM(G$171:G$176))),G175)</f>
        <v>0</v>
      </c>
      <c r="F56" s="1145">
        <f t="shared" si="119"/>
        <v>6.9746216999036062E-2</v>
      </c>
      <c r="G56" s="1145">
        <f t="shared" si="119"/>
        <v>4.2477022239513721E-3</v>
      </c>
      <c r="H56" s="1145">
        <f t="shared" si="119"/>
        <v>1.0074725522000616E-3</v>
      </c>
      <c r="I56" s="1145">
        <f t="shared" si="119"/>
        <v>0</v>
      </c>
      <c r="J56" s="1145">
        <f t="shared" si="119"/>
        <v>4.2246785384140127E-4</v>
      </c>
      <c r="K56" s="1145">
        <f t="shared" si="119"/>
        <v>0</v>
      </c>
      <c r="L56" s="1145">
        <f t="shared" si="119"/>
        <v>0</v>
      </c>
      <c r="M56" s="1145">
        <f t="shared" si="119"/>
        <v>1.315667934609737E-3</v>
      </c>
      <c r="N56" s="1145">
        <f t="shared" si="119"/>
        <v>2.1608156145100023E-3</v>
      </c>
      <c r="O56" s="1145">
        <f t="shared" si="119"/>
        <v>2.29583813074911E-3</v>
      </c>
      <c r="P56" s="1145">
        <f t="shared" si="119"/>
        <v>2.149272421600307E-3</v>
      </c>
      <c r="Q56" s="1145">
        <f t="shared" si="119"/>
        <v>1.7272420294863334E-3</v>
      </c>
      <c r="R56" s="1145">
        <f t="shared" si="119"/>
        <v>0</v>
      </c>
      <c r="S56" s="1145">
        <f t="shared" si="119"/>
        <v>1.7541605162855046E-3</v>
      </c>
      <c r="T56" s="1145">
        <f t="shared" si="119"/>
        <v>0</v>
      </c>
      <c r="U56" s="1145">
        <f t="shared" si="119"/>
        <v>2.6744511345304532E-3</v>
      </c>
      <c r="V56" s="1145">
        <f t="shared" si="119"/>
        <v>2.1540916594014474E-3</v>
      </c>
      <c r="W56" s="1145">
        <f t="shared" si="119"/>
        <v>1.0427204435328491E-3</v>
      </c>
      <c r="X56" s="1145">
        <f t="shared" si="119"/>
        <v>0</v>
      </c>
      <c r="Y56" s="1145">
        <f t="shared" si="119"/>
        <v>1.6939302659192245E-3</v>
      </c>
      <c r="Z56" s="1145">
        <f t="shared" si="119"/>
        <v>0</v>
      </c>
      <c r="AA56" s="1145">
        <f t="shared" si="119"/>
        <v>0</v>
      </c>
      <c r="AB56" s="1145">
        <f>IFERROR(AD175*((SUM(BK$62)/SUM(BK$55:BK$63))/(SUM(AD$175)/SUM(AD$171:AD$176))),AD175)</f>
        <v>0</v>
      </c>
      <c r="AC56" s="1145">
        <f>IFERROR(AE175*((SUM(BL$62)/SUM(BL$55:BL$63))/(SUM(AE$175)/SUM(AE$171:AE$176))),AE175)</f>
        <v>1.5989511327340288E-3</v>
      </c>
      <c r="AD56" s="1145">
        <f>IFERROR(AF175*((SUM(BM$62)/SUM(BM$55:BM$63))/(SUM(AF$175)/SUM(AF$171:AF$176))),AF175)</f>
        <v>0</v>
      </c>
      <c r="AE56" s="1172">
        <f t="shared" si="5"/>
        <v>9.5991000912387908E-2</v>
      </c>
      <c r="AG56" s="1164"/>
      <c r="AL56" s="1144" t="s">
        <v>1132</v>
      </c>
      <c r="AM56" s="1144" t="s">
        <v>50</v>
      </c>
      <c r="AN56" s="1135">
        <f>SUMIFS(Table9[Count of EnergyRating],Table9[MainSpaceHeatingFuel],AL56,Table9[EnergyRating (group)],AM56,Table9[CountyName (group)],AN$4)</f>
        <v>0</v>
      </c>
      <c r="AO56" s="1164">
        <f>SUMIFS(Table9[Count of EnergyRating],Table9[MainSpaceHeatingFuel],AL56,Table9[EnergyRating (group)],AM56,Table9[CountyName (group)],AO$4)</f>
        <v>0</v>
      </c>
      <c r="AP56" s="1164">
        <f>SUMIFS(Table9[Count of EnergyRating],Table9[MainSpaceHeatingFuel],AL56,Table9[EnergyRating (group)],AM56,Table9[CountyName (group)],AP$4)</f>
        <v>0</v>
      </c>
      <c r="AQ56" s="1164">
        <f>SUMIFS(Table9[Count of EnergyRating],Table9[MainSpaceHeatingFuel],AL56,Table9[EnergyRating (group)],AM56,Table9[CountyName (group)],AQ$4)</f>
        <v>0</v>
      </c>
      <c r="AR56" s="1164">
        <f>SUMIFS(Table9[Count of EnergyRating],Table9[MainSpaceHeatingFuel],AL56,Table9[EnergyRating (group)],AM56,Table9[CountyName (group)],AR$4)</f>
        <v>0</v>
      </c>
      <c r="AS56" s="1164">
        <f>SUMIFS(Table9[Count of EnergyRating],Table9[MainSpaceHeatingFuel],AL56,Table9[EnergyRating (group)],AM56,Table9[CountyName (group)],AS$4)</f>
        <v>0</v>
      </c>
      <c r="AT56" s="1164">
        <f>SUMIFS(Table9[Count of EnergyRating],Table9[MainSpaceHeatingFuel],AL56,Table9[EnergyRating (group)],AM56,Table9[CountyName (group)],AT$4)</f>
        <v>0</v>
      </c>
      <c r="AU56" s="1164">
        <f>SUMIFS(Table9[Count of EnergyRating],Table9[MainSpaceHeatingFuel],AL56,Table9[EnergyRating (group)],AM56,Table9[CountyName (group)],AU$4)</f>
        <v>0</v>
      </c>
      <c r="AV56" s="1164">
        <f>SUMIFS(Table9[Count of EnergyRating],Table9[MainSpaceHeatingFuel],AL56,Table9[EnergyRating (group)],AM56,Table9[CountyName (group)],AV$4)</f>
        <v>0</v>
      </c>
      <c r="AW56" s="1164">
        <f>SUMIFS(Table9[Count of EnergyRating],Table9[MainSpaceHeatingFuel],AL56,Table9[EnergyRating (group)],AM56,Table9[CountyName (group)],AW$4)</f>
        <v>0</v>
      </c>
      <c r="AX56" s="1164">
        <f>SUMIFS(Table9[Count of EnergyRating],Table9[MainSpaceHeatingFuel],AL56,Table9[EnergyRating (group)],AM56,Table9[CountyName (group)],AX$4)</f>
        <v>0</v>
      </c>
      <c r="AY56" s="1164">
        <f>SUMIFS(Table9[Count of EnergyRating],Table9[MainSpaceHeatingFuel],AL56,Table9[EnergyRating (group)],AM56,Table9[CountyName (group)],AY$4)</f>
        <v>0</v>
      </c>
      <c r="AZ56" s="1164">
        <f>SUMIFS(Table9[Count of EnergyRating],Table9[MainSpaceHeatingFuel],AL56,Table9[EnergyRating (group)],AM56,Table9[CountyName (group)],AZ$4)</f>
        <v>0</v>
      </c>
      <c r="BA56" s="1164">
        <f>SUMIFS(Table9[Count of EnergyRating],Table9[MainSpaceHeatingFuel],AL56,Table9[EnergyRating (group)],AM56,Table9[CountyName (group)],BA$4)</f>
        <v>0</v>
      </c>
      <c r="BB56" s="1164">
        <f>SUMIFS(Table9[Count of EnergyRating],Table9[MainSpaceHeatingFuel],AL56,Table9[EnergyRating (group)],AM56,Table9[CountyName (group)],BB$4)</f>
        <v>0</v>
      </c>
      <c r="BC56" s="1164">
        <f>SUMIFS(Table9[Count of EnergyRating],Table9[MainSpaceHeatingFuel],AL56,Table9[EnergyRating (group)],AM56,Table9[CountyName (group)],BC$4)</f>
        <v>0</v>
      </c>
      <c r="BD56" s="1164">
        <f>SUMIFS(Table9[Count of EnergyRating],Table9[MainSpaceHeatingFuel],AL56,Table9[EnergyRating (group)],AM56,Table9[CountyName (group)],BD$4)</f>
        <v>0</v>
      </c>
      <c r="BE56" s="1164">
        <f>SUMIFS(Table9[Count of EnergyRating],Table9[MainSpaceHeatingFuel],AL56,Table9[EnergyRating (group)],AM56,Table9[CountyName (group)],BE$4)</f>
        <v>0</v>
      </c>
      <c r="BF56" s="1164">
        <f>SUMIFS(Table9[Count of EnergyRating],Table9[MainSpaceHeatingFuel],AL56,Table9[EnergyRating (group)],AM56,Table9[CountyName (group)],BF$4)</f>
        <v>3</v>
      </c>
      <c r="BG56" s="1164">
        <f>SUMIFS(Table9[Count of EnergyRating],Table9[MainSpaceHeatingFuel],AL56,Table9[EnergyRating (group)],AM56,Table9[CountyName (group)],BG$4)</f>
        <v>0</v>
      </c>
      <c r="BH56" s="1164">
        <f>SUMIFS(Table9[Count of EnergyRating],Table9[MainSpaceHeatingFuel],AL56,Table9[EnergyRating (group)],AM56,Table9[CountyName (group)],BH$4)</f>
        <v>0</v>
      </c>
      <c r="BI56" s="1164">
        <f>SUMIFS(Table9[Count of EnergyRating],Table9[MainSpaceHeatingFuel],AL56,Table9[EnergyRating (group)],AM56,Table9[CountyName (group)],BI$4)</f>
        <v>0</v>
      </c>
      <c r="BJ56" s="1164">
        <f>SUMIFS(Table9[Count of EnergyRating],Table9[MainSpaceHeatingFuel],AL56,Table9[EnergyRating (group)],AM56,Table9[CountyName (group)],BJ$4)</f>
        <v>8</v>
      </c>
      <c r="BK56" s="1135">
        <f>SUMIFS(Table9[Count of EnergyRating],Table9[MainSpaceHeatingFuel],AL56,Table9[EnergyRating (group)],AM56,Table9[CountyName (group)],BK$4)</f>
        <v>0</v>
      </c>
      <c r="BL56" s="1164">
        <f>SUMIFS(Table9[Count of EnergyRating],Table9[MainSpaceHeatingFuel],AL56,Table9[EnergyRating (group)],AM56,Table9[CountyName (group)],BL$4)</f>
        <v>0</v>
      </c>
      <c r="BM56" s="1164">
        <f>SUMIFS(Table9[Count of EnergyRating],Table9[MainSpaceHeatingFuel],AL56,Table9[EnergyRating (group)],AM56,Table9[CountyName (group)],BM$4)</f>
        <v>0</v>
      </c>
    </row>
    <row r="57" spans="2:65" ht="13.5" thickBot="1">
      <c r="B57" s="1138" t="s">
        <v>64</v>
      </c>
      <c r="C57" s="1138" t="s">
        <v>1180</v>
      </c>
      <c r="D57" s="1138" t="s">
        <v>1094</v>
      </c>
      <c r="E57" s="1147">
        <f t="shared" ref="E57:AA57" si="120">IFERROR(G176*((SUM(AN$63)/SUM(AN$55:AN$63))/(SUM(G$176)/SUM(G$171:G$176))),G176)</f>
        <v>0</v>
      </c>
      <c r="F57" s="1147">
        <f t="shared" si="120"/>
        <v>0</v>
      </c>
      <c r="G57" s="1147">
        <f t="shared" si="120"/>
        <v>3.6056077017261644E-3</v>
      </c>
      <c r="H57" s="1147">
        <f t="shared" si="120"/>
        <v>1.5697828138931196E-3</v>
      </c>
      <c r="I57" s="1147">
        <f t="shared" si="120"/>
        <v>0</v>
      </c>
      <c r="J57" s="1147">
        <f t="shared" si="120"/>
        <v>5.7455628122430572E-4</v>
      </c>
      <c r="K57" s="1147">
        <f t="shared" si="120"/>
        <v>0</v>
      </c>
      <c r="L57" s="1147">
        <f t="shared" si="120"/>
        <v>0</v>
      </c>
      <c r="M57" s="1147">
        <f t="shared" si="120"/>
        <v>1.337967391128546E-3</v>
      </c>
      <c r="N57" s="1147">
        <f t="shared" si="120"/>
        <v>1.6910730896165234E-3</v>
      </c>
      <c r="O57" s="1147">
        <f t="shared" si="120"/>
        <v>2.7132632454307665E-3</v>
      </c>
      <c r="P57" s="1147">
        <f t="shared" si="120"/>
        <v>3.6957001395810153E-3</v>
      </c>
      <c r="Q57" s="1147">
        <f t="shared" si="120"/>
        <v>2.6363167818475616E-3</v>
      </c>
      <c r="R57" s="1147">
        <f t="shared" si="120"/>
        <v>1.2631718137876507E-2</v>
      </c>
      <c r="S57" s="1147">
        <f t="shared" si="120"/>
        <v>2.6932565502565324E-3</v>
      </c>
      <c r="T57" s="1147">
        <f t="shared" si="120"/>
        <v>0</v>
      </c>
      <c r="U57" s="1147">
        <f t="shared" si="120"/>
        <v>4.3956325577431217E-3</v>
      </c>
      <c r="V57" s="1147">
        <f t="shared" si="120"/>
        <v>0</v>
      </c>
      <c r="W57" s="1147">
        <f t="shared" si="120"/>
        <v>0</v>
      </c>
      <c r="X57" s="1147">
        <f t="shared" si="120"/>
        <v>0</v>
      </c>
      <c r="Y57" s="1147">
        <f t="shared" si="120"/>
        <v>1.8691644313591443E-3</v>
      </c>
      <c r="Z57" s="1147">
        <f t="shared" si="120"/>
        <v>0</v>
      </c>
      <c r="AA57" s="1147">
        <f t="shared" si="120"/>
        <v>3.5728306341761736E-4</v>
      </c>
      <c r="AB57" s="1147">
        <f>IFERROR(AD176*((SUM(BK$63)/SUM(BK$55:BK$63))/(SUM(AD$176)/SUM(AD$171:AD$176))),AD176)</f>
        <v>0</v>
      </c>
      <c r="AC57" s="1147">
        <f>IFERROR(AE176*((SUM(BL$63)/SUM(BL$55:BL$63))/(SUM(AE$176)/SUM(AE$171:AE$176))),AE176)</f>
        <v>1.9381225851321556E-3</v>
      </c>
      <c r="AD57" s="1147">
        <f>IFERROR(AF176*((SUM(BM$63)/SUM(BM$55:BM$63))/(SUM(AF$176)/SUM(AF$171:AF$176))),AF176)</f>
        <v>0</v>
      </c>
      <c r="AE57" s="1174">
        <f t="shared" si="5"/>
        <v>4.1709444770233077E-2</v>
      </c>
      <c r="AG57" s="1164"/>
      <c r="AL57" s="1144" t="s">
        <v>1132</v>
      </c>
      <c r="AM57" s="1144" t="s">
        <v>52</v>
      </c>
      <c r="AN57" s="1135">
        <f>SUMIFS(Table9[Count of EnergyRating],Table9[MainSpaceHeatingFuel],AL57,Table9[EnergyRating (group)],AM57,Table9[CountyName (group)],AN$4)</f>
        <v>2</v>
      </c>
      <c r="AO57" s="1164">
        <f>SUMIFS(Table9[Count of EnergyRating],Table9[MainSpaceHeatingFuel],AL57,Table9[EnergyRating (group)],AM57,Table9[CountyName (group)],AO$4)</f>
        <v>3</v>
      </c>
      <c r="AP57" s="1164">
        <f>SUMIFS(Table9[Count of EnergyRating],Table9[MainSpaceHeatingFuel],AL57,Table9[EnergyRating (group)],AM57,Table9[CountyName (group)],AP$4)</f>
        <v>0</v>
      </c>
      <c r="AQ57" s="1164">
        <f>SUMIFS(Table9[Count of EnergyRating],Table9[MainSpaceHeatingFuel],AL57,Table9[EnergyRating (group)],AM57,Table9[CountyName (group)],AQ$4)</f>
        <v>0</v>
      </c>
      <c r="AR57" s="1164">
        <f>SUMIFS(Table9[Count of EnergyRating],Table9[MainSpaceHeatingFuel],AL57,Table9[EnergyRating (group)],AM57,Table9[CountyName (group)],AR$4)</f>
        <v>0</v>
      </c>
      <c r="AS57" s="1164">
        <f>SUMIFS(Table9[Count of EnergyRating],Table9[MainSpaceHeatingFuel],AL57,Table9[EnergyRating (group)],AM57,Table9[CountyName (group)],AS$4)</f>
        <v>0</v>
      </c>
      <c r="AT57" s="1164">
        <f>SUMIFS(Table9[Count of EnergyRating],Table9[MainSpaceHeatingFuel],AL57,Table9[EnergyRating (group)],AM57,Table9[CountyName (group)],AT$4)</f>
        <v>1</v>
      </c>
      <c r="AU57" s="1164">
        <f>SUMIFS(Table9[Count of EnergyRating],Table9[MainSpaceHeatingFuel],AL57,Table9[EnergyRating (group)],AM57,Table9[CountyName (group)],AU$4)</f>
        <v>0</v>
      </c>
      <c r="AV57" s="1164">
        <f>SUMIFS(Table9[Count of EnergyRating],Table9[MainSpaceHeatingFuel],AL57,Table9[EnergyRating (group)],AM57,Table9[CountyName (group)],AV$4)</f>
        <v>0</v>
      </c>
      <c r="AW57" s="1164">
        <f>SUMIFS(Table9[Count of EnergyRating],Table9[MainSpaceHeatingFuel],AL57,Table9[EnergyRating (group)],AM57,Table9[CountyName (group)],AW$4)</f>
        <v>0</v>
      </c>
      <c r="AX57" s="1164">
        <f>SUMIFS(Table9[Count of EnergyRating],Table9[MainSpaceHeatingFuel],AL57,Table9[EnergyRating (group)],AM57,Table9[CountyName (group)],AX$4)</f>
        <v>0</v>
      </c>
      <c r="AY57" s="1164">
        <f>SUMIFS(Table9[Count of EnergyRating],Table9[MainSpaceHeatingFuel],AL57,Table9[EnergyRating (group)],AM57,Table9[CountyName (group)],AY$4)</f>
        <v>0</v>
      </c>
      <c r="AZ57" s="1164">
        <f>SUMIFS(Table9[Count of EnergyRating],Table9[MainSpaceHeatingFuel],AL57,Table9[EnergyRating (group)],AM57,Table9[CountyName (group)],AZ$4)</f>
        <v>0</v>
      </c>
      <c r="BA57" s="1164">
        <f>SUMIFS(Table9[Count of EnergyRating],Table9[MainSpaceHeatingFuel],AL57,Table9[EnergyRating (group)],AM57,Table9[CountyName (group)],BA$4)</f>
        <v>7</v>
      </c>
      <c r="BB57" s="1164">
        <f>SUMIFS(Table9[Count of EnergyRating],Table9[MainSpaceHeatingFuel],AL57,Table9[EnergyRating (group)],AM57,Table9[CountyName (group)],BB$4)</f>
        <v>0</v>
      </c>
      <c r="BC57" s="1164">
        <f>SUMIFS(Table9[Count of EnergyRating],Table9[MainSpaceHeatingFuel],AL57,Table9[EnergyRating (group)],AM57,Table9[CountyName (group)],BC$4)</f>
        <v>0</v>
      </c>
      <c r="BD57" s="1164">
        <f>SUMIFS(Table9[Count of EnergyRating],Table9[MainSpaceHeatingFuel],AL57,Table9[EnergyRating (group)],AM57,Table9[CountyName (group)],BD$4)</f>
        <v>0</v>
      </c>
      <c r="BE57" s="1164">
        <f>SUMIFS(Table9[Count of EnergyRating],Table9[MainSpaceHeatingFuel],AL57,Table9[EnergyRating (group)],AM57,Table9[CountyName (group)],BE$4)</f>
        <v>0</v>
      </c>
      <c r="BF57" s="1164">
        <f>SUMIFS(Table9[Count of EnergyRating],Table9[MainSpaceHeatingFuel],AL57,Table9[EnergyRating (group)],AM57,Table9[CountyName (group)],BF$4)</f>
        <v>6</v>
      </c>
      <c r="BG57" s="1164">
        <f>SUMIFS(Table9[Count of EnergyRating],Table9[MainSpaceHeatingFuel],AL57,Table9[EnergyRating (group)],AM57,Table9[CountyName (group)],BG$4)</f>
        <v>4</v>
      </c>
      <c r="BH57" s="1164">
        <f>SUMIFS(Table9[Count of EnergyRating],Table9[MainSpaceHeatingFuel],AL57,Table9[EnergyRating (group)],AM57,Table9[CountyName (group)],BH$4)</f>
        <v>0</v>
      </c>
      <c r="BI57" s="1164">
        <f>SUMIFS(Table9[Count of EnergyRating],Table9[MainSpaceHeatingFuel],AL57,Table9[EnergyRating (group)],AM57,Table9[CountyName (group)],BI$4)</f>
        <v>0</v>
      </c>
      <c r="BJ57" s="1164">
        <f>SUMIFS(Table9[Count of EnergyRating],Table9[MainSpaceHeatingFuel],AL57,Table9[EnergyRating (group)],AM57,Table9[CountyName (group)],BJ$4)</f>
        <v>36</v>
      </c>
      <c r="BK57" s="1135">
        <f>SUMIFS(Table9[Count of EnergyRating],Table9[MainSpaceHeatingFuel],AL57,Table9[EnergyRating (group)],AM57,Table9[CountyName (group)],BK$4)</f>
        <v>1</v>
      </c>
      <c r="BL57" s="1164">
        <f>SUMIFS(Table9[Count of EnergyRating],Table9[MainSpaceHeatingFuel],AL57,Table9[EnergyRating (group)],AM57,Table9[CountyName (group)],BL$4)</f>
        <v>0</v>
      </c>
      <c r="BM57" s="1164">
        <f>SUMIFS(Table9[Count of EnergyRating],Table9[MainSpaceHeatingFuel],AL57,Table9[EnergyRating (group)],AM57,Table9[CountyName (group)],BM$4)</f>
        <v>22</v>
      </c>
    </row>
    <row r="58" spans="2:65" ht="13.5" thickBot="1">
      <c r="B58" s="1138" t="s">
        <v>1075</v>
      </c>
      <c r="C58" s="1138" t="s">
        <v>1180</v>
      </c>
      <c r="D58" s="1138" t="s">
        <v>1094</v>
      </c>
      <c r="E58" s="1147">
        <f>SUM(E52:E57)</f>
        <v>1.7987128173311131E-2</v>
      </c>
      <c r="F58" s="1147">
        <f t="shared" ref="F58" si="121">SUM(F52:F57)</f>
        <v>1.7436554249759018</v>
      </c>
      <c r="G58" s="1147">
        <f t="shared" ref="G58" si="122">SUM(G52:G57)</f>
        <v>0.10412324360525027</v>
      </c>
      <c r="H58" s="1147">
        <f t="shared" ref="H58" si="123">SUM(H52:H57)</f>
        <v>2.4764337377766642E-2</v>
      </c>
      <c r="I58" s="1147">
        <f t="shared" ref="I58" si="124">SUM(I52:I57)</f>
        <v>2.0290731743818513E-2</v>
      </c>
      <c r="J58" s="1147">
        <f t="shared" ref="J58" si="125">SUM(J52:J57)</f>
        <v>9.7767704928174506E-3</v>
      </c>
      <c r="K58" s="1147">
        <f t="shared" ref="K58" si="126">SUM(K52:K57)</f>
        <v>4.2968500341998145E-2</v>
      </c>
      <c r="L58" s="1147">
        <f t="shared" ref="L58" si="127">SUM(L52:L57)</f>
        <v>7.6516894556801246E-2</v>
      </c>
      <c r="M58" s="1147">
        <f t="shared" ref="M58" si="128">SUM(M52:M57)</f>
        <v>1.6618517965297348E-2</v>
      </c>
      <c r="N58" s="1147">
        <f t="shared" ref="N58" si="129">SUM(N52:N57)</f>
        <v>4.0849571720092709E-2</v>
      </c>
      <c r="O58" s="1147">
        <f t="shared" ref="O58" si="130">SUM(O52:O57)</f>
        <v>3.7739067521663332E-2</v>
      </c>
      <c r="P58" s="1147">
        <f t="shared" ref="P58" si="131">SUM(P52:P57)</f>
        <v>6.3816006282994414E-2</v>
      </c>
      <c r="Q58" s="1147">
        <f t="shared" ref="Q58" si="132">SUM(Q52:Q57)</f>
        <v>3.522561613321195E-2</v>
      </c>
      <c r="R58" s="1147">
        <f t="shared" ref="R58" si="133">SUM(R52:R57)</f>
        <v>0.25684493547015563</v>
      </c>
      <c r="S58" s="1147">
        <f t="shared" ref="S58" si="134">SUM(S52:S57)</f>
        <v>4.1091526896126065E-2</v>
      </c>
      <c r="T58" s="1147">
        <f t="shared" ref="T58" si="135">SUM(T52:T57)</f>
        <v>0.1054994641929777</v>
      </c>
      <c r="U58" s="1147">
        <f t="shared" ref="U58" si="136">SUM(U52:U57)</f>
        <v>3.368451765971546E-2</v>
      </c>
      <c r="V58" s="1147">
        <f t="shared" ref="V58" si="137">SUM(V52:V57)</f>
        <v>4.52359248474304E-2</v>
      </c>
      <c r="W58" s="1147">
        <f t="shared" ref="W58" si="138">SUM(W52:W57)</f>
        <v>0.1397245394334018</v>
      </c>
      <c r="X58" s="1147">
        <f t="shared" ref="X58" si="139">SUM(X52:X57)</f>
        <v>7.6782984683082785E-3</v>
      </c>
      <c r="Y58" s="1147">
        <f t="shared" ref="Y58" si="140">SUM(Y52:Y57)</f>
        <v>3.0277971616924009E-2</v>
      </c>
      <c r="Z58" s="1147">
        <f t="shared" ref="Z58" si="141">SUM(Z52:Z57)</f>
        <v>9.5649503368074699E-3</v>
      </c>
      <c r="AA58" s="1147">
        <f t="shared" ref="AA58" si="142">SUM(AA52:AA57)</f>
        <v>2.3699776540035286E-2</v>
      </c>
      <c r="AB58" s="1147">
        <f t="shared" ref="AB58" si="143">SUM(AB52:AB57)</f>
        <v>1.7972537706763696E-2</v>
      </c>
      <c r="AC58" s="1147">
        <f t="shared" ref="AC58" si="144">SUM(AC52:AC57)</f>
        <v>3.3836637863510717E-2</v>
      </c>
      <c r="AD58" s="1147">
        <f t="shared" ref="AD58" si="145">SUM(AD52:AD57)</f>
        <v>1.4529236580717184E-2</v>
      </c>
      <c r="AE58" s="1147">
        <f t="shared" ref="AE58" si="146">SUM(AE52:AE57)</f>
        <v>2.993972128503799</v>
      </c>
      <c r="AG58" s="1164"/>
      <c r="AL58" s="1144" t="s">
        <v>1132</v>
      </c>
      <c r="AM58" s="1144" t="s">
        <v>54</v>
      </c>
      <c r="AN58" s="1135">
        <f>SUMIFS(Table9[Count of EnergyRating],Table9[MainSpaceHeatingFuel],AL58,Table9[EnergyRating (group)],AM58,Table9[CountyName (group)],AN$4)</f>
        <v>2</v>
      </c>
      <c r="AO58" s="1164">
        <f>SUMIFS(Table9[Count of EnergyRating],Table9[MainSpaceHeatingFuel],AL58,Table9[EnergyRating (group)],AM58,Table9[CountyName (group)],AO$4)</f>
        <v>4</v>
      </c>
      <c r="AP58" s="1164">
        <f>SUMIFS(Table9[Count of EnergyRating],Table9[MainSpaceHeatingFuel],AL58,Table9[EnergyRating (group)],AM58,Table9[CountyName (group)],AP$4)</f>
        <v>0</v>
      </c>
      <c r="AQ58" s="1164">
        <f>SUMIFS(Table9[Count of EnergyRating],Table9[MainSpaceHeatingFuel],AL58,Table9[EnergyRating (group)],AM58,Table9[CountyName (group)],AQ$4)</f>
        <v>0</v>
      </c>
      <c r="AR58" s="1164">
        <f>SUMIFS(Table9[Count of EnergyRating],Table9[MainSpaceHeatingFuel],AL58,Table9[EnergyRating (group)],AM58,Table9[CountyName (group)],AR$4)</f>
        <v>1</v>
      </c>
      <c r="AS58" s="1164">
        <f>SUMIFS(Table9[Count of EnergyRating],Table9[MainSpaceHeatingFuel],AL58,Table9[EnergyRating (group)],AM58,Table9[CountyName (group)],AS$4)</f>
        <v>0</v>
      </c>
      <c r="AT58" s="1164">
        <f>SUMIFS(Table9[Count of EnergyRating],Table9[MainSpaceHeatingFuel],AL58,Table9[EnergyRating (group)],AM58,Table9[CountyName (group)],AT$4)</f>
        <v>4</v>
      </c>
      <c r="AU58" s="1164">
        <f>SUMIFS(Table9[Count of EnergyRating],Table9[MainSpaceHeatingFuel],AL58,Table9[EnergyRating (group)],AM58,Table9[CountyName (group)],AU$4)</f>
        <v>2</v>
      </c>
      <c r="AV58" s="1164">
        <f>SUMIFS(Table9[Count of EnergyRating],Table9[MainSpaceHeatingFuel],AL58,Table9[EnergyRating (group)],AM58,Table9[CountyName (group)],AV$4)</f>
        <v>0</v>
      </c>
      <c r="AW58" s="1164">
        <f>SUMIFS(Table9[Count of EnergyRating],Table9[MainSpaceHeatingFuel],AL58,Table9[EnergyRating (group)],AM58,Table9[CountyName (group)],AW$4)</f>
        <v>0</v>
      </c>
      <c r="AX58" s="1164">
        <f>SUMIFS(Table9[Count of EnergyRating],Table9[MainSpaceHeatingFuel],AL58,Table9[EnergyRating (group)],AM58,Table9[CountyName (group)],AX$4)</f>
        <v>0</v>
      </c>
      <c r="AY58" s="1164">
        <f>SUMIFS(Table9[Count of EnergyRating],Table9[MainSpaceHeatingFuel],AL58,Table9[EnergyRating (group)],AM58,Table9[CountyName (group)],AY$4)</f>
        <v>0</v>
      </c>
      <c r="AZ58" s="1164">
        <f>SUMIFS(Table9[Count of EnergyRating],Table9[MainSpaceHeatingFuel],AL58,Table9[EnergyRating (group)],AM58,Table9[CountyName (group)],AZ$4)</f>
        <v>0</v>
      </c>
      <c r="BA58" s="1164">
        <f>SUMIFS(Table9[Count of EnergyRating],Table9[MainSpaceHeatingFuel],AL58,Table9[EnergyRating (group)],AM58,Table9[CountyName (group)],BA$4)</f>
        <v>15</v>
      </c>
      <c r="BB58" s="1164">
        <f>SUMIFS(Table9[Count of EnergyRating],Table9[MainSpaceHeatingFuel],AL58,Table9[EnergyRating (group)],AM58,Table9[CountyName (group)],BB$4)</f>
        <v>0</v>
      </c>
      <c r="BC58" s="1164">
        <f>SUMIFS(Table9[Count of EnergyRating],Table9[MainSpaceHeatingFuel],AL58,Table9[EnergyRating (group)],AM58,Table9[CountyName (group)],BC$4)</f>
        <v>0</v>
      </c>
      <c r="BD58" s="1164">
        <f>SUMIFS(Table9[Count of EnergyRating],Table9[MainSpaceHeatingFuel],AL58,Table9[EnergyRating (group)],AM58,Table9[CountyName (group)],BD$4)</f>
        <v>0</v>
      </c>
      <c r="BE58" s="1164">
        <f>SUMIFS(Table9[Count of EnergyRating],Table9[MainSpaceHeatingFuel],AL58,Table9[EnergyRating (group)],AM58,Table9[CountyName (group)],BE$4)</f>
        <v>1</v>
      </c>
      <c r="BF58" s="1164">
        <f>SUMIFS(Table9[Count of EnergyRating],Table9[MainSpaceHeatingFuel],AL58,Table9[EnergyRating (group)],AM58,Table9[CountyName (group)],BF$4)</f>
        <v>24</v>
      </c>
      <c r="BG58" s="1164">
        <f>SUMIFS(Table9[Count of EnergyRating],Table9[MainSpaceHeatingFuel],AL58,Table9[EnergyRating (group)],AM58,Table9[CountyName (group)],BG$4)</f>
        <v>10</v>
      </c>
      <c r="BH58" s="1164">
        <f>SUMIFS(Table9[Count of EnergyRating],Table9[MainSpaceHeatingFuel],AL58,Table9[EnergyRating (group)],AM58,Table9[CountyName (group)],BH$4)</f>
        <v>0</v>
      </c>
      <c r="BI58" s="1164">
        <f>SUMIFS(Table9[Count of EnergyRating],Table9[MainSpaceHeatingFuel],AL58,Table9[EnergyRating (group)],AM58,Table9[CountyName (group)],BI$4)</f>
        <v>0</v>
      </c>
      <c r="BJ58" s="1164">
        <f>SUMIFS(Table9[Count of EnergyRating],Table9[MainSpaceHeatingFuel],AL58,Table9[EnergyRating (group)],AM58,Table9[CountyName (group)],BJ$4)</f>
        <v>57</v>
      </c>
      <c r="BK58" s="1135">
        <f>SUMIFS(Table9[Count of EnergyRating],Table9[MainSpaceHeatingFuel],AL58,Table9[EnergyRating (group)],AM58,Table9[CountyName (group)],BK$4)</f>
        <v>2</v>
      </c>
      <c r="BL58" s="1164">
        <f>SUMIFS(Table9[Count of EnergyRating],Table9[MainSpaceHeatingFuel],AL58,Table9[EnergyRating (group)],AM58,Table9[CountyName (group)],BL$4)</f>
        <v>0</v>
      </c>
      <c r="BM58" s="1164">
        <f>SUMIFS(Table9[Count of EnergyRating],Table9[MainSpaceHeatingFuel],AL58,Table9[EnergyRating (group)],AM58,Table9[CountyName (group)],BM$4)</f>
        <v>21</v>
      </c>
    </row>
    <row r="59" spans="2:65" ht="15.75" thickBot="1">
      <c r="B59" s="1165"/>
      <c r="C59" s="1165" t="s">
        <v>1181</v>
      </c>
      <c r="D59" s="1165" t="s">
        <v>1094</v>
      </c>
      <c r="E59" s="1166">
        <f t="shared" ref="E59:AA59" si="147">G177</f>
        <v>1.643556180105659E-2</v>
      </c>
      <c r="F59" s="1166">
        <f t="shared" si="147"/>
        <v>1.5932480283017616</v>
      </c>
      <c r="G59" s="1166">
        <f t="shared" si="147"/>
        <v>9.5141591737795198E-2</v>
      </c>
      <c r="H59" s="1166">
        <f t="shared" si="147"/>
        <v>2.2628170184411076E-2</v>
      </c>
      <c r="I59" s="1166">
        <f t="shared" si="147"/>
        <v>1.8540456950710663E-2</v>
      </c>
      <c r="J59" s="1166">
        <f t="shared" si="147"/>
        <v>8.9334280659583449E-3</v>
      </c>
      <c r="K59" s="1166">
        <f t="shared" si="147"/>
        <v>3.9262045395189404E-2</v>
      </c>
      <c r="L59" s="1166">
        <f t="shared" si="147"/>
        <v>6.9916561287378359E-2</v>
      </c>
      <c r="M59" s="1166">
        <f t="shared" si="147"/>
        <v>1.518500765819218E-2</v>
      </c>
      <c r="N59" s="1166">
        <f t="shared" si="147"/>
        <v>3.7325895166992987E-2</v>
      </c>
      <c r="O59" s="1166">
        <f t="shared" si="147"/>
        <v>3.4483702489365504E-2</v>
      </c>
      <c r="P59" s="1166">
        <f t="shared" si="147"/>
        <v>5.8311249303100637E-2</v>
      </c>
      <c r="Q59" s="1166">
        <f t="shared" si="147"/>
        <v>3.2187060955997271E-2</v>
      </c>
      <c r="R59" s="1166">
        <f t="shared" si="147"/>
        <v>0.23468953851519961</v>
      </c>
      <c r="S59" s="1166">
        <f t="shared" si="147"/>
        <v>3.7546979333985375E-2</v>
      </c>
      <c r="T59" s="1166">
        <f t="shared" si="147"/>
        <v>9.6399099790417067E-2</v>
      </c>
      <c r="U59" s="1166">
        <f t="shared" si="147"/>
        <v>3.0778897353747087E-2</v>
      </c>
      <c r="V59" s="1166">
        <f t="shared" si="147"/>
        <v>4.1333882279276153E-2</v>
      </c>
      <c r="W59" s="1166">
        <f t="shared" si="147"/>
        <v>0.12767192632725347</v>
      </c>
      <c r="X59" s="1166">
        <f t="shared" si="147"/>
        <v>7.0159698528243757E-3</v>
      </c>
      <c r="Y59" s="1166">
        <f t="shared" si="147"/>
        <v>2.7666199346873584E-2</v>
      </c>
      <c r="Z59" s="1166">
        <f t="shared" si="147"/>
        <v>8.7398794776974865E-3</v>
      </c>
      <c r="AA59" s="1166">
        <f t="shared" si="147"/>
        <v>2.1655438168997999E-2</v>
      </c>
      <c r="AB59" s="1166">
        <f>AD177</f>
        <v>1.6422229905473477E-2</v>
      </c>
      <c r="AC59" s="1166">
        <f>AE177</f>
        <v>3.0917895696705243E-2</v>
      </c>
      <c r="AD59" s="1166">
        <f>AF177</f>
        <v>1.3275947302075129E-2</v>
      </c>
      <c r="AE59" s="1175">
        <f t="shared" si="5"/>
        <v>2.7357126426484353</v>
      </c>
      <c r="AG59" s="1164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SUMIFS(Table9[Count of EnergyRating],Table9[MainSpaceHeatingFuel],AL59,Table9[EnergyRating (group)],AM59,Table9[CountyName (group)],AN$4)</f>
        <v>2</v>
      </c>
      <c r="AO59" s="1164">
        <f>SUMIFS(Table9[Count of EnergyRating],Table9[MainSpaceHeatingFuel],AL59,Table9[EnergyRating (group)],AM59,Table9[CountyName (group)],AO$4)</f>
        <v>15</v>
      </c>
      <c r="AP59" s="1164">
        <f>SUMIFS(Table9[Count of EnergyRating],Table9[MainSpaceHeatingFuel],AL59,Table9[EnergyRating (group)],AM59,Table9[CountyName (group)],AP$4)</f>
        <v>0</v>
      </c>
      <c r="AQ59" s="1164">
        <f>SUMIFS(Table9[Count of EnergyRating],Table9[MainSpaceHeatingFuel],AL59,Table9[EnergyRating (group)],AM59,Table9[CountyName (group)],AQ$4)</f>
        <v>0</v>
      </c>
      <c r="AR59" s="1164">
        <f>SUMIFS(Table9[Count of EnergyRating],Table9[MainSpaceHeatingFuel],AL59,Table9[EnergyRating (group)],AM59,Table9[CountyName (group)],AR$4)</f>
        <v>9</v>
      </c>
      <c r="AS59" s="1164">
        <f>SUMIFS(Table9[Count of EnergyRating],Table9[MainSpaceHeatingFuel],AL59,Table9[EnergyRating (group)],AM59,Table9[CountyName (group)],AS$4)</f>
        <v>0</v>
      </c>
      <c r="AT59" s="1164">
        <f>SUMIFS(Table9[Count of EnergyRating],Table9[MainSpaceHeatingFuel],AL59,Table9[EnergyRating (group)],AM59,Table9[CountyName (group)],AT$4)</f>
        <v>33</v>
      </c>
      <c r="AU59" s="1164">
        <f>SUMIFS(Table9[Count of EnergyRating],Table9[MainSpaceHeatingFuel],AL59,Table9[EnergyRating (group)],AM59,Table9[CountyName (group)],AU$4)</f>
        <v>12</v>
      </c>
      <c r="AV59" s="1164">
        <f>SUMIFS(Table9[Count of EnergyRating],Table9[MainSpaceHeatingFuel],AL59,Table9[EnergyRating (group)],AM59,Table9[CountyName (group)],AV$4)</f>
        <v>0</v>
      </c>
      <c r="AW59" s="1164">
        <f>SUMIFS(Table9[Count of EnergyRating],Table9[MainSpaceHeatingFuel],AL59,Table9[EnergyRating (group)],AM59,Table9[CountyName (group)],AW$4)</f>
        <v>0</v>
      </c>
      <c r="AX59" s="1164">
        <f>SUMIFS(Table9[Count of EnergyRating],Table9[MainSpaceHeatingFuel],AL59,Table9[EnergyRating (group)],AM59,Table9[CountyName (group)],AX$4)</f>
        <v>0</v>
      </c>
      <c r="AY59" s="1164">
        <f>SUMIFS(Table9[Count of EnergyRating],Table9[MainSpaceHeatingFuel],AL59,Table9[EnergyRating (group)],AM59,Table9[CountyName (group)],AY$4)</f>
        <v>0</v>
      </c>
      <c r="AZ59" s="1164">
        <f>SUMIFS(Table9[Count of EnergyRating],Table9[MainSpaceHeatingFuel],AL59,Table9[EnergyRating (group)],AM59,Table9[CountyName (group)],AZ$4)</f>
        <v>0</v>
      </c>
      <c r="BA59" s="1164">
        <f>SUMIFS(Table9[Count of EnergyRating],Table9[MainSpaceHeatingFuel],AL59,Table9[EnergyRating (group)],AM59,Table9[CountyName (group)],BA$4)</f>
        <v>28</v>
      </c>
      <c r="BB59" s="1164">
        <f>SUMIFS(Table9[Count of EnergyRating],Table9[MainSpaceHeatingFuel],AL59,Table9[EnergyRating (group)],AM59,Table9[CountyName (group)],BB$4)</f>
        <v>0</v>
      </c>
      <c r="BC59" s="1164">
        <f>SUMIFS(Table9[Count of EnergyRating],Table9[MainSpaceHeatingFuel],AL59,Table9[EnergyRating (group)],AM59,Table9[CountyName (group)],BC$4)</f>
        <v>2</v>
      </c>
      <c r="BD59" s="1164">
        <f>SUMIFS(Table9[Count of EnergyRating],Table9[MainSpaceHeatingFuel],AL59,Table9[EnergyRating (group)],AM59,Table9[CountyName (group)],BD$4)</f>
        <v>0</v>
      </c>
      <c r="BE59" s="1164">
        <f>SUMIFS(Table9[Count of EnergyRating],Table9[MainSpaceHeatingFuel],AL59,Table9[EnergyRating (group)],AM59,Table9[CountyName (group)],BE$4)</f>
        <v>17</v>
      </c>
      <c r="BF59" s="1164">
        <f>SUMIFS(Table9[Count of EnergyRating],Table9[MainSpaceHeatingFuel],AL59,Table9[EnergyRating (group)],AM59,Table9[CountyName (group)],BF$4)</f>
        <v>74</v>
      </c>
      <c r="BG59" s="1164">
        <f>SUMIFS(Table9[Count of EnergyRating],Table9[MainSpaceHeatingFuel],AL59,Table9[EnergyRating (group)],AM59,Table9[CountyName (group)],BG$4)</f>
        <v>29</v>
      </c>
      <c r="BH59" s="1164">
        <f>SUMIFS(Table9[Count of EnergyRating],Table9[MainSpaceHeatingFuel],AL59,Table9[EnergyRating (group)],AM59,Table9[CountyName (group)],BH$4)</f>
        <v>0</v>
      </c>
      <c r="BI59" s="1164">
        <f>SUMIFS(Table9[Count of EnergyRating],Table9[MainSpaceHeatingFuel],AL59,Table9[EnergyRating (group)],AM59,Table9[CountyName (group)],BI$4)</f>
        <v>18</v>
      </c>
      <c r="BJ59" s="1164">
        <f>SUMIFS(Table9[Count of EnergyRating],Table9[MainSpaceHeatingFuel],AL59,Table9[EnergyRating (group)],AM59,Table9[CountyName (group)],BJ$4)</f>
        <v>79</v>
      </c>
      <c r="BK59" s="1135">
        <f>SUMIFS(Table9[Count of EnergyRating],Table9[MainSpaceHeatingFuel],AL59,Table9[EnergyRating (group)],AM59,Table9[CountyName (group)],BK$4)</f>
        <v>32</v>
      </c>
      <c r="BL59" s="1164">
        <f>SUMIFS(Table9[Count of EnergyRating],Table9[MainSpaceHeatingFuel],AL59,Table9[EnergyRating (group)],AM59,Table9[CountyName (group)],BL$4)</f>
        <v>0</v>
      </c>
      <c r="BM59" s="1164">
        <f>SUMIFS(Table9[Count of EnergyRating],Table9[MainSpaceHeatingFuel],AL59,Table9[EnergyRating (group)],AM59,Table9[CountyName (group)],BM$4)</f>
        <v>30</v>
      </c>
    </row>
    <row r="60" spans="2:65" ht="15">
      <c r="B60" s="1137"/>
      <c r="C60" s="1137" t="s">
        <v>1201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G60" s="58" t="s">
        <v>1163</v>
      </c>
      <c r="AH60" s="1158">
        <f>SUM(E61:AD66)</f>
        <v>68.736761962285726</v>
      </c>
      <c r="AI60" s="1140">
        <f>'SHWLP-Apt'!S11</f>
        <v>68.736761962285712</v>
      </c>
      <c r="AJ60" s="1160">
        <f>IFERROR((AI60-AH60)/AI60,"N/A")</f>
        <v>-2.0674315038289371E-16</v>
      </c>
      <c r="AL60" s="1144" t="s">
        <v>1132</v>
      </c>
      <c r="AM60" s="1144" t="s">
        <v>58</v>
      </c>
      <c r="AN60" s="1135">
        <f>SUMIFS(Table9[Count of EnergyRating],Table9[MainSpaceHeatingFuel],AL60,Table9[EnergyRating (group)],AM60,Table9[CountyName (group)],AN$4)</f>
        <v>4</v>
      </c>
      <c r="AO60" s="1164">
        <f>SUMIFS(Table9[Count of EnergyRating],Table9[MainSpaceHeatingFuel],AL60,Table9[EnergyRating (group)],AM60,Table9[CountyName (group)],AO$4)</f>
        <v>2</v>
      </c>
      <c r="AP60" s="1164">
        <f>SUMIFS(Table9[Count of EnergyRating],Table9[MainSpaceHeatingFuel],AL60,Table9[EnergyRating (group)],AM60,Table9[CountyName (group)],AP$4)</f>
        <v>0</v>
      </c>
      <c r="AQ60" s="1164">
        <f>SUMIFS(Table9[Count of EnergyRating],Table9[MainSpaceHeatingFuel],AL60,Table9[EnergyRating (group)],AM60,Table9[CountyName (group)],AQ$4)</f>
        <v>0</v>
      </c>
      <c r="AR60" s="1164">
        <f>SUMIFS(Table9[Count of EnergyRating],Table9[MainSpaceHeatingFuel],AL60,Table9[EnergyRating (group)],AM60,Table9[CountyName (group)],AR$4)</f>
        <v>1</v>
      </c>
      <c r="AS60" s="1164">
        <f>SUMIFS(Table9[Count of EnergyRating],Table9[MainSpaceHeatingFuel],AL60,Table9[EnergyRating (group)],AM60,Table9[CountyName (group)],AS$4)</f>
        <v>0</v>
      </c>
      <c r="AT60" s="1164">
        <f>SUMIFS(Table9[Count of EnergyRating],Table9[MainSpaceHeatingFuel],AL60,Table9[EnergyRating (group)],AM60,Table9[CountyName (group)],AT$4)</f>
        <v>4</v>
      </c>
      <c r="AU60" s="1164">
        <f>SUMIFS(Table9[Count of EnergyRating],Table9[MainSpaceHeatingFuel],AL60,Table9[EnergyRating (group)],AM60,Table9[CountyName (group)],AU$4)</f>
        <v>2</v>
      </c>
      <c r="AV60" s="1164">
        <f>SUMIFS(Table9[Count of EnergyRating],Table9[MainSpaceHeatingFuel],AL60,Table9[EnergyRating (group)],AM60,Table9[CountyName (group)],AV$4)</f>
        <v>0</v>
      </c>
      <c r="AW60" s="1164">
        <f>SUMIFS(Table9[Count of EnergyRating],Table9[MainSpaceHeatingFuel],AL60,Table9[EnergyRating (group)],AM60,Table9[CountyName (group)],AW$4)</f>
        <v>0</v>
      </c>
      <c r="AX60" s="1164">
        <f>SUMIFS(Table9[Count of EnergyRating],Table9[MainSpaceHeatingFuel],AL60,Table9[EnergyRating (group)],AM60,Table9[CountyName (group)],AX$4)</f>
        <v>0</v>
      </c>
      <c r="AY60" s="1164">
        <f>SUMIFS(Table9[Count of EnergyRating],Table9[MainSpaceHeatingFuel],AL60,Table9[EnergyRating (group)],AM60,Table9[CountyName (group)],AY$4)</f>
        <v>0</v>
      </c>
      <c r="AZ60" s="1164">
        <f>SUMIFS(Table9[Count of EnergyRating],Table9[MainSpaceHeatingFuel],AL60,Table9[EnergyRating (group)],AM60,Table9[CountyName (group)],AZ$4)</f>
        <v>0</v>
      </c>
      <c r="BA60" s="1164">
        <f>SUMIFS(Table9[Count of EnergyRating],Table9[MainSpaceHeatingFuel],AL60,Table9[EnergyRating (group)],AM60,Table9[CountyName (group)],BA$4)</f>
        <v>7</v>
      </c>
      <c r="BB60" s="1164">
        <f>SUMIFS(Table9[Count of EnergyRating],Table9[MainSpaceHeatingFuel],AL60,Table9[EnergyRating (group)],AM60,Table9[CountyName (group)],BB$4)</f>
        <v>0</v>
      </c>
      <c r="BC60" s="1164">
        <f>SUMIFS(Table9[Count of EnergyRating],Table9[MainSpaceHeatingFuel],AL60,Table9[EnergyRating (group)],AM60,Table9[CountyName (group)],BC$4)</f>
        <v>1</v>
      </c>
      <c r="BD60" s="1164">
        <f>SUMIFS(Table9[Count of EnergyRating],Table9[MainSpaceHeatingFuel],AL60,Table9[EnergyRating (group)],AM60,Table9[CountyName (group)],BD$4)</f>
        <v>0</v>
      </c>
      <c r="BE60" s="1164">
        <f>SUMIFS(Table9[Count of EnergyRating],Table9[MainSpaceHeatingFuel],AL60,Table9[EnergyRating (group)],AM60,Table9[CountyName (group)],BE$4)</f>
        <v>2</v>
      </c>
      <c r="BF60" s="1164">
        <f>SUMIFS(Table9[Count of EnergyRating],Table9[MainSpaceHeatingFuel],AL60,Table9[EnergyRating (group)],AM60,Table9[CountyName (group)],BF$4)</f>
        <v>25</v>
      </c>
      <c r="BG60" s="1164">
        <f>SUMIFS(Table9[Count of EnergyRating],Table9[MainSpaceHeatingFuel],AL60,Table9[EnergyRating (group)],AM60,Table9[CountyName (group)],BG$4)</f>
        <v>2</v>
      </c>
      <c r="BH60" s="1164">
        <f>SUMIFS(Table9[Count of EnergyRating],Table9[MainSpaceHeatingFuel],AL60,Table9[EnergyRating (group)],AM60,Table9[CountyName (group)],BH$4)</f>
        <v>0</v>
      </c>
      <c r="BI60" s="1164">
        <f>SUMIFS(Table9[Count of EnergyRating],Table9[MainSpaceHeatingFuel],AL60,Table9[EnergyRating (group)],AM60,Table9[CountyName (group)],BI$4)</f>
        <v>4</v>
      </c>
      <c r="BJ60" s="1164">
        <f>SUMIFS(Table9[Count of EnergyRating],Table9[MainSpaceHeatingFuel],AL60,Table9[EnergyRating (group)],AM60,Table9[CountyName (group)],BJ$4)</f>
        <v>12</v>
      </c>
      <c r="BK60" s="1135">
        <f>SUMIFS(Table9[Count of EnergyRating],Table9[MainSpaceHeatingFuel],AL60,Table9[EnergyRating (group)],AM60,Table9[CountyName (group)],BK$4)</f>
        <v>6</v>
      </c>
      <c r="BL60" s="1164">
        <f>SUMIFS(Table9[Count of EnergyRating],Table9[MainSpaceHeatingFuel],AL60,Table9[EnergyRating (group)],AM60,Table9[CountyName (group)],BL$4)</f>
        <v>0</v>
      </c>
      <c r="BM60" s="1164">
        <f>SUMIFS(Table9[Count of EnergyRating],Table9[MainSpaceHeatingFuel],AL60,Table9[EnergyRating (group)],AM60,Table9[CountyName (group)],BM$4)</f>
        <v>4</v>
      </c>
    </row>
    <row r="61" spans="2:65" ht="15">
      <c r="B61" s="1134" t="s">
        <v>1259</v>
      </c>
      <c r="C61" s="1134" t="s">
        <v>1182</v>
      </c>
      <c r="D61" s="1134" t="s">
        <v>1094</v>
      </c>
      <c r="E61" s="1145">
        <f t="shared" ref="E61:AA61" si="148">IFERROR(G179*((SUM(AN$65:AN$68)/SUM(AN$65:AN$73))/(SUM(G$179)/SUM(G$179:G$184))),G179)</f>
        <v>9.3853499219558618E-3</v>
      </c>
      <c r="F61" s="1145">
        <f t="shared" si="148"/>
        <v>1.927136232725668</v>
      </c>
      <c r="G61" s="1145">
        <f t="shared" si="148"/>
        <v>0.421383530206629</v>
      </c>
      <c r="H61" s="1145">
        <f t="shared" si="148"/>
        <v>0.10379871030880895</v>
      </c>
      <c r="I61" s="1145">
        <f t="shared" si="148"/>
        <v>8.2138460560779499E-3</v>
      </c>
      <c r="J61" s="1145">
        <f t="shared" si="148"/>
        <v>1.6120481726505681E-2</v>
      </c>
      <c r="K61" s="1145">
        <f t="shared" si="148"/>
        <v>2.9994547284727613E-2</v>
      </c>
      <c r="L61" s="1145">
        <f t="shared" si="148"/>
        <v>7.4026435236610982E-2</v>
      </c>
      <c r="M61" s="1145">
        <f t="shared" si="148"/>
        <v>3.1865988260770736E-2</v>
      </c>
      <c r="N61" s="1145">
        <f t="shared" si="148"/>
        <v>0.15056951757847073</v>
      </c>
      <c r="O61" s="1145">
        <f t="shared" si="148"/>
        <v>7.7793545953343854E-2</v>
      </c>
      <c r="P61" s="1145">
        <f t="shared" si="148"/>
        <v>0.38015005768143167</v>
      </c>
      <c r="Q61" s="1145">
        <f t="shared" si="148"/>
        <v>8.6173105437213945E-2</v>
      </c>
      <c r="R61" s="1145">
        <f t="shared" si="148"/>
        <v>0.41859244316848732</v>
      </c>
      <c r="S61" s="1145">
        <f t="shared" si="148"/>
        <v>0.1131267530576615</v>
      </c>
      <c r="T61" s="1145">
        <f t="shared" si="148"/>
        <v>6.2269660735988344E-2</v>
      </c>
      <c r="U61" s="1145">
        <f t="shared" si="148"/>
        <v>4.6864012357024351E-2</v>
      </c>
      <c r="V61" s="1145">
        <f t="shared" si="148"/>
        <v>5.2590956125195869E-2</v>
      </c>
      <c r="W61" s="1145">
        <f t="shared" si="148"/>
        <v>0.13698115688392837</v>
      </c>
      <c r="X61" s="1145">
        <f t="shared" si="148"/>
        <v>2.0837036062502146E-3</v>
      </c>
      <c r="Y61" s="1145">
        <f t="shared" si="148"/>
        <v>6.0378584885273361E-2</v>
      </c>
      <c r="Z61" s="1145">
        <f t="shared" si="148"/>
        <v>1.0096358770350141E-2</v>
      </c>
      <c r="AA61" s="1145">
        <f t="shared" si="148"/>
        <v>2.0152169322741269E-2</v>
      </c>
      <c r="AB61" s="1145">
        <f>IFERROR(AD179*((SUM(BK$65:BK$68)/SUM(BK$65:BK$73))/(SUM(AD$179)/SUM(AD$179:AD$184))),AD179)</f>
        <v>1.0503065313531327E-2</v>
      </c>
      <c r="AC61" s="1145">
        <f>IFERROR(AE179*((SUM(BL$65:BL$68)/SUM(BL$65:BL$73))/(SUM(AE$179)/SUM(AE$179:AE$184))),AE179)</f>
        <v>0.11643731310366554</v>
      </c>
      <c r="AD61" s="1145">
        <f>IFERROR(AF179*((SUM(BM$65:BM$68)/SUM(BM$65:BM$73))/(SUM(AF$179)/SUM(AF$179:AF$184))),AF179)</f>
        <v>4.7652541911249995E-3</v>
      </c>
      <c r="AE61" s="1172">
        <f t="shared" si="5"/>
        <v>4.371452779899438</v>
      </c>
      <c r="AG61" s="58" t="s">
        <v>1107</v>
      </c>
      <c r="AH61" s="1158">
        <f>SUM(E68:AD68)</f>
        <v>68.743988872820864</v>
      </c>
      <c r="AI61" s="1140">
        <f>'SHWLP-Apt'!S37</f>
        <v>68.743988872820864</v>
      </c>
      <c r="AJ61" s="1160">
        <f>(AI61-AH61)/AI61</f>
        <v>0</v>
      </c>
      <c r="AL61" s="1144" t="s">
        <v>1132</v>
      </c>
      <c r="AM61" s="1144" t="s">
        <v>60</v>
      </c>
      <c r="AN61" s="1135">
        <f>SUMIFS(Table9[Count of EnergyRating],Table9[MainSpaceHeatingFuel],AL61,Table9[EnergyRating (group)],AM61,Table9[CountyName (group)],AN$4)</f>
        <v>0</v>
      </c>
      <c r="AO61" s="1164">
        <f>SUMIFS(Table9[Count of EnergyRating],Table9[MainSpaceHeatingFuel],AL61,Table9[EnergyRating (group)],AM61,Table9[CountyName (group)],AO$4)</f>
        <v>0</v>
      </c>
      <c r="AP61" s="1164">
        <f>SUMIFS(Table9[Count of EnergyRating],Table9[MainSpaceHeatingFuel],AL61,Table9[EnergyRating (group)],AM61,Table9[CountyName (group)],AP$4)</f>
        <v>0</v>
      </c>
      <c r="AQ61" s="1164">
        <f>SUMIFS(Table9[Count of EnergyRating],Table9[MainSpaceHeatingFuel],AL61,Table9[EnergyRating (group)],AM61,Table9[CountyName (group)],AQ$4)</f>
        <v>0</v>
      </c>
      <c r="AR61" s="1164">
        <f>SUMIFS(Table9[Count of EnergyRating],Table9[MainSpaceHeatingFuel],AL61,Table9[EnergyRating (group)],AM61,Table9[CountyName (group)],AR$4)</f>
        <v>0</v>
      </c>
      <c r="AS61" s="1164">
        <f>SUMIFS(Table9[Count of EnergyRating],Table9[MainSpaceHeatingFuel],AL61,Table9[EnergyRating (group)],AM61,Table9[CountyName (group)],AS$4)</f>
        <v>0</v>
      </c>
      <c r="AT61" s="1164">
        <f>SUMIFS(Table9[Count of EnergyRating],Table9[MainSpaceHeatingFuel],AL61,Table9[EnergyRating (group)],AM61,Table9[CountyName (group)],AT$4)</f>
        <v>0</v>
      </c>
      <c r="AU61" s="1164">
        <f>SUMIFS(Table9[Count of EnergyRating],Table9[MainSpaceHeatingFuel],AL61,Table9[EnergyRating (group)],AM61,Table9[CountyName (group)],AU$4)</f>
        <v>0</v>
      </c>
      <c r="AV61" s="1164">
        <f>SUMIFS(Table9[Count of EnergyRating],Table9[MainSpaceHeatingFuel],AL61,Table9[EnergyRating (group)],AM61,Table9[CountyName (group)],AV$4)</f>
        <v>0</v>
      </c>
      <c r="AW61" s="1164">
        <f>SUMIFS(Table9[Count of EnergyRating],Table9[MainSpaceHeatingFuel],AL61,Table9[EnergyRating (group)],AM61,Table9[CountyName (group)],AW$4)</f>
        <v>0</v>
      </c>
      <c r="AX61" s="1164">
        <f>SUMIFS(Table9[Count of EnergyRating],Table9[MainSpaceHeatingFuel],AL61,Table9[EnergyRating (group)],AM61,Table9[CountyName (group)],AX$4)</f>
        <v>0</v>
      </c>
      <c r="AY61" s="1164">
        <f>SUMIFS(Table9[Count of EnergyRating],Table9[MainSpaceHeatingFuel],AL61,Table9[EnergyRating (group)],AM61,Table9[CountyName (group)],AY$4)</f>
        <v>0</v>
      </c>
      <c r="AZ61" s="1164">
        <f>SUMIFS(Table9[Count of EnergyRating],Table9[MainSpaceHeatingFuel],AL61,Table9[EnergyRating (group)],AM61,Table9[CountyName (group)],AZ$4)</f>
        <v>0</v>
      </c>
      <c r="BA61" s="1164">
        <f>SUMIFS(Table9[Count of EnergyRating],Table9[MainSpaceHeatingFuel],AL61,Table9[EnergyRating (group)],AM61,Table9[CountyName (group)],BA$4)</f>
        <v>1</v>
      </c>
      <c r="BB61" s="1164">
        <f>SUMIFS(Table9[Count of EnergyRating],Table9[MainSpaceHeatingFuel],AL61,Table9[EnergyRating (group)],AM61,Table9[CountyName (group)],BB$4)</f>
        <v>0</v>
      </c>
      <c r="BC61" s="1164">
        <f>SUMIFS(Table9[Count of EnergyRating],Table9[MainSpaceHeatingFuel],AL61,Table9[EnergyRating (group)],AM61,Table9[CountyName (group)],BC$4)</f>
        <v>1</v>
      </c>
      <c r="BD61" s="1164">
        <f>SUMIFS(Table9[Count of EnergyRating],Table9[MainSpaceHeatingFuel],AL61,Table9[EnergyRating (group)],AM61,Table9[CountyName (group)],BD$4)</f>
        <v>0</v>
      </c>
      <c r="BE61" s="1164">
        <f>SUMIFS(Table9[Count of EnergyRating],Table9[MainSpaceHeatingFuel],AL61,Table9[EnergyRating (group)],AM61,Table9[CountyName (group)],BE$4)</f>
        <v>0</v>
      </c>
      <c r="BF61" s="1164">
        <f>SUMIFS(Table9[Count of EnergyRating],Table9[MainSpaceHeatingFuel],AL61,Table9[EnergyRating (group)],AM61,Table9[CountyName (group)],BF$4)</f>
        <v>1</v>
      </c>
      <c r="BG61" s="1164">
        <f>SUMIFS(Table9[Count of EnergyRating],Table9[MainSpaceHeatingFuel],AL61,Table9[EnergyRating (group)],AM61,Table9[CountyName (group)],BG$4)</f>
        <v>0</v>
      </c>
      <c r="BH61" s="1164">
        <f>SUMIFS(Table9[Count of EnergyRating],Table9[MainSpaceHeatingFuel],AL61,Table9[EnergyRating (group)],AM61,Table9[CountyName (group)],BH$4)</f>
        <v>0</v>
      </c>
      <c r="BI61" s="1164">
        <f>SUMIFS(Table9[Count of EnergyRating],Table9[MainSpaceHeatingFuel],AL61,Table9[EnergyRating (group)],AM61,Table9[CountyName (group)],BI$4)</f>
        <v>0</v>
      </c>
      <c r="BJ61" s="1164">
        <f>SUMIFS(Table9[Count of EnergyRating],Table9[MainSpaceHeatingFuel],AL61,Table9[EnergyRating (group)],AM61,Table9[CountyName (group)],BJ$4)</f>
        <v>4</v>
      </c>
      <c r="BK61" s="1135">
        <f>SUMIFS(Table9[Count of EnergyRating],Table9[MainSpaceHeatingFuel],AL61,Table9[EnergyRating (group)],AM61,Table9[CountyName (group)],BK$4)</f>
        <v>0</v>
      </c>
      <c r="BL61" s="1164">
        <f>SUMIFS(Table9[Count of EnergyRating],Table9[MainSpaceHeatingFuel],AL61,Table9[EnergyRating (group)],AM61,Table9[CountyName (group)],BL$4)</f>
        <v>0</v>
      </c>
      <c r="BM61" s="1164">
        <f>SUMIFS(Table9[Count of EnergyRating],Table9[MainSpaceHeatingFuel],AL61,Table9[EnergyRating (group)],AM61,Table9[CountyName (group)],BM$4)</f>
        <v>1</v>
      </c>
    </row>
    <row r="62" spans="2:65">
      <c r="B62" s="1136" t="s">
        <v>56</v>
      </c>
      <c r="C62" s="1136" t="s">
        <v>1182</v>
      </c>
      <c r="D62" s="1136" t="s">
        <v>1094</v>
      </c>
      <c r="E62" s="1146">
        <f t="shared" ref="E62:AA62" si="149">IFERROR(G180*((SUM(AN$69)/SUM(AN$65:AN$73))/(SUM(G$180)/SUM(G$179:G$184))),G180)</f>
        <v>0.10245673664801813</v>
      </c>
      <c r="F62" s="1146">
        <f t="shared" si="149"/>
        <v>11.397099717534326</v>
      </c>
      <c r="G62" s="1146">
        <f t="shared" si="149"/>
        <v>0.95479254777675482</v>
      </c>
      <c r="H62" s="1146">
        <f t="shared" si="149"/>
        <v>0.23452685147197991</v>
      </c>
      <c r="I62" s="1146">
        <f t="shared" si="149"/>
        <v>9.8566152672935378E-2</v>
      </c>
      <c r="J62" s="1146">
        <f t="shared" si="149"/>
        <v>6.1686779950025007E-2</v>
      </c>
      <c r="K62" s="1146">
        <f t="shared" si="149"/>
        <v>0.16996910128012313</v>
      </c>
      <c r="L62" s="1146">
        <f t="shared" si="149"/>
        <v>0.49540768196808888</v>
      </c>
      <c r="M62" s="1146">
        <f t="shared" si="149"/>
        <v>0.10443973532215016</v>
      </c>
      <c r="N62" s="1146">
        <f t="shared" si="149"/>
        <v>0.28428019211850158</v>
      </c>
      <c r="O62" s="1146">
        <f t="shared" si="149"/>
        <v>0.23878653520365745</v>
      </c>
      <c r="P62" s="1146">
        <f t="shared" si="149"/>
        <v>0.50366803353020462</v>
      </c>
      <c r="Q62" s="1146">
        <f t="shared" si="149"/>
        <v>0.24878097655880294</v>
      </c>
      <c r="R62" s="1146">
        <f t="shared" si="149"/>
        <v>1.4086341205501343</v>
      </c>
      <c r="S62" s="1146">
        <f t="shared" si="149"/>
        <v>0.31689319341315325</v>
      </c>
      <c r="T62" s="1146">
        <f t="shared" si="149"/>
        <v>0.94688401634621466</v>
      </c>
      <c r="U62" s="1146">
        <f t="shared" si="149"/>
        <v>0.15319872495211512</v>
      </c>
      <c r="V62" s="1146">
        <f t="shared" si="149"/>
        <v>0.28133608567944585</v>
      </c>
      <c r="W62" s="1146">
        <f t="shared" si="149"/>
        <v>0.77892466937179283</v>
      </c>
      <c r="X62" s="1146">
        <f t="shared" si="149"/>
        <v>5.9177182417506094E-2</v>
      </c>
      <c r="Y62" s="1146">
        <f t="shared" si="149"/>
        <v>0.20651878780431729</v>
      </c>
      <c r="Z62" s="1146">
        <f t="shared" si="149"/>
        <v>5.1112816274897589E-2</v>
      </c>
      <c r="AA62" s="1146">
        <f t="shared" si="149"/>
        <v>0.12750827135116294</v>
      </c>
      <c r="AB62" s="1146">
        <f>IFERROR(AD180*((SUM(BK$69)/SUM(BK$65:BK$73))/(SUM(AD$180)/SUM(AD$179:AD$184))),AD180)</f>
        <v>9.9028901527581065E-2</v>
      </c>
      <c r="AC62" s="1146">
        <f>IFERROR(AE180*((SUM(BL$69)/SUM(BL$65:BL$73))/(SUM(AE$180)/SUM(AE$179:AE$184))),AE180)</f>
        <v>0.29144986533231299</v>
      </c>
      <c r="AD62" s="1146">
        <f>IFERROR(AF180*((SUM(BM$69)/SUM(BM$65:BM$73))/(SUM(AF$180)/SUM(AF$179:AF$184))),AF180)</f>
        <v>5.0035169006812492E-2</v>
      </c>
      <c r="AE62" s="1173">
        <f t="shared" si="5"/>
        <v>19.665162846063019</v>
      </c>
      <c r="AG62" s="1164"/>
      <c r="AL62" s="1144" t="s">
        <v>1132</v>
      </c>
      <c r="AM62" s="1144" t="s">
        <v>62</v>
      </c>
      <c r="AN62" s="1135">
        <f>SUMIFS(Table9[Count of EnergyRating],Table9[MainSpaceHeatingFuel],AL62,Table9[EnergyRating (group)],AM62,Table9[CountyName (group)],AN$4)</f>
        <v>0</v>
      </c>
      <c r="AO62" s="1164">
        <f>SUMIFS(Table9[Count of EnergyRating],Table9[MainSpaceHeatingFuel],AL62,Table9[EnergyRating (group)],AM62,Table9[CountyName (group)],AO$4)</f>
        <v>1</v>
      </c>
      <c r="AP62" s="1164">
        <f>SUMIFS(Table9[Count of EnergyRating],Table9[MainSpaceHeatingFuel],AL62,Table9[EnergyRating (group)],AM62,Table9[CountyName (group)],AP$4)</f>
        <v>0</v>
      </c>
      <c r="AQ62" s="1164">
        <f>SUMIFS(Table9[Count of EnergyRating],Table9[MainSpaceHeatingFuel],AL62,Table9[EnergyRating (group)],AM62,Table9[CountyName (group)],AQ$4)</f>
        <v>0</v>
      </c>
      <c r="AR62" s="1164">
        <f>SUMIFS(Table9[Count of EnergyRating],Table9[MainSpaceHeatingFuel],AL62,Table9[EnergyRating (group)],AM62,Table9[CountyName (group)],AR$4)</f>
        <v>0</v>
      </c>
      <c r="AS62" s="1164">
        <f>SUMIFS(Table9[Count of EnergyRating],Table9[MainSpaceHeatingFuel],AL62,Table9[EnergyRating (group)],AM62,Table9[CountyName (group)],AS$4)</f>
        <v>0</v>
      </c>
      <c r="AT62" s="1164">
        <f>SUMIFS(Table9[Count of EnergyRating],Table9[MainSpaceHeatingFuel],AL62,Table9[EnergyRating (group)],AM62,Table9[CountyName (group)],AT$4)</f>
        <v>0</v>
      </c>
      <c r="AU62" s="1164">
        <f>SUMIFS(Table9[Count of EnergyRating],Table9[MainSpaceHeatingFuel],AL62,Table9[EnergyRating (group)],AM62,Table9[CountyName (group)],AU$4)</f>
        <v>0</v>
      </c>
      <c r="AV62" s="1164">
        <f>SUMIFS(Table9[Count of EnergyRating],Table9[MainSpaceHeatingFuel],AL62,Table9[EnergyRating (group)],AM62,Table9[CountyName (group)],AV$4)</f>
        <v>0</v>
      </c>
      <c r="AW62" s="1164">
        <f>SUMIFS(Table9[Count of EnergyRating],Table9[MainSpaceHeatingFuel],AL62,Table9[EnergyRating (group)],AM62,Table9[CountyName (group)],AW$4)</f>
        <v>0</v>
      </c>
      <c r="AX62" s="1164">
        <f>SUMIFS(Table9[Count of EnergyRating],Table9[MainSpaceHeatingFuel],AL62,Table9[EnergyRating (group)],AM62,Table9[CountyName (group)],AX$4)</f>
        <v>0</v>
      </c>
      <c r="AY62" s="1164">
        <f>SUMIFS(Table9[Count of EnergyRating],Table9[MainSpaceHeatingFuel],AL62,Table9[EnergyRating (group)],AM62,Table9[CountyName (group)],AY$4)</f>
        <v>0</v>
      </c>
      <c r="AZ62" s="1164">
        <f>SUMIFS(Table9[Count of EnergyRating],Table9[MainSpaceHeatingFuel],AL62,Table9[EnergyRating (group)],AM62,Table9[CountyName (group)],AZ$4)</f>
        <v>0</v>
      </c>
      <c r="BA62" s="1164">
        <f>SUMIFS(Table9[Count of EnergyRating],Table9[MainSpaceHeatingFuel],AL62,Table9[EnergyRating (group)],AM62,Table9[CountyName (group)],BA$4)</f>
        <v>0</v>
      </c>
      <c r="BB62" s="1164">
        <f>SUMIFS(Table9[Count of EnergyRating],Table9[MainSpaceHeatingFuel],AL62,Table9[EnergyRating (group)],AM62,Table9[CountyName (group)],BB$4)</f>
        <v>0</v>
      </c>
      <c r="BC62" s="1164">
        <f>SUMIFS(Table9[Count of EnergyRating],Table9[MainSpaceHeatingFuel],AL62,Table9[EnergyRating (group)],AM62,Table9[CountyName (group)],BC$4)</f>
        <v>0</v>
      </c>
      <c r="BD62" s="1164">
        <f>SUMIFS(Table9[Count of EnergyRating],Table9[MainSpaceHeatingFuel],AL62,Table9[EnergyRating (group)],AM62,Table9[CountyName (group)],BD$4)</f>
        <v>0</v>
      </c>
      <c r="BE62" s="1164">
        <f>SUMIFS(Table9[Count of EnergyRating],Table9[MainSpaceHeatingFuel],AL62,Table9[EnergyRating (group)],AM62,Table9[CountyName (group)],BE$4)</f>
        <v>1</v>
      </c>
      <c r="BF62" s="1152">
        <f>SUMIFS(Table9[Count of EnergyRating],Table9[MainSpaceHeatingFuel],AL62,Table9[EnergyRating (group)],AM62,Table9[CountyName (group)],BF$4)</f>
        <v>1</v>
      </c>
      <c r="BG62" s="1164">
        <f>SUMIFS(Table9[Count of EnergyRating],Table9[MainSpaceHeatingFuel],AL62,Table9[EnergyRating (group)],AM62,Table9[CountyName (group)],BG$4)</f>
        <v>0</v>
      </c>
      <c r="BH62" s="1164">
        <f>SUMIFS(Table9[Count of EnergyRating],Table9[MainSpaceHeatingFuel],AL62,Table9[EnergyRating (group)],AM62,Table9[CountyName (group)],BH$4)</f>
        <v>0</v>
      </c>
      <c r="BI62" s="1164">
        <f>SUMIFS(Table9[Count of EnergyRating],Table9[MainSpaceHeatingFuel],AL62,Table9[EnergyRating (group)],AM62,Table9[CountyName (group)],BI$4)</f>
        <v>0</v>
      </c>
      <c r="BJ62" s="1164">
        <f>SUMIFS(Table9[Count of EnergyRating],Table9[MainSpaceHeatingFuel],AL62,Table9[EnergyRating (group)],AM62,Table9[CountyName (group)],BJ$4)</f>
        <v>0</v>
      </c>
      <c r="BK62" s="1135">
        <f>SUMIFS(Table9[Count of EnergyRating],Table9[MainSpaceHeatingFuel],AL62,Table9[EnergyRating (group)],AM62,Table9[CountyName (group)],BK$4)</f>
        <v>0</v>
      </c>
      <c r="BL62" s="1164">
        <f>SUMIFS(Table9[Count of EnergyRating],Table9[MainSpaceHeatingFuel],AL62,Table9[EnergyRating (group)],AM62,Table9[CountyName (group)],BL$4)</f>
        <v>0</v>
      </c>
      <c r="BM62" s="1164">
        <f>SUMIFS(Table9[Count of EnergyRating],Table9[MainSpaceHeatingFuel],AL62,Table9[EnergyRating (group)],AM62,Table9[CountyName (group)],BM$4)</f>
        <v>0</v>
      </c>
    </row>
    <row r="63" spans="2:65">
      <c r="B63" s="1134" t="s">
        <v>58</v>
      </c>
      <c r="C63" s="1134" t="s">
        <v>1182</v>
      </c>
      <c r="D63" s="1134" t="s">
        <v>1094</v>
      </c>
      <c r="E63" s="1145">
        <f t="shared" ref="E63:AA63" si="150">IFERROR(G181*((SUM(AN$70)/SUM(AN$65:AN$73))/(SUM(G$181)/SUM(G$179:G$184))),G181)</f>
        <v>0.14860137376430113</v>
      </c>
      <c r="F63" s="1145">
        <f t="shared" si="150"/>
        <v>14.303841261347312</v>
      </c>
      <c r="G63" s="1145">
        <f t="shared" si="150"/>
        <v>0.53636208443991085</v>
      </c>
      <c r="H63" s="1145">
        <f t="shared" si="150"/>
        <v>0.1167255201133478</v>
      </c>
      <c r="I63" s="1145">
        <f t="shared" si="150"/>
        <v>0.20182593166362961</v>
      </c>
      <c r="J63" s="1145">
        <f t="shared" si="150"/>
        <v>8.6516678797833799E-2</v>
      </c>
      <c r="K63" s="1145">
        <f t="shared" si="150"/>
        <v>0.3299400201320038</v>
      </c>
      <c r="L63" s="1145">
        <f t="shared" si="150"/>
        <v>0.68474452593865165</v>
      </c>
      <c r="M63" s="1145">
        <f t="shared" si="150"/>
        <v>0.11877460095460214</v>
      </c>
      <c r="N63" s="1145">
        <f t="shared" si="150"/>
        <v>0.2847115732901534</v>
      </c>
      <c r="O63" s="1145">
        <f t="shared" si="150"/>
        <v>0.26114781609229426</v>
      </c>
      <c r="P63" s="1145">
        <f t="shared" si="150"/>
        <v>0.30990327033220477</v>
      </c>
      <c r="Q63" s="1145">
        <f t="shared" si="150"/>
        <v>0.22540558278817718</v>
      </c>
      <c r="R63" s="1145">
        <f t="shared" si="150"/>
        <v>1.8331056710664932</v>
      </c>
      <c r="S63" s="1145">
        <f t="shared" si="150"/>
        <v>0.27865447687806155</v>
      </c>
      <c r="T63" s="1145">
        <f t="shared" si="150"/>
        <v>0.81977687381295994</v>
      </c>
      <c r="U63" s="1145">
        <f t="shared" si="150"/>
        <v>0.26262638563219731</v>
      </c>
      <c r="V63" s="1145">
        <f t="shared" si="150"/>
        <v>0.3783485290171858</v>
      </c>
      <c r="W63" s="1145">
        <f t="shared" si="150"/>
        <v>1.2365662616885535</v>
      </c>
      <c r="X63" s="1145">
        <f t="shared" si="150"/>
        <v>7.5846811267507822E-2</v>
      </c>
      <c r="Y63" s="1145">
        <f t="shared" si="150"/>
        <v>0.2449616790406188</v>
      </c>
      <c r="Z63" s="1145">
        <f t="shared" si="150"/>
        <v>8.3925982278535552E-2</v>
      </c>
      <c r="AA63" s="1145">
        <f t="shared" si="150"/>
        <v>0.21434580097824807</v>
      </c>
      <c r="AB63" s="1145">
        <f>IFERROR(AD181*((SUM(BK$70)/SUM(BK$65:BK$73))/(SUM(AD$181)/SUM(AD$179:AD$184))),AD181)</f>
        <v>0.16354773131070208</v>
      </c>
      <c r="AC63" s="1145">
        <f>IFERROR(AE181*((SUM(BL$70)/SUM(BL$65:BL$73))/(SUM(AE$181)/SUM(AE$179:AE$184))),AE181)</f>
        <v>0.18058026007231096</v>
      </c>
      <c r="AD63" s="1145">
        <f>IFERROR(AF181*((SUM(BM$70)/SUM(BM$65:BM$73))/(SUM(AF$181)/SUM(AF$179:AF$184))),AF181)</f>
        <v>0.10602690575253124</v>
      </c>
      <c r="AE63" s="1172">
        <f t="shared" si="5"/>
        <v>23.486813608450319</v>
      </c>
      <c r="AG63" s="1164"/>
      <c r="AL63" s="1144" t="s">
        <v>1132</v>
      </c>
      <c r="AM63" s="1144" t="s">
        <v>64</v>
      </c>
      <c r="AN63" s="1135">
        <f>SUMIFS(Table9[Count of EnergyRating],Table9[MainSpaceHeatingFuel],AL63,Table9[EnergyRating (group)],AM63,Table9[CountyName (group)],AN$4)</f>
        <v>0</v>
      </c>
      <c r="AO63" s="1164">
        <f>SUMIFS(Table9[Count of EnergyRating],Table9[MainSpaceHeatingFuel],AL63,Table9[EnergyRating (group)],AM63,Table9[CountyName (group)],AO$4)</f>
        <v>0</v>
      </c>
      <c r="AP63" s="1164">
        <f>SUMIFS(Table9[Count of EnergyRating],Table9[MainSpaceHeatingFuel],AL63,Table9[EnergyRating (group)],AM63,Table9[CountyName (group)],AP$4)</f>
        <v>0</v>
      </c>
      <c r="AQ63" s="1164">
        <f>SUMIFS(Table9[Count of EnergyRating],Table9[MainSpaceHeatingFuel],AL63,Table9[EnergyRating (group)],AM63,Table9[CountyName (group)],AQ$4)</f>
        <v>0</v>
      </c>
      <c r="AR63" s="1164">
        <f>SUMIFS(Table9[Count of EnergyRating],Table9[MainSpaceHeatingFuel],AL63,Table9[EnergyRating (group)],AM63,Table9[CountyName (group)],AR$4)</f>
        <v>0</v>
      </c>
      <c r="AS63" s="1164">
        <f>SUMIFS(Table9[Count of EnergyRating],Table9[MainSpaceHeatingFuel],AL63,Table9[EnergyRating (group)],AM63,Table9[CountyName (group)],AS$4)</f>
        <v>0</v>
      </c>
      <c r="AT63" s="1164">
        <f>SUMIFS(Table9[Count of EnergyRating],Table9[MainSpaceHeatingFuel],AL63,Table9[EnergyRating (group)],AM63,Table9[CountyName (group)],AT$4)</f>
        <v>0</v>
      </c>
      <c r="AU63" s="1164">
        <f>SUMIFS(Table9[Count of EnergyRating],Table9[MainSpaceHeatingFuel],AL63,Table9[EnergyRating (group)],AM63,Table9[CountyName (group)],AU$4)</f>
        <v>0</v>
      </c>
      <c r="AV63" s="1164">
        <f>SUMIFS(Table9[Count of EnergyRating],Table9[MainSpaceHeatingFuel],AL63,Table9[EnergyRating (group)],AM63,Table9[CountyName (group)],AV$4)</f>
        <v>0</v>
      </c>
      <c r="AW63" s="1164">
        <f>SUMIFS(Table9[Count of EnergyRating],Table9[MainSpaceHeatingFuel],AL63,Table9[EnergyRating (group)],AM63,Table9[CountyName (group)],AW$4)</f>
        <v>0</v>
      </c>
      <c r="AX63" s="1164">
        <f>SUMIFS(Table9[Count of EnergyRating],Table9[MainSpaceHeatingFuel],AL63,Table9[EnergyRating (group)],AM63,Table9[CountyName (group)],AX$4)</f>
        <v>0</v>
      </c>
      <c r="AY63" s="1164">
        <f>SUMIFS(Table9[Count of EnergyRating],Table9[MainSpaceHeatingFuel],AL63,Table9[EnergyRating (group)],AM63,Table9[CountyName (group)],AY$4)</f>
        <v>0</v>
      </c>
      <c r="AZ63" s="1164">
        <f>SUMIFS(Table9[Count of EnergyRating],Table9[MainSpaceHeatingFuel],AL63,Table9[EnergyRating (group)],AM63,Table9[CountyName (group)],AZ$4)</f>
        <v>0</v>
      </c>
      <c r="BA63" s="1164">
        <f>SUMIFS(Table9[Count of EnergyRating],Table9[MainSpaceHeatingFuel],AL63,Table9[EnergyRating (group)],AM63,Table9[CountyName (group)],BA$4)</f>
        <v>3</v>
      </c>
      <c r="BB63" s="1164">
        <f>SUMIFS(Table9[Count of EnergyRating],Table9[MainSpaceHeatingFuel],AL63,Table9[EnergyRating (group)],AM63,Table9[CountyName (group)],BB$4)</f>
        <v>0</v>
      </c>
      <c r="BC63" s="1164">
        <f>SUMIFS(Table9[Count of EnergyRating],Table9[MainSpaceHeatingFuel],AL63,Table9[EnergyRating (group)],AM63,Table9[CountyName (group)],BC$4)</f>
        <v>0</v>
      </c>
      <c r="BD63" s="1164">
        <f>SUMIFS(Table9[Count of EnergyRating],Table9[MainSpaceHeatingFuel],AL63,Table9[EnergyRating (group)],AM63,Table9[CountyName (group)],BD$4)</f>
        <v>0</v>
      </c>
      <c r="BE63" s="1164">
        <f>SUMIFS(Table9[Count of EnergyRating],Table9[MainSpaceHeatingFuel],AL63,Table9[EnergyRating (group)],AM63,Table9[CountyName (group)],BE$4)</f>
        <v>0</v>
      </c>
      <c r="BF63" s="1164">
        <f>SUMIFS(Table9[Count of EnergyRating],Table9[MainSpaceHeatingFuel],AL63,Table9[EnergyRating (group)],AM63,Table9[CountyName (group)],BF$4)</f>
        <v>0</v>
      </c>
      <c r="BG63" s="1164">
        <f>SUMIFS(Table9[Count of EnergyRating],Table9[MainSpaceHeatingFuel],AL63,Table9[EnergyRating (group)],AM63,Table9[CountyName (group)],BG$4)</f>
        <v>0</v>
      </c>
      <c r="BH63" s="1164">
        <f>SUMIFS(Table9[Count of EnergyRating],Table9[MainSpaceHeatingFuel],AL63,Table9[EnergyRating (group)],AM63,Table9[CountyName (group)],BH$4)</f>
        <v>0</v>
      </c>
      <c r="BI63" s="1164">
        <f>SUMIFS(Table9[Count of EnergyRating],Table9[MainSpaceHeatingFuel],AL63,Table9[EnergyRating (group)],AM63,Table9[CountyName (group)],BI$4)</f>
        <v>0</v>
      </c>
      <c r="BJ63" s="1164">
        <f>SUMIFS(Table9[Count of EnergyRating],Table9[MainSpaceHeatingFuel],AL63,Table9[EnergyRating (group)],AM63,Table9[CountyName (group)],BJ$4)</f>
        <v>3</v>
      </c>
      <c r="BK63" s="1135">
        <f>SUMIFS(Table9[Count of EnergyRating],Table9[MainSpaceHeatingFuel],AL63,Table9[EnergyRating (group)],AM63,Table9[CountyName (group)],BK$4)</f>
        <v>0</v>
      </c>
      <c r="BL63" s="1164">
        <f>SUMIFS(Table9[Count of EnergyRating],Table9[MainSpaceHeatingFuel],AL63,Table9[EnergyRating (group)],AM63,Table9[CountyName (group)],BL$4)</f>
        <v>0</v>
      </c>
      <c r="BM63" s="1164">
        <f>SUMIFS(Table9[Count of EnergyRating],Table9[MainSpaceHeatingFuel],AL63,Table9[EnergyRating (group)],AM63,Table9[CountyName (group)],BM$4)</f>
        <v>0</v>
      </c>
    </row>
    <row r="64" spans="2:65">
      <c r="B64" s="1136" t="s">
        <v>60</v>
      </c>
      <c r="C64" s="1136" t="s">
        <v>1182</v>
      </c>
      <c r="D64" s="1136" t="s">
        <v>1094</v>
      </c>
      <c r="E64" s="1146">
        <f t="shared" ref="E64:AA64" si="151">IFERROR(G182*((SUM(AN$71)/SUM(AN$65:AN$73))/(SUM(G$182)/SUM(G$179:G$184))),G182)</f>
        <v>8.6032374284595398E-2</v>
      </c>
      <c r="F64" s="1146">
        <f t="shared" si="151"/>
        <v>7.6270225243865388</v>
      </c>
      <c r="G64" s="1146">
        <f t="shared" si="151"/>
        <v>0.29766394749572223</v>
      </c>
      <c r="H64" s="1146">
        <f t="shared" si="151"/>
        <v>5.4328467886857731E-2</v>
      </c>
      <c r="I64" s="1146">
        <f t="shared" si="151"/>
        <v>8.9178900037417727E-2</v>
      </c>
      <c r="J64" s="1146">
        <f t="shared" si="151"/>
        <v>3.7244848271713211E-2</v>
      </c>
      <c r="K64" s="1146">
        <f t="shared" si="151"/>
        <v>0.26661819808646775</v>
      </c>
      <c r="L64" s="1146">
        <f t="shared" si="151"/>
        <v>0.33311895856474949</v>
      </c>
      <c r="M64" s="1146">
        <f t="shared" si="151"/>
        <v>6.5530814319780487E-2</v>
      </c>
      <c r="N64" s="1146">
        <f t="shared" si="151"/>
        <v>0.129845732667176</v>
      </c>
      <c r="O64" s="1146">
        <f t="shared" si="151"/>
        <v>0.17369923547423238</v>
      </c>
      <c r="P64" s="1146">
        <f t="shared" si="151"/>
        <v>0.13719989443833533</v>
      </c>
      <c r="Q64" s="1146">
        <f t="shared" si="151"/>
        <v>0.14818329979593128</v>
      </c>
      <c r="R64" s="1146">
        <f t="shared" si="151"/>
        <v>1.1358435396088729</v>
      </c>
      <c r="S64" s="1146">
        <f t="shared" si="151"/>
        <v>0.13261512330255193</v>
      </c>
      <c r="T64" s="1146">
        <f t="shared" si="151"/>
        <v>0.34986561959910978</v>
      </c>
      <c r="U64" s="1146">
        <f t="shared" si="151"/>
        <v>0.1483352733663337</v>
      </c>
      <c r="V64" s="1146">
        <f t="shared" si="151"/>
        <v>0.21036382450078348</v>
      </c>
      <c r="W64" s="1146">
        <f t="shared" si="151"/>
        <v>0.73035862284021813</v>
      </c>
      <c r="X64" s="1146">
        <f t="shared" si="151"/>
        <v>2.5004443275002577E-2</v>
      </c>
      <c r="Y64" s="1146">
        <f t="shared" si="151"/>
        <v>0.10147135244930743</v>
      </c>
      <c r="Z64" s="1146">
        <f t="shared" si="151"/>
        <v>4.4171569620281868E-2</v>
      </c>
      <c r="AA64" s="1146">
        <f t="shared" si="151"/>
        <v>0.14582842528092776</v>
      </c>
      <c r="AB64" s="1146">
        <f>IFERROR(AD182*((SUM(BK$71)/SUM(BK$65:BK$73))/(SUM(AD$182)/SUM(AD$179:AD$184))),AD182)</f>
        <v>8.5524960410183648E-2</v>
      </c>
      <c r="AC64" s="1146">
        <f>IFERROR(AE182*((SUM(BL$71)/SUM(BL$65:BL$73))/(SUM(AE$182)/SUM(AE$179:AE$184))),AE182)</f>
        <v>0.10716159170615577</v>
      </c>
      <c r="AD64" s="1146">
        <f>IFERROR(AF182*((SUM(BM$71)/SUM(BM$65:BM$73))/(SUM(AF$182)/SUM(AF$179:AF$184))),AF182)</f>
        <v>6.671355867574999E-2</v>
      </c>
      <c r="AE64" s="1173">
        <f t="shared" si="5"/>
        <v>12.728925100344997</v>
      </c>
      <c r="AG64" s="1164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</row>
    <row r="65" spans="2:65">
      <c r="B65" s="1134" t="s">
        <v>62</v>
      </c>
      <c r="C65" s="1134" t="s">
        <v>1182</v>
      </c>
      <c r="D65" s="1134" t="s">
        <v>1094</v>
      </c>
      <c r="E65" s="1145">
        <f t="shared" ref="E65:AA65" si="152">IFERROR(G183*((SUM(AN$72)/SUM(AN$65:AN$73))/(SUM(G$183)/SUM(G$179:G$184))),G183)</f>
        <v>3.1284499739852867E-2</v>
      </c>
      <c r="F65" s="1145">
        <f t="shared" si="152"/>
        <v>2.4002334770979887</v>
      </c>
      <c r="G65" s="1145">
        <f t="shared" si="152"/>
        <v>9.752037898907473E-2</v>
      </c>
      <c r="H65" s="1145">
        <f t="shared" si="152"/>
        <v>2.3129941773612696E-2</v>
      </c>
      <c r="I65" s="1145">
        <f t="shared" si="152"/>
        <v>2.8161757906552964E-2</v>
      </c>
      <c r="J65" s="1145">
        <f t="shared" si="152"/>
        <v>9.6991792374253143E-3</v>
      </c>
      <c r="K65" s="1145">
        <f t="shared" si="152"/>
        <v>9.1650005592223277E-2</v>
      </c>
      <c r="L65" s="1145">
        <f t="shared" si="152"/>
        <v>8.2567946994681479E-2</v>
      </c>
      <c r="M65" s="1145">
        <f t="shared" si="152"/>
        <v>3.0205609725523823E-2</v>
      </c>
      <c r="N65" s="1145">
        <f t="shared" si="152"/>
        <v>4.9608834739950966E-2</v>
      </c>
      <c r="O65" s="1145">
        <f t="shared" si="152"/>
        <v>5.2708733523215354E-2</v>
      </c>
      <c r="P65" s="1145">
        <f t="shared" si="152"/>
        <v>4.9343821683962709E-2</v>
      </c>
      <c r="Q65" s="1145">
        <f t="shared" si="152"/>
        <v>3.9654685860883013E-2</v>
      </c>
      <c r="R65" s="1145">
        <f t="shared" si="152"/>
        <v>0.43035065786423127</v>
      </c>
      <c r="S65" s="1145">
        <f t="shared" si="152"/>
        <v>4.0272690818873129E-2</v>
      </c>
      <c r="T65" s="1145">
        <f t="shared" si="152"/>
        <v>0.11362608196154575</v>
      </c>
      <c r="U65" s="1145">
        <f t="shared" si="152"/>
        <v>6.1401076270490587E-2</v>
      </c>
      <c r="V65" s="1145">
        <f t="shared" si="152"/>
        <v>5.1059180704073663E-2</v>
      </c>
      <c r="W65" s="1145">
        <f t="shared" si="152"/>
        <v>0.19052833639310043</v>
      </c>
      <c r="X65" s="1145">
        <f t="shared" si="152"/>
        <v>9.168295867500946E-3</v>
      </c>
      <c r="Y65" s="1145">
        <f t="shared" si="152"/>
        <v>3.8889901599514297E-2</v>
      </c>
      <c r="Z65" s="1145">
        <f t="shared" si="152"/>
        <v>1.3251470886084561E-2</v>
      </c>
      <c r="AA65" s="1145">
        <f t="shared" si="152"/>
        <v>2.3816200108694226E-2</v>
      </c>
      <c r="AB65" s="1145">
        <f>IFERROR(AD183*((SUM(BK$72)/SUM(BK$65:BK$73))/(SUM(AD$183)/SUM(AD$179:AD$184))),AD183)</f>
        <v>2.475722538189527E-2</v>
      </c>
      <c r="AC65" s="1145">
        <f>IFERROR(AE183*((SUM(BL$72)/SUM(BL$65:BL$73))/(SUM(AE$183)/SUM(AE$179:AE$184))),AE183)</f>
        <v>3.6709334183077591E-2</v>
      </c>
      <c r="AD65" s="1145">
        <f>IFERROR(AF183*((SUM(BM$72)/SUM(BM$65:BM$73))/(SUM(AF$183)/SUM(AF$179:AF$184))),AF183)</f>
        <v>2.8591525146749997E-2</v>
      </c>
      <c r="AE65" s="1172">
        <f t="shared" si="5"/>
        <v>4.0481908500507782</v>
      </c>
      <c r="AG65" s="1164"/>
      <c r="AL65" s="1144" t="s">
        <v>136</v>
      </c>
      <c r="AM65" s="1144" t="s">
        <v>48</v>
      </c>
      <c r="AN65" s="1135">
        <f>SUMIFS(Table9[Count of EnergyRating],Table9[MainSpaceHeatingFuel],AL65,Table9[EnergyRating (group)],AM65,Table9[CountyName (group)],AN$4)</f>
        <v>0</v>
      </c>
      <c r="AO65" s="1164">
        <f>SUMIFS(Table9[Count of EnergyRating],Table9[MainSpaceHeatingFuel],AL65,Table9[EnergyRating (group)],AM65,Table9[CountyName (group)],AO$4)</f>
        <v>764</v>
      </c>
      <c r="AP65" s="1164">
        <f>SUMIFS(Table9[Count of EnergyRating],Table9[MainSpaceHeatingFuel],AL65,Table9[EnergyRating (group)],AM65,Table9[CountyName (group)],AP$4)</f>
        <v>0</v>
      </c>
      <c r="AQ65" s="1164">
        <f>SUMIFS(Table9[Count of EnergyRating],Table9[MainSpaceHeatingFuel],AL65,Table9[EnergyRating (group)],AM65,Table9[CountyName (group)],AQ$4)</f>
        <v>0</v>
      </c>
      <c r="AR65" s="1164">
        <f>SUMIFS(Table9[Count of EnergyRating],Table9[MainSpaceHeatingFuel],AL65,Table9[EnergyRating (group)],AM65,Table9[CountyName (group)],AR$4)</f>
        <v>1</v>
      </c>
      <c r="AS65" s="1164">
        <f>SUMIFS(Table9[Count of EnergyRating],Table9[MainSpaceHeatingFuel],AL65,Table9[EnergyRating (group)],AM65,Table9[CountyName (group)],AS$4)</f>
        <v>0</v>
      </c>
      <c r="AT65" s="1164">
        <f>SUMIFS(Table9[Count of EnergyRating],Table9[MainSpaceHeatingFuel],AL65,Table9[EnergyRating (group)],AM65,Table9[CountyName (group)],AT$4)</f>
        <v>10</v>
      </c>
      <c r="AU65" s="1164">
        <f>SUMIFS(Table9[Count of EnergyRating],Table9[MainSpaceHeatingFuel],AL65,Table9[EnergyRating (group)],AM65,Table9[CountyName (group)],AU$4)</f>
        <v>34</v>
      </c>
      <c r="AV65" s="1164">
        <f>SUMIFS(Table9[Count of EnergyRating],Table9[MainSpaceHeatingFuel],AL65,Table9[EnergyRating (group)],AM65,Table9[CountyName (group)],AV$4)</f>
        <v>0</v>
      </c>
      <c r="AW65" s="1164">
        <f>SUMIFS(Table9[Count of EnergyRating],Table9[MainSpaceHeatingFuel],AL65,Table9[EnergyRating (group)],AM65,Table9[CountyName (group)],AW$4)</f>
        <v>0</v>
      </c>
      <c r="AX65" s="1164">
        <f>SUMIFS(Table9[Count of EnergyRating],Table9[MainSpaceHeatingFuel],AL65,Table9[EnergyRating (group)],AM65,Table9[CountyName (group)],AX$4)</f>
        <v>0</v>
      </c>
      <c r="AY65" s="1164">
        <f>SUMIFS(Table9[Count of EnergyRating],Table9[MainSpaceHeatingFuel],AL65,Table9[EnergyRating (group)],AM65,Table9[CountyName (group)],AY$4)</f>
        <v>0</v>
      </c>
      <c r="AZ65" s="1164">
        <f>SUMIFS(Table9[Count of EnergyRating],Table9[MainSpaceHeatingFuel],AL65,Table9[EnergyRating (group)],AM65,Table9[CountyName (group)],AZ$4)</f>
        <v>0</v>
      </c>
      <c r="BA65" s="1164">
        <f>SUMIFS(Table9[Count of EnergyRating],Table9[MainSpaceHeatingFuel],AL65,Table9[EnergyRating (group)],AM65,Table9[CountyName (group)],BA$4)</f>
        <v>44</v>
      </c>
      <c r="BB65" s="1164">
        <f>SUMIFS(Table9[Count of EnergyRating],Table9[MainSpaceHeatingFuel],AL65,Table9[EnergyRating (group)],AM65,Table9[CountyName (group)],BB$4)</f>
        <v>0</v>
      </c>
      <c r="BC65" s="1164">
        <f>SUMIFS(Table9[Count of EnergyRating],Table9[MainSpaceHeatingFuel],AL65,Table9[EnergyRating (group)],AM65,Table9[CountyName (group)],BC$4)</f>
        <v>1</v>
      </c>
      <c r="BD65" s="1164">
        <f>SUMIFS(Table9[Count of EnergyRating],Table9[MainSpaceHeatingFuel],AL65,Table9[EnergyRating (group)],AM65,Table9[CountyName (group)],BD$4)</f>
        <v>0</v>
      </c>
      <c r="BE65" s="1164">
        <f>SUMIFS(Table9[Count of EnergyRating],Table9[MainSpaceHeatingFuel],AL65,Table9[EnergyRating (group)],AM65,Table9[CountyName (group)],BE$4)</f>
        <v>59</v>
      </c>
      <c r="BF65" s="1164">
        <f>SUMIFS(Table9[Count of EnergyRating],Table9[MainSpaceHeatingFuel],AL65,Table9[EnergyRating (group)],AM65,Table9[CountyName (group)],BF$4)</f>
        <v>50</v>
      </c>
      <c r="BG65" s="1164">
        <f>SUMIFS(Table9[Count of EnergyRating],Table9[MainSpaceHeatingFuel],AL65,Table9[EnergyRating (group)],AM65,Table9[CountyName (group)],BG$4)</f>
        <v>0</v>
      </c>
      <c r="BH65" s="1164">
        <f>SUMIFS(Table9[Count of EnergyRating],Table9[MainSpaceHeatingFuel],AL65,Table9[EnergyRating (group)],AM65,Table9[CountyName (group)],BH$4)</f>
        <v>0</v>
      </c>
      <c r="BI65" s="1164">
        <f>SUMIFS(Table9[Count of EnergyRating],Table9[MainSpaceHeatingFuel],AL65,Table9[EnergyRating (group)],AM65,Table9[CountyName (group)],BI$4)</f>
        <v>0</v>
      </c>
      <c r="BJ65" s="1164">
        <f>SUMIFS(Table9[Count of EnergyRating],Table9[MainSpaceHeatingFuel],AL65,Table9[EnergyRating (group)],AM65,Table9[CountyName (group)],BJ$4)</f>
        <v>9</v>
      </c>
      <c r="BK65" s="1135">
        <f>SUMIFS(Table9[Count of EnergyRating],Table9[MainSpaceHeatingFuel],AL65,Table9[EnergyRating (group)],AM65,Table9[CountyName (group)],BK$4)</f>
        <v>2</v>
      </c>
      <c r="BL65" s="1164">
        <f>SUMIFS(Table9[Count of EnergyRating],Table9[MainSpaceHeatingFuel],AL65,Table9[EnergyRating (group)],AM65,Table9[CountyName (group)],BL$4)</f>
        <v>0</v>
      </c>
      <c r="BM65" s="1164">
        <f>SUMIFS(Table9[Count of EnergyRating],Table9[MainSpaceHeatingFuel],AL65,Table9[EnergyRating (group)],AM65,Table9[CountyName (group)],BM$4)</f>
        <v>3</v>
      </c>
    </row>
    <row r="66" spans="2:65" ht="13.5" thickBot="1">
      <c r="B66" s="1138" t="s">
        <v>64</v>
      </c>
      <c r="C66" s="1138" t="s">
        <v>1182</v>
      </c>
      <c r="D66" s="1138" t="s">
        <v>1094</v>
      </c>
      <c r="E66" s="1147">
        <f t="shared" ref="E66:AA66" si="153">IFERROR(G184*((SUM(AN$73)/SUM(AN$65:AN$73))/(SUM(G$184)/SUM(G$179:G$184))),G184)</f>
        <v>3.5195062207334468E-2</v>
      </c>
      <c r="F66" s="1147">
        <f t="shared" si="153"/>
        <v>2.3761776850112608</v>
      </c>
      <c r="G66" s="1147">
        <f t="shared" si="153"/>
        <v>8.2778926351191329E-2</v>
      </c>
      <c r="H66" s="1147">
        <f t="shared" si="153"/>
        <v>3.6039676717024439E-2</v>
      </c>
      <c r="I66" s="1147">
        <f t="shared" si="153"/>
        <v>3.9895823700950038E-2</v>
      </c>
      <c r="J66" s="1147">
        <f t="shared" si="153"/>
        <v>1.3190883762898425E-2</v>
      </c>
      <c r="K66" s="1147">
        <f t="shared" si="153"/>
        <v>9.8315460544384961E-2</v>
      </c>
      <c r="L66" s="1147">
        <f t="shared" si="153"/>
        <v>8.6838702873716728E-2</v>
      </c>
      <c r="M66" s="1147">
        <f t="shared" si="153"/>
        <v>3.0717569212397107E-2</v>
      </c>
      <c r="N66" s="1147">
        <f t="shared" si="153"/>
        <v>3.8824305448657274E-2</v>
      </c>
      <c r="O66" s="1147">
        <f t="shared" si="153"/>
        <v>6.2292139618345413E-2</v>
      </c>
      <c r="P66" s="1147">
        <f t="shared" si="153"/>
        <v>8.4847303139496844E-2</v>
      </c>
      <c r="Q66" s="1147">
        <f t="shared" si="153"/>
        <v>6.0525573156084603E-2</v>
      </c>
      <c r="R66" s="1147">
        <f t="shared" si="153"/>
        <v>0.6702182376574094</v>
      </c>
      <c r="S66" s="1147">
        <f t="shared" si="153"/>
        <v>6.1832818226956722E-2</v>
      </c>
      <c r="T66" s="1147">
        <f t="shared" si="153"/>
        <v>0.12967496359453243</v>
      </c>
      <c r="U66" s="1147">
        <f t="shared" si="153"/>
        <v>0.10091662040496473</v>
      </c>
      <c r="V66" s="1147">
        <f t="shared" si="153"/>
        <v>6.4845159494173549E-2</v>
      </c>
      <c r="W66" s="1147">
        <f t="shared" si="153"/>
        <v>0.1344905903951297</v>
      </c>
      <c r="X66" s="1147">
        <f t="shared" si="153"/>
        <v>5.000888655000515E-3</v>
      </c>
      <c r="Y66" s="1147">
        <f t="shared" si="153"/>
        <v>4.2912994868429567E-2</v>
      </c>
      <c r="Z66" s="1147">
        <f t="shared" si="153"/>
        <v>1.7037605424965865E-2</v>
      </c>
      <c r="AA66" s="1147">
        <f t="shared" si="153"/>
        <v>1.2457704672240059E-2</v>
      </c>
      <c r="AB66" s="1147">
        <f>IFERROR(AD184*((SUM(BK$73)/SUM(BK$65:BK$73))/(SUM(AD$184)/SUM(AD$179:AD$184))),AD184)</f>
        <v>2.9258539087694407E-2</v>
      </c>
      <c r="AC66" s="1147">
        <f>IFERROR(AE184*((SUM(BL$73)/SUM(BL$65:BL$73))/(SUM(AE$184)/SUM(AE$179:AE$184))),AE184)</f>
        <v>4.4496162646154649E-2</v>
      </c>
      <c r="AD66" s="1147">
        <f>IFERROR(AF184*((SUM(BM$73)/SUM(BM$65:BM$73))/(SUM(AF$184)/SUM(AF$179:AF$184))),AF184)</f>
        <v>7.7435380605781257E-2</v>
      </c>
      <c r="AE66" s="1174">
        <f t="shared" si="5"/>
        <v>4.4362167774771741</v>
      </c>
      <c r="AG66" s="1164"/>
      <c r="AL66" s="1144" t="s">
        <v>136</v>
      </c>
      <c r="AM66" s="1144" t="s">
        <v>50</v>
      </c>
      <c r="AN66" s="1135">
        <f>SUMIFS(Table9[Count of EnergyRating],Table9[MainSpaceHeatingFuel],AL66,Table9[EnergyRating (group)],AM66,Table9[CountyName (group)],AN$4)</f>
        <v>0</v>
      </c>
      <c r="AO66" s="1164">
        <f>SUMIFS(Table9[Count of EnergyRating],Table9[MainSpaceHeatingFuel],AL66,Table9[EnergyRating (group)],AM66,Table9[CountyName (group)],AO$4)</f>
        <v>80</v>
      </c>
      <c r="AP66" s="1164">
        <f>SUMIFS(Table9[Count of EnergyRating],Table9[MainSpaceHeatingFuel],AL66,Table9[EnergyRating (group)],AM66,Table9[CountyName (group)],AP$4)</f>
        <v>0</v>
      </c>
      <c r="AQ66" s="1164">
        <f>SUMIFS(Table9[Count of EnergyRating],Table9[MainSpaceHeatingFuel],AL66,Table9[EnergyRating (group)],AM66,Table9[CountyName (group)],AQ$4)</f>
        <v>0</v>
      </c>
      <c r="AR66" s="1164">
        <f>SUMIFS(Table9[Count of EnergyRating],Table9[MainSpaceHeatingFuel],AL66,Table9[EnergyRating (group)],AM66,Table9[CountyName (group)],AR$4)</f>
        <v>0</v>
      </c>
      <c r="AS66" s="1164">
        <f>SUMIFS(Table9[Count of EnergyRating],Table9[MainSpaceHeatingFuel],AL66,Table9[EnergyRating (group)],AM66,Table9[CountyName (group)],AS$4)</f>
        <v>0</v>
      </c>
      <c r="AT66" s="1164">
        <f>SUMIFS(Table9[Count of EnergyRating],Table9[MainSpaceHeatingFuel],AL66,Table9[EnergyRating (group)],AM66,Table9[CountyName (group)],AT$4)</f>
        <v>0</v>
      </c>
      <c r="AU66" s="1164">
        <f>SUMIFS(Table9[Count of EnergyRating],Table9[MainSpaceHeatingFuel],AL66,Table9[EnergyRating (group)],AM66,Table9[CountyName (group)],AU$4)</f>
        <v>0</v>
      </c>
      <c r="AV66" s="1164">
        <f>SUMIFS(Table9[Count of EnergyRating],Table9[MainSpaceHeatingFuel],AL66,Table9[EnergyRating (group)],AM66,Table9[CountyName (group)],AV$4)</f>
        <v>0</v>
      </c>
      <c r="AW66" s="1164">
        <f>SUMIFS(Table9[Count of EnergyRating],Table9[MainSpaceHeatingFuel],AL66,Table9[EnergyRating (group)],AM66,Table9[CountyName (group)],AW$4)</f>
        <v>0</v>
      </c>
      <c r="AX66" s="1164">
        <f>SUMIFS(Table9[Count of EnergyRating],Table9[MainSpaceHeatingFuel],AL66,Table9[EnergyRating (group)],AM66,Table9[CountyName (group)],AX$4)</f>
        <v>0</v>
      </c>
      <c r="AY66" s="1164">
        <f>SUMIFS(Table9[Count of EnergyRating],Table9[MainSpaceHeatingFuel],AL66,Table9[EnergyRating (group)],AM66,Table9[CountyName (group)],AY$4)</f>
        <v>0</v>
      </c>
      <c r="AZ66" s="1164">
        <f>SUMIFS(Table9[Count of EnergyRating],Table9[MainSpaceHeatingFuel],AL66,Table9[EnergyRating (group)],AM66,Table9[CountyName (group)],AZ$4)</f>
        <v>0</v>
      </c>
      <c r="BA66" s="1164">
        <f>SUMIFS(Table9[Count of EnergyRating],Table9[MainSpaceHeatingFuel],AL66,Table9[EnergyRating (group)],AM66,Table9[CountyName (group)],BA$4)</f>
        <v>26</v>
      </c>
      <c r="BB66" s="1164">
        <f>SUMIFS(Table9[Count of EnergyRating],Table9[MainSpaceHeatingFuel],AL66,Table9[EnergyRating (group)],AM66,Table9[CountyName (group)],BB$4)</f>
        <v>0</v>
      </c>
      <c r="BC66" s="1164">
        <f>SUMIFS(Table9[Count of EnergyRating],Table9[MainSpaceHeatingFuel],AL66,Table9[EnergyRating (group)],AM66,Table9[CountyName (group)],BC$4)</f>
        <v>0</v>
      </c>
      <c r="BD66" s="1164">
        <f>SUMIFS(Table9[Count of EnergyRating],Table9[MainSpaceHeatingFuel],AL66,Table9[EnergyRating (group)],AM66,Table9[CountyName (group)],BD$4)</f>
        <v>0</v>
      </c>
      <c r="BE66" s="1164">
        <f>SUMIFS(Table9[Count of EnergyRating],Table9[MainSpaceHeatingFuel],AL66,Table9[EnergyRating (group)],AM66,Table9[CountyName (group)],BE$4)</f>
        <v>8</v>
      </c>
      <c r="BF66" s="1164">
        <f>SUMIFS(Table9[Count of EnergyRating],Table9[MainSpaceHeatingFuel],AL66,Table9[EnergyRating (group)],AM66,Table9[CountyName (group)],BF$4)</f>
        <v>9</v>
      </c>
      <c r="BG66" s="1164">
        <f>SUMIFS(Table9[Count of EnergyRating],Table9[MainSpaceHeatingFuel],AL66,Table9[EnergyRating (group)],AM66,Table9[CountyName (group)],BG$4)</f>
        <v>0</v>
      </c>
      <c r="BH66" s="1164">
        <f>SUMIFS(Table9[Count of EnergyRating],Table9[MainSpaceHeatingFuel],AL66,Table9[EnergyRating (group)],AM66,Table9[CountyName (group)],BH$4)</f>
        <v>0</v>
      </c>
      <c r="BI66" s="1164">
        <f>SUMIFS(Table9[Count of EnergyRating],Table9[MainSpaceHeatingFuel],AL66,Table9[EnergyRating (group)],AM66,Table9[CountyName (group)],BI$4)</f>
        <v>9</v>
      </c>
      <c r="BJ66" s="1164">
        <f>SUMIFS(Table9[Count of EnergyRating],Table9[MainSpaceHeatingFuel],AL66,Table9[EnergyRating (group)],AM66,Table9[CountyName (group)],BJ$4)</f>
        <v>0</v>
      </c>
      <c r="BK66" s="1135">
        <f>SUMIFS(Table9[Count of EnergyRating],Table9[MainSpaceHeatingFuel],AL66,Table9[EnergyRating (group)],AM66,Table9[CountyName (group)],BK$4)</f>
        <v>0</v>
      </c>
      <c r="BL66" s="1164">
        <f>SUMIFS(Table9[Count of EnergyRating],Table9[MainSpaceHeatingFuel],AL66,Table9[EnergyRating (group)],AM66,Table9[CountyName (group)],BL$4)</f>
        <v>0</v>
      </c>
      <c r="BM66" s="1164">
        <f>SUMIFS(Table9[Count of EnergyRating],Table9[MainSpaceHeatingFuel],AL66,Table9[EnergyRating (group)],AM66,Table9[CountyName (group)],BM$4)</f>
        <v>0</v>
      </c>
    </row>
    <row r="67" spans="2:65" ht="15.75" thickBot="1">
      <c r="B67" s="1138" t="s">
        <v>1075</v>
      </c>
      <c r="C67" s="1138" t="s">
        <v>1182</v>
      </c>
      <c r="D67" s="1138" t="s">
        <v>1094</v>
      </c>
      <c r="E67" s="1147">
        <f>SUM(E61:E66)</f>
        <v>0.4129553965660579</v>
      </c>
      <c r="F67" s="1147">
        <f t="shared" ref="F67" si="154">SUM(F61:F66)</f>
        <v>40.0315108981031</v>
      </c>
      <c r="G67" s="1147">
        <f t="shared" ref="G67" si="155">SUM(G61:G66)</f>
        <v>2.3905014152592825</v>
      </c>
      <c r="H67" s="1147">
        <f t="shared" ref="H67" si="156">SUM(H61:H66)</f>
        <v>0.5685491682716316</v>
      </c>
      <c r="I67" s="1147">
        <f t="shared" ref="I67" si="157">SUM(I61:I66)</f>
        <v>0.46584241203756366</v>
      </c>
      <c r="J67" s="1147">
        <f t="shared" ref="J67" si="158">SUM(J61:J66)</f>
        <v>0.22445885174640143</v>
      </c>
      <c r="K67" s="1147">
        <f t="shared" ref="K67" si="159">SUM(K61:K66)</f>
        <v>0.98648733291993052</v>
      </c>
      <c r="L67" s="1147">
        <f t="shared" ref="L67" si="160">SUM(L61:L66)</f>
        <v>1.7567042515764992</v>
      </c>
      <c r="M67" s="1147">
        <f t="shared" ref="M67" si="161">SUM(M61:M66)</f>
        <v>0.38153431779522445</v>
      </c>
      <c r="N67" s="1147">
        <f t="shared" ref="N67" si="162">SUM(N61:N66)</f>
        <v>0.93784015584290992</v>
      </c>
      <c r="O67" s="1147">
        <f t="shared" ref="O67" si="163">SUM(O61:O66)</f>
        <v>0.86642800586508883</v>
      </c>
      <c r="P67" s="1147">
        <f t="shared" ref="P67" si="164">SUM(P61:P66)</f>
        <v>1.4651123808056359</v>
      </c>
      <c r="Q67" s="1147">
        <f t="shared" ref="Q67" si="165">SUM(Q61:Q66)</f>
        <v>0.80872322359709303</v>
      </c>
      <c r="R67" s="1147">
        <f t="shared" ref="R67" si="166">SUM(R61:R66)</f>
        <v>5.8967446699156287</v>
      </c>
      <c r="S67" s="1147">
        <f t="shared" ref="S67" si="167">SUM(S61:S66)</f>
        <v>0.94339505569725812</v>
      </c>
      <c r="T67" s="1147">
        <f t="shared" ref="T67" si="168">SUM(T61:T66)</f>
        <v>2.4220972160503504</v>
      </c>
      <c r="U67" s="1147">
        <f t="shared" ref="U67" si="169">SUM(U61:U66)</f>
        <v>0.77334209298312584</v>
      </c>
      <c r="V67" s="1147">
        <f t="shared" ref="V67" si="170">SUM(V61:V66)</f>
        <v>1.0385437355208582</v>
      </c>
      <c r="W67" s="1147">
        <f t="shared" ref="W67" si="171">SUM(W61:W66)</f>
        <v>3.207849637572723</v>
      </c>
      <c r="X67" s="1147">
        <f t="shared" ref="X67" si="172">SUM(X61:X66)</f>
        <v>0.17628132508876818</v>
      </c>
      <c r="Y67" s="1147">
        <f t="shared" ref="Y67" si="173">SUM(Y61:Y66)</f>
        <v>0.69513330064746071</v>
      </c>
      <c r="Z67" s="1147">
        <f t="shared" ref="Z67" si="174">SUM(Z61:Z66)</f>
        <v>0.21959580325511557</v>
      </c>
      <c r="AA67" s="1147">
        <f t="shared" ref="AA67" si="175">SUM(AA61:AA66)</f>
        <v>0.54410857171401428</v>
      </c>
      <c r="AB67" s="1147">
        <f t="shared" ref="AB67" si="176">SUM(AB61:AB66)</f>
        <v>0.41262042303158786</v>
      </c>
      <c r="AC67" s="1147">
        <f t="shared" ref="AC67" si="177">SUM(AC61:AC66)</f>
        <v>0.77683452704367761</v>
      </c>
      <c r="AD67" s="1147">
        <f t="shared" ref="AD67" si="178">SUM(AD61:AD66)</f>
        <v>0.33356779337874998</v>
      </c>
      <c r="AE67" s="1147">
        <f t="shared" ref="AE67" si="179">SUM(AE61:AE66)</f>
        <v>68.736761962285712</v>
      </c>
      <c r="AG67" s="1164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SUMIFS(Table9[Count of EnergyRating],Table9[MainSpaceHeatingFuel],AL67,Table9[EnergyRating (group)],AM67,Table9[CountyName (group)],AN$4)</f>
        <v>0</v>
      </c>
      <c r="AO67" s="1164">
        <f>SUMIFS(Table9[Count of EnergyRating],Table9[MainSpaceHeatingFuel],AL67,Table9[EnergyRating (group)],AM67,Table9[CountyName (group)],AO$4)</f>
        <v>109</v>
      </c>
      <c r="AP67" s="1164">
        <f>SUMIFS(Table9[Count of EnergyRating],Table9[MainSpaceHeatingFuel],AL67,Table9[EnergyRating (group)],AM67,Table9[CountyName (group)],AP$4)</f>
        <v>0</v>
      </c>
      <c r="AQ67" s="1164">
        <f>SUMIFS(Table9[Count of EnergyRating],Table9[MainSpaceHeatingFuel],AL67,Table9[EnergyRating (group)],AM67,Table9[CountyName (group)],AQ$4)</f>
        <v>0</v>
      </c>
      <c r="AR67" s="1164">
        <f>SUMIFS(Table9[Count of EnergyRating],Table9[MainSpaceHeatingFuel],AL67,Table9[EnergyRating (group)],AM67,Table9[CountyName (group)],AR$4)</f>
        <v>0</v>
      </c>
      <c r="AS67" s="1164">
        <f>SUMIFS(Table9[Count of EnergyRating],Table9[MainSpaceHeatingFuel],AL67,Table9[EnergyRating (group)],AM67,Table9[CountyName (group)],AS$4)</f>
        <v>0</v>
      </c>
      <c r="AT67" s="1164">
        <f>SUMIFS(Table9[Count of EnergyRating],Table9[MainSpaceHeatingFuel],AL67,Table9[EnergyRating (group)],AM67,Table9[CountyName (group)],AT$4)</f>
        <v>3</v>
      </c>
      <c r="AU67" s="1164">
        <f>SUMIFS(Table9[Count of EnergyRating],Table9[MainSpaceHeatingFuel],AL67,Table9[EnergyRating (group)],AM67,Table9[CountyName (group)],AU$4)</f>
        <v>0</v>
      </c>
      <c r="AV67" s="1164">
        <f>SUMIFS(Table9[Count of EnergyRating],Table9[MainSpaceHeatingFuel],AL67,Table9[EnergyRating (group)],AM67,Table9[CountyName (group)],AV$4)</f>
        <v>0</v>
      </c>
      <c r="AW67" s="1164">
        <f>SUMIFS(Table9[Count of EnergyRating],Table9[MainSpaceHeatingFuel],AL67,Table9[EnergyRating (group)],AM67,Table9[CountyName (group)],AW$4)</f>
        <v>0</v>
      </c>
      <c r="AX67" s="1164">
        <f>SUMIFS(Table9[Count of EnergyRating],Table9[MainSpaceHeatingFuel],AL67,Table9[EnergyRating (group)],AM67,Table9[CountyName (group)],AX$4)</f>
        <v>0</v>
      </c>
      <c r="AY67" s="1164">
        <f>SUMIFS(Table9[Count of EnergyRating],Table9[MainSpaceHeatingFuel],AL67,Table9[EnergyRating (group)],AM67,Table9[CountyName (group)],AY$4)</f>
        <v>0</v>
      </c>
      <c r="AZ67" s="1164">
        <f>SUMIFS(Table9[Count of EnergyRating],Table9[MainSpaceHeatingFuel],AL67,Table9[EnergyRating (group)],AM67,Table9[CountyName (group)],AZ$4)</f>
        <v>0</v>
      </c>
      <c r="BA67" s="1164">
        <f>SUMIFS(Table9[Count of EnergyRating],Table9[MainSpaceHeatingFuel],AL67,Table9[EnergyRating (group)],AM67,Table9[CountyName (group)],BA$4)</f>
        <v>154</v>
      </c>
      <c r="BB67" s="1164">
        <f>SUMIFS(Table9[Count of EnergyRating],Table9[MainSpaceHeatingFuel],AL67,Table9[EnergyRating (group)],AM67,Table9[CountyName (group)],BB$4)</f>
        <v>0</v>
      </c>
      <c r="BC67" s="1164">
        <f>SUMIFS(Table9[Count of EnergyRating],Table9[MainSpaceHeatingFuel],AL67,Table9[EnergyRating (group)],AM67,Table9[CountyName (group)],BC$4)</f>
        <v>1</v>
      </c>
      <c r="BD67" s="1164">
        <f>SUMIFS(Table9[Count of EnergyRating],Table9[MainSpaceHeatingFuel],AL67,Table9[EnergyRating (group)],AM67,Table9[CountyName (group)],BD$4)</f>
        <v>0</v>
      </c>
      <c r="BE67" s="1164">
        <f>SUMIFS(Table9[Count of EnergyRating],Table9[MainSpaceHeatingFuel],AL67,Table9[EnergyRating (group)],AM67,Table9[CountyName (group)],BE$4)</f>
        <v>12</v>
      </c>
      <c r="BF67" s="1164">
        <f>SUMIFS(Table9[Count of EnergyRating],Table9[MainSpaceHeatingFuel],AL67,Table9[EnergyRating (group)],AM67,Table9[CountyName (group)],BF$4)</f>
        <v>32</v>
      </c>
      <c r="BG67" s="1164">
        <f>SUMIFS(Table9[Count of EnergyRating],Table9[MainSpaceHeatingFuel],AL67,Table9[EnergyRating (group)],AM67,Table9[CountyName (group)],BG$4)</f>
        <v>4</v>
      </c>
      <c r="BH67" s="1164">
        <f>SUMIFS(Table9[Count of EnergyRating],Table9[MainSpaceHeatingFuel],AL67,Table9[EnergyRating (group)],AM67,Table9[CountyName (group)],BH$4)</f>
        <v>0</v>
      </c>
      <c r="BI67" s="1164">
        <f>SUMIFS(Table9[Count of EnergyRating],Table9[MainSpaceHeatingFuel],AL67,Table9[EnergyRating (group)],AM67,Table9[CountyName (group)],BI$4)</f>
        <v>3</v>
      </c>
      <c r="BJ67" s="1164">
        <f>SUMIFS(Table9[Count of EnergyRating],Table9[MainSpaceHeatingFuel],AL67,Table9[EnergyRating (group)],AM67,Table9[CountyName (group)],BJ$4)</f>
        <v>1</v>
      </c>
      <c r="BK67" s="1135">
        <f>SUMIFS(Table9[Count of EnergyRating],Table9[MainSpaceHeatingFuel],AL67,Table9[EnergyRating (group)],AM67,Table9[CountyName (group)],BK$4)</f>
        <v>0</v>
      </c>
      <c r="BL67" s="1164">
        <f>SUMIFS(Table9[Count of EnergyRating],Table9[MainSpaceHeatingFuel],AL67,Table9[EnergyRating (group)],AM67,Table9[CountyName (group)],BL$4)</f>
        <v>0</v>
      </c>
      <c r="BM67" s="1164">
        <f>SUMIFS(Table9[Count of EnergyRating],Table9[MainSpaceHeatingFuel],AL67,Table9[EnergyRating (group)],AM67,Table9[CountyName (group)],BM$4)</f>
        <v>0</v>
      </c>
    </row>
    <row r="68" spans="2:65" ht="15.75" thickBot="1">
      <c r="B68" s="1165"/>
      <c r="C68" s="1165" t="s">
        <v>1183</v>
      </c>
      <c r="D68" s="1165" t="s">
        <v>1094</v>
      </c>
      <c r="E68" s="1166">
        <f t="shared" ref="E68:AA68" si="180">G185</f>
        <v>0.41299881426018237</v>
      </c>
      <c r="F68" s="1166">
        <f t="shared" si="180"/>
        <v>40.035719768867267</v>
      </c>
      <c r="G68" s="1166">
        <f t="shared" si="180"/>
        <v>2.3907527500526169</v>
      </c>
      <c r="H68" s="1166">
        <f t="shared" si="180"/>
        <v>0.56860894493053471</v>
      </c>
      <c r="I68" s="1166">
        <f t="shared" si="180"/>
        <v>0.4658913902166219</v>
      </c>
      <c r="J68" s="1166">
        <f t="shared" si="180"/>
        <v>0.22448245111294246</v>
      </c>
      <c r="K68" s="1166">
        <f t="shared" si="180"/>
        <v>0.98659105115593038</v>
      </c>
      <c r="L68" s="1166">
        <f t="shared" si="180"/>
        <v>1.7568889496056241</v>
      </c>
      <c r="M68" s="1166">
        <f t="shared" si="180"/>
        <v>0.38157443191032209</v>
      </c>
      <c r="N68" s="1166">
        <f t="shared" si="180"/>
        <v>0.9379387593661056</v>
      </c>
      <c r="O68" s="1166">
        <f t="shared" si="180"/>
        <v>0.86651910119027975</v>
      </c>
      <c r="P68" s="1166">
        <f t="shared" si="180"/>
        <v>1.4652664211735229</v>
      </c>
      <c r="Q68" s="1166">
        <f t="shared" si="180"/>
        <v>0.80880825190243921</v>
      </c>
      <c r="R68" s="1166">
        <f t="shared" si="180"/>
        <v>5.897364647420555</v>
      </c>
      <c r="S68" s="1166">
        <f t="shared" si="180"/>
        <v>0.94349424325675602</v>
      </c>
      <c r="T68" s="1166">
        <f t="shared" si="180"/>
        <v>2.4223518727928002</v>
      </c>
      <c r="U68" s="1166">
        <f t="shared" si="180"/>
        <v>0.77342340135377785</v>
      </c>
      <c r="V68" s="1166">
        <f t="shared" si="180"/>
        <v>1.0386529269120321</v>
      </c>
      <c r="W68" s="1166">
        <f t="shared" si="180"/>
        <v>3.2081869074946558</v>
      </c>
      <c r="X68" s="1166">
        <f t="shared" si="180"/>
        <v>0.176299859121054</v>
      </c>
      <c r="Y68" s="1166">
        <f t="shared" si="180"/>
        <v>0.69520638622831099</v>
      </c>
      <c r="Z68" s="1166">
        <f t="shared" si="180"/>
        <v>0.21961889132587589</v>
      </c>
      <c r="AA68" s="1166">
        <f t="shared" si="180"/>
        <v>0.54416577871441596</v>
      </c>
      <c r="AB68" s="1166">
        <f>AD185</f>
        <v>0.41266380550694876</v>
      </c>
      <c r="AC68" s="1166">
        <f>AE185</f>
        <v>0.77691620260515704</v>
      </c>
      <c r="AD68" s="1166">
        <f>AF185</f>
        <v>0.33360286434414516</v>
      </c>
      <c r="AE68" s="1175">
        <f t="shared" si="5"/>
        <v>68.743988872820864</v>
      </c>
      <c r="AG68" s="58" t="s">
        <v>1163</v>
      </c>
      <c r="AH68" s="1158">
        <f>SUM(E70:AD75)</f>
        <v>32.346711511663862</v>
      </c>
      <c r="AI68" s="1140">
        <f>'SHWLP-Apt'!S12</f>
        <v>32.346711511663869</v>
      </c>
      <c r="AJ68" s="1160">
        <f>IFERROR((AI68-AH68)/AI68,"N/A")</f>
        <v>2.1966459728182453E-16</v>
      </c>
      <c r="AL68" s="1144" t="s">
        <v>136</v>
      </c>
      <c r="AM68" s="1144" t="s">
        <v>54</v>
      </c>
      <c r="AN68" s="1135">
        <f>SUMIFS(Table9[Count of EnergyRating],Table9[MainSpaceHeatingFuel],AL68,Table9[EnergyRating (group)],AM68,Table9[CountyName (group)],AN$4)</f>
        <v>12</v>
      </c>
      <c r="AO68" s="1164">
        <f>SUMIFS(Table9[Count of EnergyRating],Table9[MainSpaceHeatingFuel],AL68,Table9[EnergyRating (group)],AM68,Table9[CountyName (group)],AO$4)</f>
        <v>489</v>
      </c>
      <c r="AP68" s="1164">
        <f>SUMIFS(Table9[Count of EnergyRating],Table9[MainSpaceHeatingFuel],AL68,Table9[EnergyRating (group)],AM68,Table9[CountyName (group)],AP$4)</f>
        <v>0</v>
      </c>
      <c r="AQ68" s="1164">
        <f>SUMIFS(Table9[Count of EnergyRating],Table9[MainSpaceHeatingFuel],AL68,Table9[EnergyRating (group)],AM68,Table9[CountyName (group)],AQ$4)</f>
        <v>0</v>
      </c>
      <c r="AR68" s="1164">
        <f>SUMIFS(Table9[Count of EnergyRating],Table9[MainSpaceHeatingFuel],AL68,Table9[EnergyRating (group)],AM68,Table9[CountyName (group)],AR$4)</f>
        <v>6</v>
      </c>
      <c r="AS68" s="1164">
        <f>SUMIFS(Table9[Count of EnergyRating],Table9[MainSpaceHeatingFuel],AL68,Table9[EnergyRating (group)],AM68,Table9[CountyName (group)],AS$4)</f>
        <v>0</v>
      </c>
      <c r="AT68" s="1164">
        <f>SUMIFS(Table9[Count of EnergyRating],Table9[MainSpaceHeatingFuel],AL68,Table9[EnergyRating (group)],AM68,Table9[CountyName (group)],AT$4)</f>
        <v>5</v>
      </c>
      <c r="AU68" s="1164">
        <f>SUMIFS(Table9[Count of EnergyRating],Table9[MainSpaceHeatingFuel],AL68,Table9[EnergyRating (group)],AM68,Table9[CountyName (group)],AU$4)</f>
        <v>18</v>
      </c>
      <c r="AV68" s="1164">
        <f>SUMIFS(Table9[Count of EnergyRating],Table9[MainSpaceHeatingFuel],AL68,Table9[EnergyRating (group)],AM68,Table9[CountyName (group)],AV$4)</f>
        <v>0</v>
      </c>
      <c r="AW68" s="1164">
        <f>SUMIFS(Table9[Count of EnergyRating],Table9[MainSpaceHeatingFuel],AL68,Table9[EnergyRating (group)],AM68,Table9[CountyName (group)],AW$4)</f>
        <v>0</v>
      </c>
      <c r="AX68" s="1164">
        <f>SUMIFS(Table9[Count of EnergyRating],Table9[MainSpaceHeatingFuel],AL68,Table9[EnergyRating (group)],AM68,Table9[CountyName (group)],AX$4)</f>
        <v>0</v>
      </c>
      <c r="AY68" s="1164">
        <f>SUMIFS(Table9[Count of EnergyRating],Table9[MainSpaceHeatingFuel],AL68,Table9[EnergyRating (group)],AM68,Table9[CountyName (group)],AY$4)</f>
        <v>0</v>
      </c>
      <c r="AZ68" s="1164">
        <f>SUMIFS(Table9[Count of EnergyRating],Table9[MainSpaceHeatingFuel],AL68,Table9[EnergyRating (group)],AM68,Table9[CountyName (group)],AZ$4)</f>
        <v>0</v>
      </c>
      <c r="BA68" s="1164">
        <f>SUMIFS(Table9[Count of EnergyRating],Table9[MainSpaceHeatingFuel],AL68,Table9[EnergyRating (group)],AM68,Table9[CountyName (group)],BA$4)</f>
        <v>132</v>
      </c>
      <c r="BB68" s="1164">
        <f>SUMIFS(Table9[Count of EnergyRating],Table9[MainSpaceHeatingFuel],AL68,Table9[EnergyRating (group)],AM68,Table9[CountyName (group)],BB$4)</f>
        <v>0</v>
      </c>
      <c r="BC68" s="1164">
        <f>SUMIFS(Table9[Count of EnergyRating],Table9[MainSpaceHeatingFuel],AL68,Table9[EnergyRating (group)],AM68,Table9[CountyName (group)],BC$4)</f>
        <v>95</v>
      </c>
      <c r="BD68" s="1164">
        <f>SUMIFS(Table9[Count of EnergyRating],Table9[MainSpaceHeatingFuel],AL68,Table9[EnergyRating (group)],AM68,Table9[CountyName (group)],BD$4)</f>
        <v>0</v>
      </c>
      <c r="BE68" s="1164">
        <f>SUMIFS(Table9[Count of EnergyRating],Table9[MainSpaceHeatingFuel],AL68,Table9[EnergyRating (group)],AM68,Table9[CountyName (group)],BE$4)</f>
        <v>24</v>
      </c>
      <c r="BF68" s="1164">
        <f>SUMIFS(Table9[Count of EnergyRating],Table9[MainSpaceHeatingFuel],AL68,Table9[EnergyRating (group)],AM68,Table9[CountyName (group)],BF$4)</f>
        <v>129</v>
      </c>
      <c r="BG68" s="1164">
        <f>SUMIFS(Table9[Count of EnergyRating],Table9[MainSpaceHeatingFuel],AL68,Table9[EnergyRating (group)],AM68,Table9[CountyName (group)],BG$4)</f>
        <v>1</v>
      </c>
      <c r="BH68" s="1164">
        <f>SUMIFS(Table9[Count of EnergyRating],Table9[MainSpaceHeatingFuel],AL68,Table9[EnergyRating (group)],AM68,Table9[CountyName (group)],BH$4)</f>
        <v>0</v>
      </c>
      <c r="BI68" s="1164">
        <f>SUMIFS(Table9[Count of EnergyRating],Table9[MainSpaceHeatingFuel],AL68,Table9[EnergyRating (group)],AM68,Table9[CountyName (group)],BI$4)</f>
        <v>4</v>
      </c>
      <c r="BJ68" s="1164">
        <f>SUMIFS(Table9[Count of EnergyRating],Table9[MainSpaceHeatingFuel],AL68,Table9[EnergyRating (group)],AM68,Table9[CountyName (group)],BJ$4)</f>
        <v>45</v>
      </c>
      <c r="BK68" s="1135">
        <f>SUMIFS(Table9[Count of EnergyRating],Table9[MainSpaceHeatingFuel],AL68,Table9[EnergyRating (group)],AM68,Table9[CountyName (group)],BK$4)</f>
        <v>12</v>
      </c>
      <c r="BL68" s="1164">
        <f>SUMIFS(Table9[Count of EnergyRating],Table9[MainSpaceHeatingFuel],AL68,Table9[EnergyRating (group)],AM68,Table9[CountyName (group)],BL$4)</f>
        <v>0</v>
      </c>
      <c r="BM68" s="1164">
        <f>SUMIFS(Table9[Count of EnergyRating],Table9[MainSpaceHeatingFuel],AL68,Table9[EnergyRating (group)],AM68,Table9[CountyName (group)],BM$4)</f>
        <v>1</v>
      </c>
    </row>
    <row r="69" spans="2:65" ht="15">
      <c r="B69" s="1137"/>
      <c r="C69" s="1137" t="s">
        <v>1202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G69" s="58" t="s">
        <v>1107</v>
      </c>
      <c r="AH69" s="1158">
        <f>SUM(E77:AD77)</f>
        <v>32.189973301014781</v>
      </c>
      <c r="AI69" s="1140">
        <f>'SHWLP-Apt'!S38</f>
        <v>32.189973301014788</v>
      </c>
      <c r="AJ69" s="1160">
        <f>(AI69-AH69)/AI69</f>
        <v>2.2073417989995671E-16</v>
      </c>
      <c r="AL69" s="1144" t="s">
        <v>136</v>
      </c>
      <c r="AM69" s="1144" t="s">
        <v>56</v>
      </c>
      <c r="AN69" s="1135">
        <f>SUMIFS(Table9[Count of EnergyRating],Table9[MainSpaceHeatingFuel],AL69,Table9[EnergyRating (group)],AM69,Table9[CountyName (group)],AN$4)</f>
        <v>131</v>
      </c>
      <c r="AO69" s="1164">
        <f>SUMIFS(Table9[Count of EnergyRating],Table9[MainSpaceHeatingFuel],AL69,Table9[EnergyRating (group)],AM69,Table9[CountyName (group)],AO$4)</f>
        <v>8528</v>
      </c>
      <c r="AP69" s="1164">
        <f>SUMIFS(Table9[Count of EnergyRating],Table9[MainSpaceHeatingFuel],AL69,Table9[EnergyRating (group)],AM69,Table9[CountyName (group)],AP$4)</f>
        <v>0</v>
      </c>
      <c r="AQ69" s="1164">
        <f>SUMIFS(Table9[Count of EnergyRating],Table9[MainSpaceHeatingFuel],AL69,Table9[EnergyRating (group)],AM69,Table9[CountyName (group)],AQ$4)</f>
        <v>0</v>
      </c>
      <c r="AR69" s="1164">
        <f>SUMIFS(Table9[Count of EnergyRating],Table9[MainSpaceHeatingFuel],AL69,Table9[EnergyRating (group)],AM69,Table9[CountyName (group)],AR$4)</f>
        <v>84</v>
      </c>
      <c r="AS69" s="1164">
        <f>SUMIFS(Table9[Count of EnergyRating],Table9[MainSpaceHeatingFuel],AL69,Table9[EnergyRating (group)],AM69,Table9[CountyName (group)],AS$4)</f>
        <v>0</v>
      </c>
      <c r="AT69" s="1164">
        <f>SUMIFS(Table9[Count of EnergyRating],Table9[MainSpaceHeatingFuel],AL69,Table9[EnergyRating (group)],AM69,Table9[CountyName (group)],AT$4)</f>
        <v>102</v>
      </c>
      <c r="AU69" s="1164">
        <f>SUMIFS(Table9[Count of EnergyRating],Table9[MainSpaceHeatingFuel],AL69,Table9[EnergyRating (group)],AM69,Table9[CountyName (group)],AU$4)</f>
        <v>348</v>
      </c>
      <c r="AV69" s="1164">
        <f>SUMIFS(Table9[Count of EnergyRating],Table9[MainSpaceHeatingFuel],AL69,Table9[EnergyRating (group)],AM69,Table9[CountyName (group)],AV$4)</f>
        <v>0</v>
      </c>
      <c r="AW69" s="1164">
        <f>SUMIFS(Table9[Count of EnergyRating],Table9[MainSpaceHeatingFuel],AL69,Table9[EnergyRating (group)],AM69,Table9[CountyName (group)],AW$4)</f>
        <v>0</v>
      </c>
      <c r="AX69" s="1164">
        <f>SUMIFS(Table9[Count of EnergyRating],Table9[MainSpaceHeatingFuel],AL69,Table9[EnergyRating (group)],AM69,Table9[CountyName (group)],AX$4)</f>
        <v>0</v>
      </c>
      <c r="AY69" s="1164">
        <f>SUMIFS(Table9[Count of EnergyRating],Table9[MainSpaceHeatingFuel],AL69,Table9[EnergyRating (group)],AM69,Table9[CountyName (group)],AY$4)</f>
        <v>0</v>
      </c>
      <c r="AZ69" s="1164">
        <f>SUMIFS(Table9[Count of EnergyRating],Table9[MainSpaceHeatingFuel],AL69,Table9[EnergyRating (group)],AM69,Table9[CountyName (group)],AZ$4)</f>
        <v>0</v>
      </c>
      <c r="BA69" s="1164">
        <f>SUMIFS(Table9[Count of EnergyRating],Table9[MainSpaceHeatingFuel],AL69,Table9[EnergyRating (group)],AM69,Table9[CountyName (group)],BA$4)</f>
        <v>1198</v>
      </c>
      <c r="BB69" s="1164">
        <f>SUMIFS(Table9[Count of EnergyRating],Table9[MainSpaceHeatingFuel],AL69,Table9[EnergyRating (group)],AM69,Table9[CountyName (group)],BB$4)</f>
        <v>0</v>
      </c>
      <c r="BC69" s="1164">
        <f>SUMIFS(Table9[Count of EnergyRating],Table9[MainSpaceHeatingFuel],AL69,Table9[EnergyRating (group)],AM69,Table9[CountyName (group)],BC$4)</f>
        <v>1475</v>
      </c>
      <c r="BD69" s="1164">
        <f>SUMIFS(Table9[Count of EnergyRating],Table9[MainSpaceHeatingFuel],AL69,Table9[EnergyRating (group)],AM69,Table9[CountyName (group)],BD$4)</f>
        <v>0</v>
      </c>
      <c r="BE69" s="1164">
        <f>SUMIFS(Table9[Count of EnergyRating],Table9[MainSpaceHeatingFuel],AL69,Table9[EnergyRating (group)],AM69,Table9[CountyName (group)],BE$4)</f>
        <v>551</v>
      </c>
      <c r="BF69" s="1164">
        <f>SUMIFS(Table9[Count of EnergyRating],Table9[MainSpaceHeatingFuel],AL69,Table9[EnergyRating (group)],AM69,Table9[CountyName (group)],BF$4)</f>
        <v>1251</v>
      </c>
      <c r="BG69" s="1164">
        <f>SUMIFS(Table9[Count of EnergyRating],Table9[MainSpaceHeatingFuel],AL69,Table9[EnergyRating (group)],AM69,Table9[CountyName (group)],BG$4)</f>
        <v>142</v>
      </c>
      <c r="BH69" s="1164">
        <f>SUMIFS(Table9[Count of EnergyRating],Table9[MainSpaceHeatingFuel],AL69,Table9[EnergyRating (group)],AM69,Table9[CountyName (group)],BH$4)</f>
        <v>0</v>
      </c>
      <c r="BI69" s="1164">
        <f>SUMIFS(Table9[Count of EnergyRating],Table9[MainSpaceHeatingFuel],AL69,Table9[EnergyRating (group)],AM69,Table9[CountyName (group)],BI$4)</f>
        <v>81</v>
      </c>
      <c r="BJ69" s="1164">
        <f>SUMIFS(Table9[Count of EnergyRating],Table9[MainSpaceHeatingFuel],AL69,Table9[EnergyRating (group)],AM69,Table9[CountyName (group)],BJ$4)</f>
        <v>348</v>
      </c>
      <c r="BK69" s="1135">
        <f>SUMIFS(Table9[Count of EnergyRating],Table9[MainSpaceHeatingFuel],AL69,Table9[EnergyRating (group)],AM69,Table9[CountyName (group)],BK$4)</f>
        <v>132</v>
      </c>
      <c r="BL69" s="1164">
        <f>SUMIFS(Table9[Count of EnergyRating],Table9[MainSpaceHeatingFuel],AL69,Table9[EnergyRating (group)],AM69,Table9[CountyName (group)],BL$4)</f>
        <v>0</v>
      </c>
      <c r="BM69" s="1164">
        <f>SUMIFS(Table9[Count of EnergyRating],Table9[MainSpaceHeatingFuel],AL69,Table9[EnergyRating (group)],AM69,Table9[CountyName (group)],BM$4)</f>
        <v>42</v>
      </c>
    </row>
    <row r="70" spans="2:65">
      <c r="B70" s="1134" t="s">
        <v>1259</v>
      </c>
      <c r="C70" s="1134" t="s">
        <v>1184</v>
      </c>
      <c r="D70" s="1134" t="s">
        <v>1094</v>
      </c>
      <c r="E70" s="1145">
        <f t="shared" ref="E70:AA70" si="181">IFERROR(G187*((SUM(AN$65:AN$68)/SUM(AN$65:AN$73))/(SUM(G$187)/SUM(G$187:G$192))),G187)</f>
        <v>4.4166352573909934E-3</v>
      </c>
      <c r="F70" s="1145">
        <f t="shared" si="181"/>
        <v>0.90688763892972613</v>
      </c>
      <c r="G70" s="1145">
        <f t="shared" si="181"/>
        <v>0.19829813186194306</v>
      </c>
      <c r="H70" s="1145">
        <f t="shared" si="181"/>
        <v>4.8846451910027747E-2</v>
      </c>
      <c r="I70" s="1145">
        <f t="shared" si="181"/>
        <v>3.8653393205072694E-3</v>
      </c>
      <c r="J70" s="1145">
        <f t="shared" si="181"/>
        <v>7.5861090477673801E-3</v>
      </c>
      <c r="K70" s="1145">
        <f t="shared" si="181"/>
        <v>1.4115081075165939E-2</v>
      </c>
      <c r="L70" s="1145">
        <f t="shared" si="181"/>
        <v>3.4835969523111056E-2</v>
      </c>
      <c r="M70" s="1145">
        <f t="shared" si="181"/>
        <v>1.4995759181539172E-2</v>
      </c>
      <c r="N70" s="1145">
        <f t="shared" si="181"/>
        <v>7.0856243566339169E-2</v>
      </c>
      <c r="O70" s="1145">
        <f t="shared" si="181"/>
        <v>3.6608727507455939E-2</v>
      </c>
      <c r="P70" s="1145">
        <f t="shared" si="181"/>
        <v>0.17889414479126198</v>
      </c>
      <c r="Q70" s="1145">
        <f t="shared" si="181"/>
        <v>4.0552049617512451E-2</v>
      </c>
      <c r="R70" s="1145">
        <f t="shared" si="181"/>
        <v>0.19698467913811174</v>
      </c>
      <c r="S70" s="1145">
        <f t="shared" si="181"/>
        <v>5.3236119085958357E-2</v>
      </c>
      <c r="T70" s="1145">
        <f t="shared" si="181"/>
        <v>2.9303369758112166E-2</v>
      </c>
      <c r="U70" s="1145">
        <f t="shared" si="181"/>
        <v>2.2053652873893815E-2</v>
      </c>
      <c r="V70" s="1145">
        <f t="shared" si="181"/>
        <v>2.4748685235386293E-2</v>
      </c>
      <c r="W70" s="1145">
        <f t="shared" si="181"/>
        <v>6.446172088655451E-2</v>
      </c>
      <c r="X70" s="1145">
        <f t="shared" si="181"/>
        <v>9.8056640294127756E-4</v>
      </c>
      <c r="Y70" s="1145">
        <f t="shared" si="181"/>
        <v>2.841345171071688E-2</v>
      </c>
      <c r="Z70" s="1145">
        <f t="shared" si="181"/>
        <v>4.7512276566353618E-3</v>
      </c>
      <c r="AA70" s="1145">
        <f t="shared" si="181"/>
        <v>9.4833737989370691E-3</v>
      </c>
      <c r="AB70" s="1145">
        <f>IFERROR(AD187*((SUM(BK$65:BK$68)/SUM(BK$65:BK$73))/(SUM(AD$187)/SUM(AD$187:AD$192))),AD187)</f>
        <v>4.9426189710735664E-3</v>
      </c>
      <c r="AC70" s="1145">
        <f>IFERROR(AE187*((SUM(BL$65:BL$68)/SUM(BL$65:BL$73))/(SUM(AE$187)/SUM(AE$187:AE$192))),AE187)</f>
        <v>5.4794029695842614E-2</v>
      </c>
      <c r="AD70" s="1145">
        <f>IFERROR(AF187*((SUM(BM$65:BM$68)/SUM(BM$65:BM$73))/(SUM(AF$187)/SUM(AF$187:AF$192))),AF187)</f>
        <v>2.2424725605294121E-3</v>
      </c>
      <c r="AE70" s="1172">
        <f t="shared" si="5"/>
        <v>2.0571542493644408</v>
      </c>
      <c r="AG70" s="1164"/>
      <c r="AL70" s="1144" t="s">
        <v>136</v>
      </c>
      <c r="AM70" s="1144" t="s">
        <v>58</v>
      </c>
      <c r="AN70" s="1135">
        <f>SUMIFS(Table9[Count of EnergyRating],Table9[MainSpaceHeatingFuel],AL70,Table9[EnergyRating (group)],AM70,Table9[CountyName (group)],AN$4)</f>
        <v>190</v>
      </c>
      <c r="AO70" s="1164">
        <f>SUMIFS(Table9[Count of EnergyRating],Table9[MainSpaceHeatingFuel],AL70,Table9[EnergyRating (group)],AM70,Table9[CountyName (group)],AO$4)</f>
        <v>10703</v>
      </c>
      <c r="AP70" s="1164">
        <f>SUMIFS(Table9[Count of EnergyRating],Table9[MainSpaceHeatingFuel],AL70,Table9[EnergyRating (group)],AM70,Table9[CountyName (group)],AP$4)</f>
        <v>0</v>
      </c>
      <c r="AQ70" s="1164">
        <f>SUMIFS(Table9[Count of EnergyRating],Table9[MainSpaceHeatingFuel],AL70,Table9[EnergyRating (group)],AM70,Table9[CountyName (group)],AQ$4)</f>
        <v>0</v>
      </c>
      <c r="AR70" s="1164">
        <f>SUMIFS(Table9[Count of EnergyRating],Table9[MainSpaceHeatingFuel],AL70,Table9[EnergyRating (group)],AM70,Table9[CountyName (group)],AR$4)</f>
        <v>172</v>
      </c>
      <c r="AS70" s="1164">
        <f>SUMIFS(Table9[Count of EnergyRating],Table9[MainSpaceHeatingFuel],AL70,Table9[EnergyRating (group)],AM70,Table9[CountyName (group)],AS$4)</f>
        <v>0</v>
      </c>
      <c r="AT70" s="1164">
        <f>SUMIFS(Table9[Count of EnergyRating],Table9[MainSpaceHeatingFuel],AL70,Table9[EnergyRating (group)],AM70,Table9[CountyName (group)],AT$4)</f>
        <v>198</v>
      </c>
      <c r="AU70" s="1164">
        <f>SUMIFS(Table9[Count of EnergyRating],Table9[MainSpaceHeatingFuel],AL70,Table9[EnergyRating (group)],AM70,Table9[CountyName (group)],AU$4)</f>
        <v>481</v>
      </c>
      <c r="AV70" s="1164">
        <f>SUMIFS(Table9[Count of EnergyRating],Table9[MainSpaceHeatingFuel],AL70,Table9[EnergyRating (group)],AM70,Table9[CountyName (group)],AV$4)</f>
        <v>0</v>
      </c>
      <c r="AW70" s="1164">
        <f>SUMIFS(Table9[Count of EnergyRating],Table9[MainSpaceHeatingFuel],AL70,Table9[EnergyRating (group)],AM70,Table9[CountyName (group)],AW$4)</f>
        <v>0</v>
      </c>
      <c r="AX70" s="1164">
        <f>SUMIFS(Table9[Count of EnergyRating],Table9[MainSpaceHeatingFuel],AL70,Table9[EnergyRating (group)],AM70,Table9[CountyName (group)],AX$4)</f>
        <v>0</v>
      </c>
      <c r="AY70" s="1164">
        <f>SUMIFS(Table9[Count of EnergyRating],Table9[MainSpaceHeatingFuel],AL70,Table9[EnergyRating (group)],AM70,Table9[CountyName (group)],AY$4)</f>
        <v>0</v>
      </c>
      <c r="AZ70" s="1164">
        <f>SUMIFS(Table9[Count of EnergyRating],Table9[MainSpaceHeatingFuel],AL70,Table9[EnergyRating (group)],AM70,Table9[CountyName (group)],AZ$4)</f>
        <v>0</v>
      </c>
      <c r="BA70" s="1164">
        <f>SUMIFS(Table9[Count of EnergyRating],Table9[MainSpaceHeatingFuel],AL70,Table9[EnergyRating (group)],AM70,Table9[CountyName (group)],BA$4)</f>
        <v>1559</v>
      </c>
      <c r="BB70" s="1164">
        <f>SUMIFS(Table9[Count of EnergyRating],Table9[MainSpaceHeatingFuel],AL70,Table9[EnergyRating (group)],AM70,Table9[CountyName (group)],BB$4)</f>
        <v>0</v>
      </c>
      <c r="BC70" s="1164">
        <f>SUMIFS(Table9[Count of EnergyRating],Table9[MainSpaceHeatingFuel],AL70,Table9[EnergyRating (group)],AM70,Table9[CountyName (group)],BC$4)</f>
        <v>1277</v>
      </c>
      <c r="BD70" s="1164">
        <f>SUMIFS(Table9[Count of EnergyRating],Table9[MainSpaceHeatingFuel],AL70,Table9[EnergyRating (group)],AM70,Table9[CountyName (group)],BD$4)</f>
        <v>0</v>
      </c>
      <c r="BE70" s="1164">
        <f>SUMIFS(Table9[Count of EnergyRating],Table9[MainSpaceHeatingFuel],AL70,Table9[EnergyRating (group)],AM70,Table9[CountyName (group)],BE$4)</f>
        <v>741</v>
      </c>
      <c r="BF70" s="1164">
        <f>SUMIFS(Table9[Count of EnergyRating],Table9[MainSpaceHeatingFuel],AL70,Table9[EnergyRating (group)],AM70,Table9[CountyName (group)],BF$4)</f>
        <v>1986</v>
      </c>
      <c r="BG70" s="1164">
        <f>SUMIFS(Table9[Count of EnergyRating],Table9[MainSpaceHeatingFuel],AL70,Table9[EnergyRating (group)],AM70,Table9[CountyName (group)],BG$4)</f>
        <v>182</v>
      </c>
      <c r="BH70" s="1164">
        <f>SUMIFS(Table9[Count of EnergyRating],Table9[MainSpaceHeatingFuel],AL70,Table9[EnergyRating (group)],AM70,Table9[CountyName (group)],BH$4)</f>
        <v>0</v>
      </c>
      <c r="BI70" s="1164">
        <f>SUMIFS(Table9[Count of EnergyRating],Table9[MainSpaceHeatingFuel],AL70,Table9[EnergyRating (group)],AM70,Table9[CountyName (group)],BI$4)</f>
        <v>133</v>
      </c>
      <c r="BJ70" s="1164">
        <f>SUMIFS(Table9[Count of EnergyRating],Table9[MainSpaceHeatingFuel],AL70,Table9[EnergyRating (group)],AM70,Table9[CountyName (group)],BJ$4)</f>
        <v>585</v>
      </c>
      <c r="BK70" s="1135">
        <f>SUMIFS(Table9[Count of EnergyRating],Table9[MainSpaceHeatingFuel],AL70,Table9[EnergyRating (group)],AM70,Table9[CountyName (group)],BK$4)</f>
        <v>218</v>
      </c>
      <c r="BL70" s="1164">
        <f>SUMIFS(Table9[Count of EnergyRating],Table9[MainSpaceHeatingFuel],AL70,Table9[EnergyRating (group)],AM70,Table9[CountyName (group)],BL$4)</f>
        <v>0</v>
      </c>
      <c r="BM70" s="1164">
        <f>SUMIFS(Table9[Count of EnergyRating],Table9[MainSpaceHeatingFuel],AL70,Table9[EnergyRating (group)],AM70,Table9[CountyName (group)],BM$4)</f>
        <v>89</v>
      </c>
    </row>
    <row r="71" spans="2:65">
      <c r="B71" s="1136" t="s">
        <v>56</v>
      </c>
      <c r="C71" s="1136" t="s">
        <v>1184</v>
      </c>
      <c r="D71" s="1136" t="s">
        <v>1094</v>
      </c>
      <c r="E71" s="1146">
        <f t="shared" ref="E71:AA71" si="182">IFERROR(G188*((SUM(AN$69)/SUM(AN$65:AN$73))/(SUM(G$188)/SUM(G$187:G$192))),G188)</f>
        <v>4.8214934893185006E-2</v>
      </c>
      <c r="F71" s="1146">
        <f t="shared" si="182"/>
        <v>5.3633410435455637</v>
      </c>
      <c r="G71" s="1146">
        <f t="shared" si="182"/>
        <v>0.44931414013023763</v>
      </c>
      <c r="H71" s="1146">
        <f t="shared" si="182"/>
        <v>0.11036557716328467</v>
      </c>
      <c r="I71" s="1146">
        <f t="shared" si="182"/>
        <v>4.6384071846087234E-2</v>
      </c>
      <c r="J71" s="1146">
        <f t="shared" si="182"/>
        <v>2.902907291765883E-2</v>
      </c>
      <c r="K71" s="1146">
        <f t="shared" si="182"/>
        <v>7.998545942594032E-2</v>
      </c>
      <c r="L71" s="1146">
        <f t="shared" si="182"/>
        <v>0.23313302680851247</v>
      </c>
      <c r="M71" s="1146">
        <f t="shared" si="182"/>
        <v>4.9148110739835375E-2</v>
      </c>
      <c r="N71" s="1146">
        <f t="shared" si="182"/>
        <v>0.13377891393811842</v>
      </c>
      <c r="O71" s="1146">
        <f t="shared" si="182"/>
        <v>0.11237013421348586</v>
      </c>
      <c r="P71" s="1146">
        <f t="shared" si="182"/>
        <v>0.23702025107303751</v>
      </c>
      <c r="Q71" s="1146">
        <f t="shared" si="182"/>
        <v>0.11707340073355434</v>
      </c>
      <c r="R71" s="1146">
        <f t="shared" si="182"/>
        <v>0.66288664496476923</v>
      </c>
      <c r="S71" s="1146">
        <f t="shared" si="182"/>
        <v>0.1491262086650133</v>
      </c>
      <c r="T71" s="1146">
        <f t="shared" si="182"/>
        <v>0.44559247828057169</v>
      </c>
      <c r="U71" s="1146">
        <f t="shared" si="182"/>
        <v>7.2093517624524775E-2</v>
      </c>
      <c r="V71" s="1146">
        <f t="shared" si="182"/>
        <v>0.13239345208444511</v>
      </c>
      <c r="W71" s="1146">
        <f t="shared" si="182"/>
        <v>0.36655278558672599</v>
      </c>
      <c r="X71" s="1146">
        <f t="shared" si="182"/>
        <v>2.784808584353228E-2</v>
      </c>
      <c r="Y71" s="1146">
        <f t="shared" si="182"/>
        <v>9.7185311907914032E-2</v>
      </c>
      <c r="Z71" s="1146">
        <f t="shared" si="182"/>
        <v>2.4053090011716519E-2</v>
      </c>
      <c r="AA71" s="1146">
        <f t="shared" si="182"/>
        <v>6.0003892400547272E-2</v>
      </c>
      <c r="AB71" s="1146">
        <f>IFERROR(AD188*((SUM(BK$69)/SUM(BK$65:BK$73))/(SUM(AD$188)/SUM(AD$187:AD$192))),AD188)</f>
        <v>4.6601836012979334E-2</v>
      </c>
      <c r="AC71" s="1146">
        <f>IFERROR(AE188*((SUM(BL$69)/SUM(BL$65:BL$73))/(SUM(AE$188)/SUM(AE$187:AE$192))),AE188)</f>
        <v>0.1371528778034414</v>
      </c>
      <c r="AD71" s="1146">
        <f>IFERROR(AF188*((SUM(BM$69)/SUM(BM$65:BM$73))/(SUM(AF$188)/SUM(AF$187:AF$192))),AF188)</f>
        <v>2.3545961885558825E-2</v>
      </c>
      <c r="AE71" s="1173">
        <f t="shared" si="5"/>
        <v>9.25419428050024</v>
      </c>
      <c r="AG71" s="1164"/>
      <c r="AL71" s="1144" t="s">
        <v>136</v>
      </c>
      <c r="AM71" s="1144" t="s">
        <v>60</v>
      </c>
      <c r="AN71" s="1135">
        <f>SUMIFS(Table9[Count of EnergyRating],Table9[MainSpaceHeatingFuel],AL71,Table9[EnergyRating (group)],AM71,Table9[CountyName (group)],AN$4)</f>
        <v>110</v>
      </c>
      <c r="AO71" s="1164">
        <f>SUMIFS(Table9[Count of EnergyRating],Table9[MainSpaceHeatingFuel],AL71,Table9[EnergyRating (group)],AM71,Table9[CountyName (group)],AO$4)</f>
        <v>5707</v>
      </c>
      <c r="AP71" s="1164">
        <f>SUMIFS(Table9[Count of EnergyRating],Table9[MainSpaceHeatingFuel],AL71,Table9[EnergyRating (group)],AM71,Table9[CountyName (group)],AP$4)</f>
        <v>0</v>
      </c>
      <c r="AQ71" s="1164">
        <f>SUMIFS(Table9[Count of EnergyRating],Table9[MainSpaceHeatingFuel],AL71,Table9[EnergyRating (group)],AM71,Table9[CountyName (group)],AQ$4)</f>
        <v>0</v>
      </c>
      <c r="AR71" s="1164">
        <f>SUMIFS(Table9[Count of EnergyRating],Table9[MainSpaceHeatingFuel],AL71,Table9[EnergyRating (group)],AM71,Table9[CountyName (group)],AR$4)</f>
        <v>76</v>
      </c>
      <c r="AS71" s="1164">
        <f>SUMIFS(Table9[Count of EnergyRating],Table9[MainSpaceHeatingFuel],AL71,Table9[EnergyRating (group)],AM71,Table9[CountyName (group)],AS$4)</f>
        <v>0</v>
      </c>
      <c r="AT71" s="1164">
        <f>SUMIFS(Table9[Count of EnergyRating],Table9[MainSpaceHeatingFuel],AL71,Table9[EnergyRating (group)],AM71,Table9[CountyName (group)],AT$4)</f>
        <v>160</v>
      </c>
      <c r="AU71" s="1164">
        <f>SUMIFS(Table9[Count of EnergyRating],Table9[MainSpaceHeatingFuel],AL71,Table9[EnergyRating (group)],AM71,Table9[CountyName (group)],AU$4)</f>
        <v>234</v>
      </c>
      <c r="AV71" s="1164">
        <f>SUMIFS(Table9[Count of EnergyRating],Table9[MainSpaceHeatingFuel],AL71,Table9[EnergyRating (group)],AM71,Table9[CountyName (group)],AV$4)</f>
        <v>0</v>
      </c>
      <c r="AW71" s="1164">
        <f>SUMIFS(Table9[Count of EnergyRating],Table9[MainSpaceHeatingFuel],AL71,Table9[EnergyRating (group)],AM71,Table9[CountyName (group)],AW$4)</f>
        <v>0</v>
      </c>
      <c r="AX71" s="1164">
        <f>SUMIFS(Table9[Count of EnergyRating],Table9[MainSpaceHeatingFuel],AL71,Table9[EnergyRating (group)],AM71,Table9[CountyName (group)],AX$4)</f>
        <v>0</v>
      </c>
      <c r="AY71" s="1164">
        <f>SUMIFS(Table9[Count of EnergyRating],Table9[MainSpaceHeatingFuel],AL71,Table9[EnergyRating (group)],AM71,Table9[CountyName (group)],AY$4)</f>
        <v>0</v>
      </c>
      <c r="AZ71" s="1164">
        <f>SUMIFS(Table9[Count of EnergyRating],Table9[MainSpaceHeatingFuel],AL71,Table9[EnergyRating (group)],AM71,Table9[CountyName (group)],AZ$4)</f>
        <v>0</v>
      </c>
      <c r="BA71" s="1164">
        <f>SUMIFS(Table9[Count of EnergyRating],Table9[MainSpaceHeatingFuel],AL71,Table9[EnergyRating (group)],AM71,Table9[CountyName (group)],BA$4)</f>
        <v>966</v>
      </c>
      <c r="BB71" s="1164">
        <f>SUMIFS(Table9[Count of EnergyRating],Table9[MainSpaceHeatingFuel],AL71,Table9[EnergyRating (group)],AM71,Table9[CountyName (group)],BB$4)</f>
        <v>0</v>
      </c>
      <c r="BC71" s="1164">
        <f>SUMIFS(Table9[Count of EnergyRating],Table9[MainSpaceHeatingFuel],AL71,Table9[EnergyRating (group)],AM71,Table9[CountyName (group)],BC$4)</f>
        <v>545</v>
      </c>
      <c r="BD71" s="1164">
        <f>SUMIFS(Table9[Count of EnergyRating],Table9[MainSpaceHeatingFuel],AL71,Table9[EnergyRating (group)],AM71,Table9[CountyName (group)],BD$4)</f>
        <v>0</v>
      </c>
      <c r="BE71" s="1164">
        <f>SUMIFS(Table9[Count of EnergyRating],Table9[MainSpaceHeatingFuel],AL71,Table9[EnergyRating (group)],AM71,Table9[CountyName (group)],BE$4)</f>
        <v>412</v>
      </c>
      <c r="BF71" s="1164">
        <f>SUMIFS(Table9[Count of EnergyRating],Table9[MainSpaceHeatingFuel],AL71,Table9[EnergyRating (group)],AM71,Table9[CountyName (group)],BF$4)</f>
        <v>1173</v>
      </c>
      <c r="BG71" s="1164">
        <f>SUMIFS(Table9[Count of EnergyRating],Table9[MainSpaceHeatingFuel],AL71,Table9[EnergyRating (group)],AM71,Table9[CountyName (group)],BG$4)</f>
        <v>60</v>
      </c>
      <c r="BH71" s="1164">
        <f>SUMIFS(Table9[Count of EnergyRating],Table9[MainSpaceHeatingFuel],AL71,Table9[EnergyRating (group)],AM71,Table9[CountyName (group)],BH$4)</f>
        <v>0</v>
      </c>
      <c r="BI71" s="1164">
        <f>SUMIFS(Table9[Count of EnergyRating],Table9[MainSpaceHeatingFuel],AL71,Table9[EnergyRating (group)],AM71,Table9[CountyName (group)],BI$4)</f>
        <v>70</v>
      </c>
      <c r="BJ71" s="1164">
        <f>SUMIFS(Table9[Count of EnergyRating],Table9[MainSpaceHeatingFuel],AL71,Table9[EnergyRating (group)],AM71,Table9[CountyName (group)],BJ$4)</f>
        <v>398</v>
      </c>
      <c r="BK71" s="1135">
        <f>SUMIFS(Table9[Count of EnergyRating],Table9[MainSpaceHeatingFuel],AL71,Table9[EnergyRating (group)],AM71,Table9[CountyName (group)],BK$4)</f>
        <v>114</v>
      </c>
      <c r="BL71" s="1164">
        <f>SUMIFS(Table9[Count of EnergyRating],Table9[MainSpaceHeatingFuel],AL71,Table9[EnergyRating (group)],AM71,Table9[CountyName (group)],BL$4)</f>
        <v>0</v>
      </c>
      <c r="BM71" s="1164">
        <f>SUMIFS(Table9[Count of EnergyRating],Table9[MainSpaceHeatingFuel],AL71,Table9[EnergyRating (group)],AM71,Table9[CountyName (group)],BM$4)</f>
        <v>56</v>
      </c>
    </row>
    <row r="72" spans="2:65">
      <c r="B72" s="1134" t="s">
        <v>58</v>
      </c>
      <c r="C72" s="1134" t="s">
        <v>1184</v>
      </c>
      <c r="D72" s="1134" t="s">
        <v>1094</v>
      </c>
      <c r="E72" s="1145">
        <f t="shared" ref="E72:AA72" si="183">IFERROR(G189*((SUM(AN$70)/SUM(AN$65:AN$73))/(SUM(G$189)/SUM(G$187:G$192))),G189)</f>
        <v>6.9930058242024071E-2</v>
      </c>
      <c r="F72" s="1145">
        <f t="shared" si="183"/>
        <v>6.7312194171046169</v>
      </c>
      <c r="G72" s="1145">
        <f t="shared" si="183"/>
        <v>0.25240568679525222</v>
      </c>
      <c r="H72" s="1145">
        <f t="shared" si="183"/>
        <v>5.492965652392838E-2</v>
      </c>
      <c r="I72" s="1145">
        <f t="shared" si="183"/>
        <v>9.4976909018178624E-2</v>
      </c>
      <c r="J72" s="1145">
        <f t="shared" si="183"/>
        <v>4.0713731198980613E-2</v>
      </c>
      <c r="K72" s="1145">
        <f t="shared" si="183"/>
        <v>0.15526589182682535</v>
      </c>
      <c r="L72" s="1145">
        <f t="shared" si="183"/>
        <v>0.32223271808877724</v>
      </c>
      <c r="M72" s="1145">
        <f t="shared" si="183"/>
        <v>5.5893929860989247E-2</v>
      </c>
      <c r="N72" s="1145">
        <f t="shared" si="183"/>
        <v>0.13398191684242514</v>
      </c>
      <c r="O72" s="1145">
        <f t="shared" si="183"/>
        <v>0.12289308992578554</v>
      </c>
      <c r="P72" s="1145">
        <f t="shared" si="183"/>
        <v>0.14583683309750814</v>
      </c>
      <c r="Q72" s="1145">
        <f t="shared" si="183"/>
        <v>0.10607321542973044</v>
      </c>
      <c r="R72" s="1145">
        <f t="shared" si="183"/>
        <v>0.86263796285482075</v>
      </c>
      <c r="S72" s="1145">
        <f t="shared" si="183"/>
        <v>0.1311315185308525</v>
      </c>
      <c r="T72" s="1145">
        <f t="shared" si="183"/>
        <v>0.38577735238256944</v>
      </c>
      <c r="U72" s="1145">
        <f t="shared" si="183"/>
        <v>0.12358888735632816</v>
      </c>
      <c r="V72" s="1145">
        <f t="shared" si="183"/>
        <v>0.17804636659632275</v>
      </c>
      <c r="W72" s="1145">
        <f t="shared" si="183"/>
        <v>0.58191353491226039</v>
      </c>
      <c r="X72" s="1145">
        <f t="shared" si="183"/>
        <v>3.5692617067062497E-2</v>
      </c>
      <c r="Y72" s="1145">
        <f t="shared" si="183"/>
        <v>0.11527608425440886</v>
      </c>
      <c r="Z72" s="1145">
        <f t="shared" si="183"/>
        <v>3.9494579895781444E-2</v>
      </c>
      <c r="AA72" s="1145">
        <f t="shared" si="183"/>
        <v>0.10086861222505793</v>
      </c>
      <c r="AB72" s="1145">
        <f>IFERROR(AD189*((SUM(BK$70)/SUM(BK$65:BK$73))/(SUM(AD$189)/SUM(AD$187:AD$192))),AD189)</f>
        <v>7.696363826385981E-2</v>
      </c>
      <c r="AC72" s="1145">
        <f>IFERROR(AE189*((SUM(BL$70)/SUM(BL$65:BL$73))/(SUM(AE$189)/SUM(AE$187:AE$192))),AE189)</f>
        <v>8.4978945916381637E-2</v>
      </c>
      <c r="AD72" s="1145">
        <f>IFERROR(AF189*((SUM(BM$70)/SUM(BM$65:BM$73))/(SUM(AF$189)/SUM(AF$187:AF$192))),AF189)</f>
        <v>4.9895014471779416E-2</v>
      </c>
      <c r="AE72" s="1172">
        <f t="shared" si="5"/>
        <v>11.052618168682512</v>
      </c>
      <c r="AG72" s="1164"/>
      <c r="AL72" s="1144" t="s">
        <v>136</v>
      </c>
      <c r="AM72" s="1144" t="s">
        <v>62</v>
      </c>
      <c r="AN72" s="1135">
        <f>SUMIFS(Table9[Count of EnergyRating],Table9[MainSpaceHeatingFuel],AL72,Table9[EnergyRating (group)],AM72,Table9[CountyName (group)],AN$4)</f>
        <v>40</v>
      </c>
      <c r="AO72" s="1164">
        <f>SUMIFS(Table9[Count of EnergyRating],Table9[MainSpaceHeatingFuel],AL72,Table9[EnergyRating (group)],AM72,Table9[CountyName (group)],AO$4)</f>
        <v>1796</v>
      </c>
      <c r="AP72" s="1164">
        <f>SUMIFS(Table9[Count of EnergyRating],Table9[MainSpaceHeatingFuel],AL72,Table9[EnergyRating (group)],AM72,Table9[CountyName (group)],AP$4)</f>
        <v>0</v>
      </c>
      <c r="AQ72" s="1164">
        <f>SUMIFS(Table9[Count of EnergyRating],Table9[MainSpaceHeatingFuel],AL72,Table9[EnergyRating (group)],AM72,Table9[CountyName (group)],AQ$4)</f>
        <v>0</v>
      </c>
      <c r="AR72" s="1164">
        <f>SUMIFS(Table9[Count of EnergyRating],Table9[MainSpaceHeatingFuel],AL72,Table9[EnergyRating (group)],AM72,Table9[CountyName (group)],AR$4)</f>
        <v>24</v>
      </c>
      <c r="AS72" s="1164">
        <f>SUMIFS(Table9[Count of EnergyRating],Table9[MainSpaceHeatingFuel],AL72,Table9[EnergyRating (group)],AM72,Table9[CountyName (group)],AS$4)</f>
        <v>0</v>
      </c>
      <c r="AT72" s="1164">
        <f>SUMIFS(Table9[Count of EnergyRating],Table9[MainSpaceHeatingFuel],AL72,Table9[EnergyRating (group)],AM72,Table9[CountyName (group)],AT$4)</f>
        <v>55</v>
      </c>
      <c r="AU72" s="1164">
        <f>SUMIFS(Table9[Count of EnergyRating],Table9[MainSpaceHeatingFuel],AL72,Table9[EnergyRating (group)],AM72,Table9[CountyName (group)],AU$4)</f>
        <v>58</v>
      </c>
      <c r="AV72" s="1164">
        <f>SUMIFS(Table9[Count of EnergyRating],Table9[MainSpaceHeatingFuel],AL72,Table9[EnergyRating (group)],AM72,Table9[CountyName (group)],AV$4)</f>
        <v>0</v>
      </c>
      <c r="AW72" s="1164">
        <f>SUMIFS(Table9[Count of EnergyRating],Table9[MainSpaceHeatingFuel],AL72,Table9[EnergyRating (group)],AM72,Table9[CountyName (group)],AW$4)</f>
        <v>0</v>
      </c>
      <c r="AX72" s="1164">
        <f>SUMIFS(Table9[Count of EnergyRating],Table9[MainSpaceHeatingFuel],AL72,Table9[EnergyRating (group)],AM72,Table9[CountyName (group)],AX$4)</f>
        <v>0</v>
      </c>
      <c r="AY72" s="1164">
        <f>SUMIFS(Table9[Count of EnergyRating],Table9[MainSpaceHeatingFuel],AL72,Table9[EnergyRating (group)],AM72,Table9[CountyName (group)],AY$4)</f>
        <v>0</v>
      </c>
      <c r="AZ72" s="1164">
        <f>SUMIFS(Table9[Count of EnergyRating],Table9[MainSpaceHeatingFuel],AL72,Table9[EnergyRating (group)],AM72,Table9[CountyName (group)],AZ$4)</f>
        <v>0</v>
      </c>
      <c r="BA72" s="1164">
        <f>SUMIFS(Table9[Count of EnergyRating],Table9[MainSpaceHeatingFuel],AL72,Table9[EnergyRating (group)],AM72,Table9[CountyName (group)],BA$4)</f>
        <v>366</v>
      </c>
      <c r="BB72" s="1164">
        <f>SUMIFS(Table9[Count of EnergyRating],Table9[MainSpaceHeatingFuel],AL72,Table9[EnergyRating (group)],AM72,Table9[CountyName (group)],BB$4)</f>
        <v>0</v>
      </c>
      <c r="BC72" s="1164">
        <f>SUMIFS(Table9[Count of EnergyRating],Table9[MainSpaceHeatingFuel],AL72,Table9[EnergyRating (group)],AM72,Table9[CountyName (group)],BC$4)</f>
        <v>177</v>
      </c>
      <c r="BD72" s="1164">
        <f>SUMIFS(Table9[Count of EnergyRating],Table9[MainSpaceHeatingFuel],AL72,Table9[EnergyRating (group)],AM72,Table9[CountyName (group)],BD$4)</f>
        <v>0</v>
      </c>
      <c r="BE72" s="1164">
        <f>SUMIFS(Table9[Count of EnergyRating],Table9[MainSpaceHeatingFuel],AL72,Table9[EnergyRating (group)],AM72,Table9[CountyName (group)],BE$4)</f>
        <v>100</v>
      </c>
      <c r="BF72" s="1152">
        <f>SUMIFS(Table9[Count of EnergyRating],Table9[MainSpaceHeatingFuel],AL72,Table9[EnergyRating (group)],AM72,Table9[CountyName (group)],BF$4)</f>
        <v>306</v>
      </c>
      <c r="BG72" s="1164">
        <f>SUMIFS(Table9[Count of EnergyRating],Table9[MainSpaceHeatingFuel],AL72,Table9[EnergyRating (group)],AM72,Table9[CountyName (group)],BG$4)</f>
        <v>22</v>
      </c>
      <c r="BH72" s="1164">
        <f>SUMIFS(Table9[Count of EnergyRating],Table9[MainSpaceHeatingFuel],AL72,Table9[EnergyRating (group)],AM72,Table9[CountyName (group)],BH$4)</f>
        <v>0</v>
      </c>
      <c r="BI72" s="1164">
        <f>SUMIFS(Table9[Count of EnergyRating],Table9[MainSpaceHeatingFuel],AL72,Table9[EnergyRating (group)],AM72,Table9[CountyName (group)],BI$4)</f>
        <v>21</v>
      </c>
      <c r="BJ72" s="1164">
        <f>SUMIFS(Table9[Count of EnergyRating],Table9[MainSpaceHeatingFuel],AL72,Table9[EnergyRating (group)],AM72,Table9[CountyName (group)],BJ$4)</f>
        <v>65</v>
      </c>
      <c r="BK72" s="1135">
        <f>SUMIFS(Table9[Count of EnergyRating],Table9[MainSpaceHeatingFuel],AL72,Table9[EnergyRating (group)],AM72,Table9[CountyName (group)],BK$4)</f>
        <v>33</v>
      </c>
      <c r="BL72" s="1164">
        <f>SUMIFS(Table9[Count of EnergyRating],Table9[MainSpaceHeatingFuel],AL72,Table9[EnergyRating (group)],AM72,Table9[CountyName (group)],BL$4)</f>
        <v>0</v>
      </c>
      <c r="BM72" s="1164">
        <f>SUMIFS(Table9[Count of EnergyRating],Table9[MainSpaceHeatingFuel],AL72,Table9[EnergyRating (group)],AM72,Table9[CountyName (group)],BM$4)</f>
        <v>24</v>
      </c>
    </row>
    <row r="73" spans="2:65">
      <c r="B73" s="1136" t="s">
        <v>60</v>
      </c>
      <c r="C73" s="1136" t="s">
        <v>1184</v>
      </c>
      <c r="D73" s="1136" t="s">
        <v>1094</v>
      </c>
      <c r="E73" s="1146">
        <f t="shared" ref="E73:AA73" si="184">IFERROR(G190*((SUM(AN$71)/SUM(AN$65:AN$73))/(SUM(G$190)/SUM(G$187:G$192))),G190)</f>
        <v>4.0485823192750771E-2</v>
      </c>
      <c r="F73" s="1146">
        <f t="shared" si="184"/>
        <v>3.589187070299547</v>
      </c>
      <c r="G73" s="1146">
        <f t="shared" si="184"/>
        <v>0.14007715176269284</v>
      </c>
      <c r="H73" s="1146">
        <f t="shared" si="184"/>
        <v>2.5566337829109522E-2</v>
      </c>
      <c r="I73" s="1146">
        <f t="shared" si="184"/>
        <v>4.1966541194078923E-2</v>
      </c>
      <c r="J73" s="1146">
        <f t="shared" si="184"/>
        <v>1.7526987421982689E-2</v>
      </c>
      <c r="K73" s="1146">
        <f t="shared" si="184"/>
        <v>0.12546738733480836</v>
      </c>
      <c r="L73" s="1146">
        <f t="shared" si="184"/>
        <v>0.15676186285399976</v>
      </c>
      <c r="M73" s="1146">
        <f t="shared" si="184"/>
        <v>3.0838030268131998E-2</v>
      </c>
      <c r="N73" s="1146">
        <f t="shared" si="184"/>
        <v>6.1103874196318124E-2</v>
      </c>
      <c r="O73" s="1146">
        <f t="shared" si="184"/>
        <v>8.1740816693756435E-2</v>
      </c>
      <c r="P73" s="1146">
        <f t="shared" si="184"/>
        <v>6.4564656206275453E-2</v>
      </c>
      <c r="Q73" s="1146">
        <f t="shared" si="184"/>
        <v>6.9733317551026491E-2</v>
      </c>
      <c r="R73" s="1146">
        <f t="shared" si="184"/>
        <v>0.53451460687476393</v>
      </c>
      <c r="S73" s="1146">
        <f t="shared" si="184"/>
        <v>6.2407116848259739E-2</v>
      </c>
      <c r="T73" s="1146">
        <f t="shared" si="184"/>
        <v>0.16464264451722815</v>
      </c>
      <c r="U73" s="1146">
        <f t="shared" si="184"/>
        <v>6.9804834525333509E-2</v>
      </c>
      <c r="V73" s="1146">
        <f t="shared" si="184"/>
        <v>9.8994740941545173E-2</v>
      </c>
      <c r="W73" s="1146">
        <f t="shared" si="184"/>
        <v>0.34369817545422027</v>
      </c>
      <c r="X73" s="1146">
        <f t="shared" si="184"/>
        <v>1.1766796835295332E-2</v>
      </c>
      <c r="Y73" s="1146">
        <f t="shared" si="184"/>
        <v>4.7751224682027027E-2</v>
      </c>
      <c r="Z73" s="1146">
        <f t="shared" si="184"/>
        <v>2.0786620997779712E-2</v>
      </c>
      <c r="AA73" s="1146">
        <f t="shared" si="184"/>
        <v>6.8625141308671894E-2</v>
      </c>
      <c r="AB73" s="1146">
        <f>IFERROR(AD190*((SUM(BK$71)/SUM(BK$65:BK$73))/(SUM(AD$190)/SUM(AD$187:AD$192))),AD190)</f>
        <v>4.0247040193027613E-2</v>
      </c>
      <c r="AC73" s="1146">
        <f>IFERROR(AE190*((SUM(BL$71)/SUM(BL$65:BL$73))/(SUM(AE$190)/SUM(AE$187:AE$192))),AE190)</f>
        <v>5.0428984332308607E-2</v>
      </c>
      <c r="AD73" s="1146">
        <f>IFERROR(AF190*((SUM(BM$71)/SUM(BM$65:BM$73))/(SUM(AF$190)/SUM(AF$187:AF$192))),AF190)</f>
        <v>3.1394615847411773E-2</v>
      </c>
      <c r="AE73" s="1173">
        <f t="shared" si="5"/>
        <v>5.9900824001623487</v>
      </c>
      <c r="AG73" s="1164"/>
      <c r="AL73" s="1144" t="s">
        <v>136</v>
      </c>
      <c r="AM73" s="1144" t="s">
        <v>64</v>
      </c>
      <c r="AN73" s="1135">
        <f>SUMIFS(Table9[Count of EnergyRating],Table9[MainSpaceHeatingFuel],AL73,Table9[EnergyRating (group)],AM73,Table9[CountyName (group)],AN$4)</f>
        <v>45</v>
      </c>
      <c r="AO73" s="1164">
        <f>SUMIFS(Table9[Count of EnergyRating],Table9[MainSpaceHeatingFuel],AL73,Table9[EnergyRating (group)],AM73,Table9[CountyName (group)],AO$4)</f>
        <v>1778</v>
      </c>
      <c r="AP73" s="1164">
        <f>SUMIFS(Table9[Count of EnergyRating],Table9[MainSpaceHeatingFuel],AL73,Table9[EnergyRating (group)],AM73,Table9[CountyName (group)],AP$4)</f>
        <v>0</v>
      </c>
      <c r="AQ73" s="1164">
        <f>SUMIFS(Table9[Count of EnergyRating],Table9[MainSpaceHeatingFuel],AL73,Table9[EnergyRating (group)],AM73,Table9[CountyName (group)],AQ$4)</f>
        <v>0</v>
      </c>
      <c r="AR73" s="1164">
        <f>SUMIFS(Table9[Count of EnergyRating],Table9[MainSpaceHeatingFuel],AL73,Table9[EnergyRating (group)],AM73,Table9[CountyName (group)],AR$4)</f>
        <v>34</v>
      </c>
      <c r="AS73" s="1164">
        <f>SUMIFS(Table9[Count of EnergyRating],Table9[MainSpaceHeatingFuel],AL73,Table9[EnergyRating (group)],AM73,Table9[CountyName (group)],AS$4)</f>
        <v>0</v>
      </c>
      <c r="AT73" s="1164">
        <f>SUMIFS(Table9[Count of EnergyRating],Table9[MainSpaceHeatingFuel],AL73,Table9[EnergyRating (group)],AM73,Table9[CountyName (group)],AT$4)</f>
        <v>59</v>
      </c>
      <c r="AU73" s="1164">
        <f>SUMIFS(Table9[Count of EnergyRating],Table9[MainSpaceHeatingFuel],AL73,Table9[EnergyRating (group)],AM73,Table9[CountyName (group)],AU$4)</f>
        <v>61</v>
      </c>
      <c r="AV73" s="1164">
        <f>SUMIFS(Table9[Count of EnergyRating],Table9[MainSpaceHeatingFuel],AL73,Table9[EnergyRating (group)],AM73,Table9[CountyName (group)],AV$4)</f>
        <v>0</v>
      </c>
      <c r="AW73" s="1164">
        <f>SUMIFS(Table9[Count of EnergyRating],Table9[MainSpaceHeatingFuel],AL73,Table9[EnergyRating (group)],AM73,Table9[CountyName (group)],AW$4)</f>
        <v>0</v>
      </c>
      <c r="AX73" s="1164">
        <f>SUMIFS(Table9[Count of EnergyRating],Table9[MainSpaceHeatingFuel],AL73,Table9[EnergyRating (group)],AM73,Table9[CountyName (group)],AX$4)</f>
        <v>0</v>
      </c>
      <c r="AY73" s="1164">
        <f>SUMIFS(Table9[Count of EnergyRating],Table9[MainSpaceHeatingFuel],AL73,Table9[EnergyRating (group)],AM73,Table9[CountyName (group)],AY$4)</f>
        <v>0</v>
      </c>
      <c r="AZ73" s="1164">
        <f>SUMIFS(Table9[Count of EnergyRating],Table9[MainSpaceHeatingFuel],AL73,Table9[EnergyRating (group)],AM73,Table9[CountyName (group)],AZ$4)</f>
        <v>0</v>
      </c>
      <c r="BA73" s="1164">
        <f>SUMIFS(Table9[Count of EnergyRating],Table9[MainSpaceHeatingFuel],AL73,Table9[EnergyRating (group)],AM73,Table9[CountyName (group)],BA$4)</f>
        <v>570</v>
      </c>
      <c r="BB73" s="1164">
        <f>SUMIFS(Table9[Count of EnergyRating],Table9[MainSpaceHeatingFuel],AL73,Table9[EnergyRating (group)],AM73,Table9[CountyName (group)],BB$4)</f>
        <v>0</v>
      </c>
      <c r="BC73" s="1164">
        <f>SUMIFS(Table9[Count of EnergyRating],Table9[MainSpaceHeatingFuel],AL73,Table9[EnergyRating (group)],AM73,Table9[CountyName (group)],BC$4)</f>
        <v>202</v>
      </c>
      <c r="BD73" s="1164">
        <f>SUMIFS(Table9[Count of EnergyRating],Table9[MainSpaceHeatingFuel],AL73,Table9[EnergyRating (group)],AM73,Table9[CountyName (group)],BD$4)</f>
        <v>0</v>
      </c>
      <c r="BE73" s="1164">
        <f>SUMIFS(Table9[Count of EnergyRating],Table9[MainSpaceHeatingFuel],AL73,Table9[EnergyRating (group)],AM73,Table9[CountyName (group)],BE$4)</f>
        <v>127</v>
      </c>
      <c r="BF73" s="1164">
        <f>SUMIFS(Table9[Count of EnergyRating],Table9[MainSpaceHeatingFuel],AL73,Table9[EnergyRating (group)],AM73,Table9[CountyName (group)],BF$4)</f>
        <v>216</v>
      </c>
      <c r="BG73" s="1164">
        <f>SUMIFS(Table9[Count of EnergyRating],Table9[MainSpaceHeatingFuel],AL73,Table9[EnergyRating (group)],AM73,Table9[CountyName (group)],BG$4)</f>
        <v>12</v>
      </c>
      <c r="BH73" s="1164">
        <f>SUMIFS(Table9[Count of EnergyRating],Table9[MainSpaceHeatingFuel],AL73,Table9[EnergyRating (group)],AM73,Table9[CountyName (group)],BH$4)</f>
        <v>0</v>
      </c>
      <c r="BI73" s="1164">
        <f>SUMIFS(Table9[Count of EnergyRating],Table9[MainSpaceHeatingFuel],AL73,Table9[EnergyRating (group)],AM73,Table9[CountyName (group)],BI$4)</f>
        <v>27</v>
      </c>
      <c r="BJ73" s="1164">
        <f>SUMIFS(Table9[Count of EnergyRating],Table9[MainSpaceHeatingFuel],AL73,Table9[EnergyRating (group)],AM73,Table9[CountyName (group)],BJ$4)</f>
        <v>34</v>
      </c>
      <c r="BK73" s="1135">
        <f>SUMIFS(Table9[Count of EnergyRating],Table9[MainSpaceHeatingFuel],AL73,Table9[EnergyRating (group)],AM73,Table9[CountyName (group)],BK$4)</f>
        <v>39</v>
      </c>
      <c r="BL73" s="1164">
        <f>SUMIFS(Table9[Count of EnergyRating],Table9[MainSpaceHeatingFuel],AL73,Table9[EnergyRating (group)],AM73,Table9[CountyName (group)],BL$4)</f>
        <v>0</v>
      </c>
      <c r="BM73" s="1164">
        <f>SUMIFS(Table9[Count of EnergyRating],Table9[MainSpaceHeatingFuel],AL73,Table9[EnergyRating (group)],AM73,Table9[CountyName (group)],BM$4)</f>
        <v>65</v>
      </c>
    </row>
    <row r="74" spans="2:65">
      <c r="B74" s="1134" t="s">
        <v>62</v>
      </c>
      <c r="C74" s="1134" t="s">
        <v>1184</v>
      </c>
      <c r="D74" s="1134" t="s">
        <v>1094</v>
      </c>
      <c r="E74" s="1145">
        <f t="shared" ref="E74:AA74" si="185">IFERROR(G191*((SUM(AN$72)/SUM(AN$65:AN$73))/(SUM(G$191)/SUM(G$187:G$192))),G191)</f>
        <v>1.4722117524636645E-2</v>
      </c>
      <c r="F74" s="1145">
        <f t="shared" si="185"/>
        <v>1.1295216362814064</v>
      </c>
      <c r="G74" s="1145">
        <f t="shared" si="185"/>
        <v>4.589194305368223E-2</v>
      </c>
      <c r="H74" s="1145">
        <f t="shared" si="185"/>
        <v>1.0884678481700093E-2</v>
      </c>
      <c r="I74" s="1145">
        <f t="shared" si="185"/>
        <v>1.3252591956024923E-2</v>
      </c>
      <c r="J74" s="1145">
        <f t="shared" si="185"/>
        <v>4.5643196411413248E-3</v>
      </c>
      <c r="K74" s="1145">
        <f t="shared" si="185"/>
        <v>4.3129414396340368E-2</v>
      </c>
      <c r="L74" s="1145">
        <f t="shared" si="185"/>
        <v>3.885550446808541E-2</v>
      </c>
      <c r="M74" s="1145">
        <f t="shared" si="185"/>
        <v>1.4214404576717094E-2</v>
      </c>
      <c r="N74" s="1145">
        <f t="shared" si="185"/>
        <v>2.3345333995271045E-2</v>
      </c>
      <c r="O74" s="1145">
        <f t="shared" si="185"/>
        <v>2.4804109893277818E-2</v>
      </c>
      <c r="P74" s="1145">
        <f t="shared" si="185"/>
        <v>2.3220621968923629E-2</v>
      </c>
      <c r="Q74" s="1145">
        <f t="shared" si="185"/>
        <v>1.866102864041554E-2</v>
      </c>
      <c r="R74" s="1145">
        <f t="shared" si="185"/>
        <v>0.20251795664199124</v>
      </c>
      <c r="S74" s="1145">
        <f t="shared" si="185"/>
        <v>1.8951854502999122E-2</v>
      </c>
      <c r="T74" s="1145">
        <f t="shared" si="185"/>
        <v>5.34710973936686E-2</v>
      </c>
      <c r="U74" s="1145">
        <f t="shared" si="185"/>
        <v>2.889462412728969E-2</v>
      </c>
      <c r="V74" s="1145">
        <f t="shared" si="185"/>
        <v>2.4027849743093486E-2</v>
      </c>
      <c r="W74" s="1145">
        <f t="shared" si="185"/>
        <v>8.966039359675311E-2</v>
      </c>
      <c r="X74" s="1145">
        <f t="shared" si="185"/>
        <v>4.3144921729416207E-3</v>
      </c>
      <c r="Y74" s="1145">
        <f t="shared" si="185"/>
        <v>1.8301130164477319E-2</v>
      </c>
      <c r="Z74" s="1145">
        <f t="shared" si="185"/>
        <v>6.2359862993339133E-3</v>
      </c>
      <c r="AA74" s="1145">
        <f t="shared" si="185"/>
        <v>1.1207623580561991E-2</v>
      </c>
      <c r="AB74" s="1145">
        <f>IFERROR(AD191*((SUM(BK$72)/SUM(BK$65:BK$73))/(SUM(AD$191)/SUM(AD$187:AD$192))),AD191)</f>
        <v>1.1650459003244833E-2</v>
      </c>
      <c r="AC74" s="1145">
        <f>IFERROR(AE191*((SUM(BL$72)/SUM(BL$65:BL$73))/(SUM(AE$191)/SUM(AE$187:AE$192))),AE191)</f>
        <v>1.7274980792036515E-2</v>
      </c>
      <c r="AD74" s="1145">
        <f>IFERROR(AF191*((SUM(BM$72)/SUM(BM$65:BM$73))/(SUM(AF$191)/SUM(AF$187:AF$192))),AF191)</f>
        <v>1.3454835363176473E-2</v>
      </c>
      <c r="AE74" s="1172">
        <f t="shared" si="5"/>
        <v>1.9050309882591905</v>
      </c>
      <c r="AG74" s="1164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</row>
    <row r="75" spans="2:65" ht="15.75" thickBot="1">
      <c r="B75" s="1138" t="s">
        <v>64</v>
      </c>
      <c r="C75" s="1138" t="s">
        <v>1184</v>
      </c>
      <c r="D75" s="1138" t="s">
        <v>1094</v>
      </c>
      <c r="E75" s="1147">
        <f t="shared" ref="E75:AA75" si="186">IFERROR(G192*((SUM(AN$73)/SUM(AN$65:AN$73))/(SUM(G$192)/SUM(G$187:G$192))),G192)</f>
        <v>1.6562382215216224E-2</v>
      </c>
      <c r="F75" s="1147">
        <f t="shared" si="186"/>
        <v>1.1182012635347109</v>
      </c>
      <c r="G75" s="1147">
        <f t="shared" si="186"/>
        <v>3.8954788871148865E-2</v>
      </c>
      <c r="H75" s="1147">
        <f t="shared" si="186"/>
        <v>1.6959847866835031E-2</v>
      </c>
      <c r="I75" s="1147">
        <f t="shared" si="186"/>
        <v>1.8774505271035309E-2</v>
      </c>
      <c r="J75" s="1147">
        <f t="shared" si="186"/>
        <v>6.2074747119522013E-3</v>
      </c>
      <c r="K75" s="1147">
        <f t="shared" si="186"/>
        <v>4.6266099079710576E-2</v>
      </c>
      <c r="L75" s="1147">
        <f t="shared" si="186"/>
        <v>4.0865271940572594E-2</v>
      </c>
      <c r="M75" s="1147">
        <f t="shared" si="186"/>
        <v>1.4455326688186875E-2</v>
      </c>
      <c r="N75" s="1147">
        <f t="shared" si="186"/>
        <v>1.8270261387603428E-2</v>
      </c>
      <c r="O75" s="1147">
        <f t="shared" si="186"/>
        <v>2.9313948055691964E-2</v>
      </c>
      <c r="P75" s="1147">
        <f t="shared" si="186"/>
        <v>3.9928142653880873E-2</v>
      </c>
      <c r="Q75" s="1147">
        <f t="shared" si="186"/>
        <v>2.8482622661686875E-2</v>
      </c>
      <c r="R75" s="1147">
        <f t="shared" si="186"/>
        <v>0.31539681772113398</v>
      </c>
      <c r="S75" s="1147">
        <f t="shared" si="186"/>
        <v>2.9097796812685522E-2</v>
      </c>
      <c r="T75" s="1147">
        <f t="shared" si="186"/>
        <v>6.1023512279779972E-2</v>
      </c>
      <c r="U75" s="1147">
        <f t="shared" si="186"/>
        <v>4.7490174308218697E-2</v>
      </c>
      <c r="V75" s="1147">
        <f t="shared" si="186"/>
        <v>3.051536917372873E-2</v>
      </c>
      <c r="W75" s="1147">
        <f t="shared" si="186"/>
        <v>6.3289689597708088E-2</v>
      </c>
      <c r="X75" s="1147">
        <f t="shared" si="186"/>
        <v>2.353359367059066E-3</v>
      </c>
      <c r="Y75" s="1147">
        <f t="shared" si="186"/>
        <v>2.01943505263198E-2</v>
      </c>
      <c r="Z75" s="1147">
        <f t="shared" si="186"/>
        <v>8.0176966705721737E-3</v>
      </c>
      <c r="AA75" s="1147">
        <f t="shared" si="186"/>
        <v>5.8624492575247338E-3</v>
      </c>
      <c r="AB75" s="1147">
        <f>IFERROR(AD192*((SUM(BK$73)/SUM(BK$65:BK$73))/(SUM(AD$192)/SUM(AD$187:AD$192))),AD192)</f>
        <v>1.3768724276562077E-2</v>
      </c>
      <c r="AC75" s="1147">
        <f>IFERROR(AE192*((SUM(BL$73)/SUM(BL$65:BL$73))/(SUM(AE$192)/SUM(AE$187:AE$192))),AE192)</f>
        <v>2.0939370657013956E-2</v>
      </c>
      <c r="AD75" s="1147">
        <f>IFERROR(AF192*((SUM(BM$73)/SUM(BM$65:BM$73))/(SUM(AF$192)/SUM(AF$187:AF$192))),AF192)</f>
        <v>3.6440179108602942E-2</v>
      </c>
      <c r="AE75" s="1174">
        <f t="shared" si="5"/>
        <v>2.0876314246951413</v>
      </c>
      <c r="AG75" s="1164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SUMIFS(Table9[Count of EnergyRating],Table9[MainSpaceHeatingFuel],AL75,Table9[EnergyRating (group)],AM75,Table9[CountyName (group)],AN$4)</f>
        <v>0</v>
      </c>
      <c r="AO75" s="1164">
        <f>SUMIFS(Table9[Count of EnergyRating],Table9[MainSpaceHeatingFuel],AL75,Table9[EnergyRating (group)],AM75,Table9[CountyName (group)],AO$4)</f>
        <v>0</v>
      </c>
      <c r="AP75" s="1164">
        <f>SUMIFS(Table9[Count of EnergyRating],Table9[MainSpaceHeatingFuel],AL75,Table9[EnergyRating (group)],AM75,Table9[CountyName (group)],AP$4)</f>
        <v>0</v>
      </c>
      <c r="AQ75" s="1164">
        <f>SUMIFS(Table9[Count of EnergyRating],Table9[MainSpaceHeatingFuel],AL75,Table9[EnergyRating (group)],AM75,Table9[CountyName (group)],AQ$4)</f>
        <v>0</v>
      </c>
      <c r="AR75" s="1164">
        <f>SUMIFS(Table9[Count of EnergyRating],Table9[MainSpaceHeatingFuel],AL75,Table9[EnergyRating (group)],AM75,Table9[CountyName (group)],AR$4)</f>
        <v>0</v>
      </c>
      <c r="AS75" s="1164">
        <f>SUMIFS(Table9[Count of EnergyRating],Table9[MainSpaceHeatingFuel],AL75,Table9[EnergyRating (group)],AM75,Table9[CountyName (group)],AS$4)</f>
        <v>0</v>
      </c>
      <c r="AT75" s="1164">
        <f>SUMIFS(Table9[Count of EnergyRating],Table9[MainSpaceHeatingFuel],AL75,Table9[EnergyRating (group)],AM75,Table9[CountyName (group)],AT$4)</f>
        <v>0</v>
      </c>
      <c r="AU75" s="1164">
        <f>SUMIFS(Table9[Count of EnergyRating],Table9[MainSpaceHeatingFuel],AL75,Table9[EnergyRating (group)],AM75,Table9[CountyName (group)],AU$4)</f>
        <v>0</v>
      </c>
      <c r="AV75" s="1164">
        <f>SUMIFS(Table9[Count of EnergyRating],Table9[MainSpaceHeatingFuel],AL75,Table9[EnergyRating (group)],AM75,Table9[CountyName (group)],AV$4)</f>
        <v>0</v>
      </c>
      <c r="AW75" s="1164">
        <f>SUMIFS(Table9[Count of EnergyRating],Table9[MainSpaceHeatingFuel],AL75,Table9[EnergyRating (group)],AM75,Table9[CountyName (group)],AW$4)</f>
        <v>0</v>
      </c>
      <c r="AX75" s="1164">
        <f>SUMIFS(Table9[Count of EnergyRating],Table9[MainSpaceHeatingFuel],AL75,Table9[EnergyRating (group)],AM75,Table9[CountyName (group)],AX$4)</f>
        <v>0</v>
      </c>
      <c r="AY75" s="1164">
        <f>SUMIFS(Table9[Count of EnergyRating],Table9[MainSpaceHeatingFuel],AL75,Table9[EnergyRating (group)],AM75,Table9[CountyName (group)],AY$4)</f>
        <v>0</v>
      </c>
      <c r="AZ75" s="1164">
        <f>SUMIFS(Table9[Count of EnergyRating],Table9[MainSpaceHeatingFuel],AL75,Table9[EnergyRating (group)],AM75,Table9[CountyName (group)],AZ$4)</f>
        <v>0</v>
      </c>
      <c r="BA75" s="1164">
        <f>SUMIFS(Table9[Count of EnergyRating],Table9[MainSpaceHeatingFuel],AL75,Table9[EnergyRating (group)],AM75,Table9[CountyName (group)],BA$4)</f>
        <v>0</v>
      </c>
      <c r="BB75" s="1164">
        <f>SUMIFS(Table9[Count of EnergyRating],Table9[MainSpaceHeatingFuel],AL75,Table9[EnergyRating (group)],AM75,Table9[CountyName (group)],BB$4)</f>
        <v>0</v>
      </c>
      <c r="BC75" s="1164">
        <f>SUMIFS(Table9[Count of EnergyRating],Table9[MainSpaceHeatingFuel],AL75,Table9[EnergyRating (group)],AM75,Table9[CountyName (group)],BC$4)</f>
        <v>0</v>
      </c>
      <c r="BD75" s="1164">
        <f>SUMIFS(Table9[Count of EnergyRating],Table9[MainSpaceHeatingFuel],AL75,Table9[EnergyRating (group)],AM75,Table9[CountyName (group)],BD$4)</f>
        <v>0</v>
      </c>
      <c r="BE75" s="1164">
        <f>SUMIFS(Table9[Count of EnergyRating],Table9[MainSpaceHeatingFuel],AL75,Table9[EnergyRating (group)],AM75,Table9[CountyName (group)],BE$4)</f>
        <v>0</v>
      </c>
      <c r="BF75" s="1164">
        <f>SUMIFS(Table9[Count of EnergyRating],Table9[MainSpaceHeatingFuel],AL75,Table9[EnergyRating (group)],AM75,Table9[CountyName (group)],BF$4)</f>
        <v>0</v>
      </c>
      <c r="BG75" s="1164">
        <f>SUMIFS(Table9[Count of EnergyRating],Table9[MainSpaceHeatingFuel],AL75,Table9[EnergyRating (group)],AM75,Table9[CountyName (group)],BG$4)</f>
        <v>0</v>
      </c>
      <c r="BH75" s="1164">
        <f>SUMIFS(Table9[Count of EnergyRating],Table9[MainSpaceHeatingFuel],AL75,Table9[EnergyRating (group)],AM75,Table9[CountyName (group)],BH$4)</f>
        <v>0</v>
      </c>
      <c r="BI75" s="1164">
        <f>SUMIFS(Table9[Count of EnergyRating],Table9[MainSpaceHeatingFuel],AL75,Table9[EnergyRating (group)],AM75,Table9[CountyName (group)],BI$4)</f>
        <v>0</v>
      </c>
      <c r="BJ75" s="1164">
        <f>SUMIFS(Table9[Count of EnergyRating],Table9[MainSpaceHeatingFuel],AL75,Table9[EnergyRating (group)],AM75,Table9[CountyName (group)],BJ$4)</f>
        <v>0</v>
      </c>
      <c r="BK75" s="1135">
        <f>SUMIFS(Table9[Count of EnergyRating],Table9[MainSpaceHeatingFuel],AL75,Table9[EnergyRating (group)],AM75,Table9[CountyName (group)],BK$4)</f>
        <v>0</v>
      </c>
      <c r="BL75" s="1164">
        <f>SUMIFS(Table9[Count of EnergyRating],Table9[MainSpaceHeatingFuel],AL75,Table9[EnergyRating (group)],AM75,Table9[CountyName (group)],BL$4)</f>
        <v>0</v>
      </c>
      <c r="BM75" s="1164">
        <f>SUMIFS(Table9[Count of EnergyRating],Table9[MainSpaceHeatingFuel],AL75,Table9[EnergyRating (group)],AM75,Table9[CountyName (group)],BM$4)</f>
        <v>0</v>
      </c>
    </row>
    <row r="76" spans="2:65" ht="15.75" thickBot="1">
      <c r="B76" s="1138" t="s">
        <v>1075</v>
      </c>
      <c r="C76" s="1138" t="s">
        <v>1184</v>
      </c>
      <c r="D76" s="1138" t="s">
        <v>1094</v>
      </c>
      <c r="E76" s="1147">
        <f>SUM(E70:E75)</f>
        <v>0.1943319513252037</v>
      </c>
      <c r="F76" s="1147">
        <f t="shared" ref="F76" si="187">SUM(F70:F75)</f>
        <v>18.838358069695573</v>
      </c>
      <c r="G76" s="1147">
        <f t="shared" ref="G76" si="188">SUM(G70:G75)</f>
        <v>1.1249418424749567</v>
      </c>
      <c r="H76" s="1147">
        <f t="shared" ref="H76" si="189">SUM(H70:H75)</f>
        <v>0.26755254977488541</v>
      </c>
      <c r="I76" s="1147">
        <f t="shared" ref="I76" si="190">SUM(I70:I75)</f>
        <v>0.21921995860591229</v>
      </c>
      <c r="J76" s="1147">
        <f t="shared" ref="J76" si="191">SUM(J70:J75)</f>
        <v>0.10562769493948303</v>
      </c>
      <c r="K76" s="1147">
        <f t="shared" ref="K76" si="192">SUM(K70:K75)</f>
        <v>0.46422933313879094</v>
      </c>
      <c r="L76" s="1147">
        <f t="shared" ref="L76" si="193">SUM(L70:L75)</f>
        <v>0.82668435368305848</v>
      </c>
      <c r="M76" s="1147">
        <f t="shared" ref="M76" si="194">SUM(M70:M75)</f>
        <v>0.17954556131539978</v>
      </c>
      <c r="N76" s="1147">
        <f t="shared" ref="N76" si="195">SUM(N70:N75)</f>
        <v>0.4413365439260753</v>
      </c>
      <c r="O76" s="1147">
        <f t="shared" ref="O76" si="196">SUM(O70:O75)</f>
        <v>0.40773082628945356</v>
      </c>
      <c r="P76" s="1147">
        <f t="shared" ref="P76" si="197">SUM(P70:P75)</f>
        <v>0.68946464979088762</v>
      </c>
      <c r="Q76" s="1147">
        <f t="shared" ref="Q76" si="198">SUM(Q70:Q75)</f>
        <v>0.38057563463392619</v>
      </c>
      <c r="R76" s="1147">
        <f t="shared" ref="R76" si="199">SUM(R70:R75)</f>
        <v>2.774938668195591</v>
      </c>
      <c r="S76" s="1147">
        <f t="shared" ref="S76" si="200">SUM(S70:S75)</f>
        <v>0.44395061444576855</v>
      </c>
      <c r="T76" s="1147">
        <f t="shared" ref="T76" si="201">SUM(T70:T75)</f>
        <v>1.1398104546119299</v>
      </c>
      <c r="U76" s="1147">
        <f t="shared" ref="U76" si="202">SUM(U70:U75)</f>
        <v>0.36392569081558868</v>
      </c>
      <c r="V76" s="1147">
        <f t="shared" ref="V76" si="203">SUM(V70:V75)</f>
        <v>0.4887264637745215</v>
      </c>
      <c r="W76" s="1147">
        <f t="shared" ref="W76" si="204">SUM(W70:W75)</f>
        <v>1.5095763000342224</v>
      </c>
      <c r="X76" s="1147">
        <f t="shared" ref="X76" si="205">SUM(X70:X75)</f>
        <v>8.2955917688832065E-2</v>
      </c>
      <c r="Y76" s="1147">
        <f t="shared" ref="Y76" si="206">SUM(Y70:Y75)</f>
        <v>0.32712155324586389</v>
      </c>
      <c r="Z76" s="1147">
        <f t="shared" ref="Z76" si="207">SUM(Z70:Z75)</f>
        <v>0.10333920153181912</v>
      </c>
      <c r="AA76" s="1147">
        <f t="shared" ref="AA76" si="208">SUM(AA70:AA75)</f>
        <v>0.25605109257130088</v>
      </c>
      <c r="AB76" s="1147">
        <f t="shared" ref="AB76" si="209">SUM(AB70:AB75)</f>
        <v>0.19417431672074723</v>
      </c>
      <c r="AC76" s="1147">
        <f t="shared" ref="AC76" si="210">SUM(AC70:AC75)</f>
        <v>0.36556918919702469</v>
      </c>
      <c r="AD76" s="1147">
        <f t="shared" ref="AD76" si="211">SUM(AD70:AD75)</f>
        <v>0.15697307923705883</v>
      </c>
      <c r="AE76" s="1147">
        <f t="shared" ref="AE76" si="212">SUM(AE70:AE75)</f>
        <v>32.346711511663877</v>
      </c>
      <c r="AG76" s="58" t="s">
        <v>1163</v>
      </c>
      <c r="AH76" s="1158">
        <f>SUM(E79:AD84)</f>
        <v>2.1991400734025834E-2</v>
      </c>
      <c r="AI76" s="1140">
        <f>'SHWLP-Apt'!S18</f>
        <v>2.19914007340258E-2</v>
      </c>
      <c r="AJ76" s="1160">
        <f>IFERROR((AI76-AH76)/AI76,"N/A")</f>
        <v>-1.577638002196729E-15</v>
      </c>
      <c r="AL76" s="1144" t="s">
        <v>1133</v>
      </c>
      <c r="AM76" s="1144" t="s">
        <v>50</v>
      </c>
      <c r="AN76" s="1135">
        <f>SUMIFS(Table9[Count of EnergyRating],Table9[MainSpaceHeatingFuel],AL76,Table9[EnergyRating (group)],AM76,Table9[CountyName (group)],AN$4)</f>
        <v>0</v>
      </c>
      <c r="AO76" s="1164">
        <f>SUMIFS(Table9[Count of EnergyRating],Table9[MainSpaceHeatingFuel],AL76,Table9[EnergyRating (group)],AM76,Table9[CountyName (group)],AO$4)</f>
        <v>0</v>
      </c>
      <c r="AP76" s="1164">
        <f>SUMIFS(Table9[Count of EnergyRating],Table9[MainSpaceHeatingFuel],AL76,Table9[EnergyRating (group)],AM76,Table9[CountyName (group)],AP$4)</f>
        <v>0</v>
      </c>
      <c r="AQ76" s="1164">
        <f>SUMIFS(Table9[Count of EnergyRating],Table9[MainSpaceHeatingFuel],AL76,Table9[EnergyRating (group)],AM76,Table9[CountyName (group)],AQ$4)</f>
        <v>0</v>
      </c>
      <c r="AR76" s="1164">
        <f>SUMIFS(Table9[Count of EnergyRating],Table9[MainSpaceHeatingFuel],AL76,Table9[EnergyRating (group)],AM76,Table9[CountyName (group)],AR$4)</f>
        <v>0</v>
      </c>
      <c r="AS76" s="1164">
        <f>SUMIFS(Table9[Count of EnergyRating],Table9[MainSpaceHeatingFuel],AL76,Table9[EnergyRating (group)],AM76,Table9[CountyName (group)],AS$4)</f>
        <v>0</v>
      </c>
      <c r="AT76" s="1164">
        <f>SUMIFS(Table9[Count of EnergyRating],Table9[MainSpaceHeatingFuel],AL76,Table9[EnergyRating (group)],AM76,Table9[CountyName (group)],AT$4)</f>
        <v>0</v>
      </c>
      <c r="AU76" s="1164">
        <f>SUMIFS(Table9[Count of EnergyRating],Table9[MainSpaceHeatingFuel],AL76,Table9[EnergyRating (group)],AM76,Table9[CountyName (group)],AU$4)</f>
        <v>0</v>
      </c>
      <c r="AV76" s="1164">
        <f>SUMIFS(Table9[Count of EnergyRating],Table9[MainSpaceHeatingFuel],AL76,Table9[EnergyRating (group)],AM76,Table9[CountyName (group)],AV$4)</f>
        <v>0</v>
      </c>
      <c r="AW76" s="1164">
        <f>SUMIFS(Table9[Count of EnergyRating],Table9[MainSpaceHeatingFuel],AL76,Table9[EnergyRating (group)],AM76,Table9[CountyName (group)],AW$4)</f>
        <v>0</v>
      </c>
      <c r="AX76" s="1164">
        <f>SUMIFS(Table9[Count of EnergyRating],Table9[MainSpaceHeatingFuel],AL76,Table9[EnergyRating (group)],AM76,Table9[CountyName (group)],AX$4)</f>
        <v>0</v>
      </c>
      <c r="AY76" s="1164">
        <f>SUMIFS(Table9[Count of EnergyRating],Table9[MainSpaceHeatingFuel],AL76,Table9[EnergyRating (group)],AM76,Table9[CountyName (group)],AY$4)</f>
        <v>0</v>
      </c>
      <c r="AZ76" s="1164">
        <f>SUMIFS(Table9[Count of EnergyRating],Table9[MainSpaceHeatingFuel],AL76,Table9[EnergyRating (group)],AM76,Table9[CountyName (group)],AZ$4)</f>
        <v>0</v>
      </c>
      <c r="BA76" s="1164">
        <f>SUMIFS(Table9[Count of EnergyRating],Table9[MainSpaceHeatingFuel],AL76,Table9[EnergyRating (group)],AM76,Table9[CountyName (group)],BA$4)</f>
        <v>0</v>
      </c>
      <c r="BB76" s="1164">
        <f>SUMIFS(Table9[Count of EnergyRating],Table9[MainSpaceHeatingFuel],AL76,Table9[EnergyRating (group)],AM76,Table9[CountyName (group)],BB$4)</f>
        <v>0</v>
      </c>
      <c r="BC76" s="1164">
        <f>SUMIFS(Table9[Count of EnergyRating],Table9[MainSpaceHeatingFuel],AL76,Table9[EnergyRating (group)],AM76,Table9[CountyName (group)],BC$4)</f>
        <v>0</v>
      </c>
      <c r="BD76" s="1164">
        <f>SUMIFS(Table9[Count of EnergyRating],Table9[MainSpaceHeatingFuel],AL76,Table9[EnergyRating (group)],AM76,Table9[CountyName (group)],BD$4)</f>
        <v>0</v>
      </c>
      <c r="BE76" s="1164">
        <f>SUMIFS(Table9[Count of EnergyRating],Table9[MainSpaceHeatingFuel],AL76,Table9[EnergyRating (group)],AM76,Table9[CountyName (group)],BE$4)</f>
        <v>0</v>
      </c>
      <c r="BF76" s="1164">
        <f>SUMIFS(Table9[Count of EnergyRating],Table9[MainSpaceHeatingFuel],AL76,Table9[EnergyRating (group)],AM76,Table9[CountyName (group)],BF$4)</f>
        <v>0</v>
      </c>
      <c r="BG76" s="1164">
        <f>SUMIFS(Table9[Count of EnergyRating],Table9[MainSpaceHeatingFuel],AL76,Table9[EnergyRating (group)],AM76,Table9[CountyName (group)],BG$4)</f>
        <v>0</v>
      </c>
      <c r="BH76" s="1164">
        <f>SUMIFS(Table9[Count of EnergyRating],Table9[MainSpaceHeatingFuel],AL76,Table9[EnergyRating (group)],AM76,Table9[CountyName (group)],BH$4)</f>
        <v>0</v>
      </c>
      <c r="BI76" s="1164">
        <f>SUMIFS(Table9[Count of EnergyRating],Table9[MainSpaceHeatingFuel],AL76,Table9[EnergyRating (group)],AM76,Table9[CountyName (group)],BI$4)</f>
        <v>0</v>
      </c>
      <c r="BJ76" s="1164">
        <f>SUMIFS(Table9[Count of EnergyRating],Table9[MainSpaceHeatingFuel],AL76,Table9[EnergyRating (group)],AM76,Table9[CountyName (group)],BJ$4)</f>
        <v>0</v>
      </c>
      <c r="BK76" s="1135">
        <f>SUMIFS(Table9[Count of EnergyRating],Table9[MainSpaceHeatingFuel],AL76,Table9[EnergyRating (group)],AM76,Table9[CountyName (group)],BK$4)</f>
        <v>0</v>
      </c>
      <c r="BL76" s="1164">
        <f>SUMIFS(Table9[Count of EnergyRating],Table9[MainSpaceHeatingFuel],AL76,Table9[EnergyRating (group)],AM76,Table9[CountyName (group)],BL$4)</f>
        <v>0</v>
      </c>
      <c r="BM76" s="1164">
        <f>SUMIFS(Table9[Count of EnergyRating],Table9[MainSpaceHeatingFuel],AL76,Table9[EnergyRating (group)],AM76,Table9[CountyName (group)],BM$4)</f>
        <v>0</v>
      </c>
    </row>
    <row r="77" spans="2:65" ht="15.75" thickBot="1">
      <c r="B77" s="1165"/>
      <c r="C77" s="1165" t="s">
        <v>1185</v>
      </c>
      <c r="D77" s="1165" t="s">
        <v>1094</v>
      </c>
      <c r="E77" s="1166">
        <f t="shared" ref="E77:AA77" si="213">G193</f>
        <v>0.19339030251766809</v>
      </c>
      <c r="F77" s="1166">
        <f t="shared" si="213"/>
        <v>18.747075512754783</v>
      </c>
      <c r="G77" s="1166">
        <f t="shared" si="213"/>
        <v>1.1194908595702424</v>
      </c>
      <c r="H77" s="1166">
        <f t="shared" si="213"/>
        <v>0.26625610553228618</v>
      </c>
      <c r="I77" s="1166">
        <f t="shared" si="213"/>
        <v>0.21815771325098446</v>
      </c>
      <c r="J77" s="1166">
        <f t="shared" si="213"/>
        <v>0.10511586869421442</v>
      </c>
      <c r="K77" s="1166">
        <f t="shared" si="213"/>
        <v>0.46197987804408203</v>
      </c>
      <c r="L77" s="1166">
        <f t="shared" si="213"/>
        <v>0.82267859791029163</v>
      </c>
      <c r="M77" s="1166">
        <f t="shared" si="213"/>
        <v>0.17867556097547607</v>
      </c>
      <c r="N77" s="1166">
        <f t="shared" si="213"/>
        <v>0.43919801741267439</v>
      </c>
      <c r="O77" s="1166">
        <f t="shared" si="213"/>
        <v>0.40575513858728834</v>
      </c>
      <c r="P77" s="1166">
        <f t="shared" si="213"/>
        <v>0.68612380151099206</v>
      </c>
      <c r="Q77" s="1166">
        <f t="shared" si="213"/>
        <v>0.37873152927664278</v>
      </c>
      <c r="R77" s="1166">
        <f t="shared" si="213"/>
        <v>2.7614925124292742</v>
      </c>
      <c r="S77" s="1166">
        <f t="shared" si="213"/>
        <v>0.44179942127425564</v>
      </c>
      <c r="T77" s="1166">
        <f t="shared" si="213"/>
        <v>1.1342874248266435</v>
      </c>
      <c r="U77" s="1166">
        <f t="shared" si="213"/>
        <v>0.36216226390379586</v>
      </c>
      <c r="V77" s="1166">
        <f t="shared" si="213"/>
        <v>0.48635830615203035</v>
      </c>
      <c r="W77" s="1166">
        <f t="shared" si="213"/>
        <v>1.5022615444671752</v>
      </c>
      <c r="X77" s="1166">
        <f t="shared" si="213"/>
        <v>8.2553949096240781E-2</v>
      </c>
      <c r="Y77" s="1166">
        <f t="shared" si="213"/>
        <v>0.32553646330860653</v>
      </c>
      <c r="Z77" s="1166">
        <f t="shared" si="213"/>
        <v>0.10283846433842121</v>
      </c>
      <c r="AA77" s="1166">
        <f t="shared" si="213"/>
        <v>0.25481037942894957</v>
      </c>
      <c r="AB77" s="1166">
        <f>AD193</f>
        <v>0.19323343174250626</v>
      </c>
      <c r="AC77" s="1166">
        <f>AE193</f>
        <v>0.36379779860102807</v>
      </c>
      <c r="AD77" s="1166">
        <f>AF193</f>
        <v>0.15621245540824022</v>
      </c>
      <c r="AE77" s="1175">
        <f t="shared" si="5"/>
        <v>32.189973301014781</v>
      </c>
      <c r="AG77" s="58" t="s">
        <v>1107</v>
      </c>
      <c r="AH77" s="1158">
        <f>SUM(E86:AD86)</f>
        <v>2.0517698264875664E-2</v>
      </c>
      <c r="AI77" s="1140">
        <f>'SHWLP-Apt'!S44</f>
        <v>2.0517698264875657E-2</v>
      </c>
      <c r="AJ77" s="1160">
        <f>(AI77-AH77)/AI77</f>
        <v>-3.3819065931903057E-16</v>
      </c>
      <c r="AL77" s="1144" t="s">
        <v>1133</v>
      </c>
      <c r="AM77" s="1144" t="s">
        <v>52</v>
      </c>
      <c r="AN77" s="1135">
        <f>SUMIFS(Table9[Count of EnergyRating],Table9[MainSpaceHeatingFuel],AL77,Table9[EnergyRating (group)],AM77,Table9[CountyName (group)],AN$4)</f>
        <v>0</v>
      </c>
      <c r="AO77" s="1164">
        <f>SUMIFS(Table9[Count of EnergyRating],Table9[MainSpaceHeatingFuel],AL77,Table9[EnergyRating (group)],AM77,Table9[CountyName (group)],AO$4)</f>
        <v>0</v>
      </c>
      <c r="AP77" s="1164">
        <f>SUMIFS(Table9[Count of EnergyRating],Table9[MainSpaceHeatingFuel],AL77,Table9[EnergyRating (group)],AM77,Table9[CountyName (group)],AP$4)</f>
        <v>0</v>
      </c>
      <c r="AQ77" s="1164">
        <f>SUMIFS(Table9[Count of EnergyRating],Table9[MainSpaceHeatingFuel],AL77,Table9[EnergyRating (group)],AM77,Table9[CountyName (group)],AQ$4)</f>
        <v>0</v>
      </c>
      <c r="AR77" s="1164">
        <f>SUMIFS(Table9[Count of EnergyRating],Table9[MainSpaceHeatingFuel],AL77,Table9[EnergyRating (group)],AM77,Table9[CountyName (group)],AR$4)</f>
        <v>0</v>
      </c>
      <c r="AS77" s="1164">
        <f>SUMIFS(Table9[Count of EnergyRating],Table9[MainSpaceHeatingFuel],AL77,Table9[EnergyRating (group)],AM77,Table9[CountyName (group)],AS$4)</f>
        <v>0</v>
      </c>
      <c r="AT77" s="1164">
        <f>SUMIFS(Table9[Count of EnergyRating],Table9[MainSpaceHeatingFuel],AL77,Table9[EnergyRating (group)],AM77,Table9[CountyName (group)],AT$4)</f>
        <v>0</v>
      </c>
      <c r="AU77" s="1164">
        <f>SUMIFS(Table9[Count of EnergyRating],Table9[MainSpaceHeatingFuel],AL77,Table9[EnergyRating (group)],AM77,Table9[CountyName (group)],AU$4)</f>
        <v>0</v>
      </c>
      <c r="AV77" s="1164">
        <f>SUMIFS(Table9[Count of EnergyRating],Table9[MainSpaceHeatingFuel],AL77,Table9[EnergyRating (group)],AM77,Table9[CountyName (group)],AV$4)</f>
        <v>0</v>
      </c>
      <c r="AW77" s="1164">
        <f>SUMIFS(Table9[Count of EnergyRating],Table9[MainSpaceHeatingFuel],AL77,Table9[EnergyRating (group)],AM77,Table9[CountyName (group)],AW$4)</f>
        <v>0</v>
      </c>
      <c r="AX77" s="1164">
        <f>SUMIFS(Table9[Count of EnergyRating],Table9[MainSpaceHeatingFuel],AL77,Table9[EnergyRating (group)],AM77,Table9[CountyName (group)],AX$4)</f>
        <v>0</v>
      </c>
      <c r="AY77" s="1164">
        <f>SUMIFS(Table9[Count of EnergyRating],Table9[MainSpaceHeatingFuel],AL77,Table9[EnergyRating (group)],AM77,Table9[CountyName (group)],AY$4)</f>
        <v>0</v>
      </c>
      <c r="AZ77" s="1164">
        <f>SUMIFS(Table9[Count of EnergyRating],Table9[MainSpaceHeatingFuel],AL77,Table9[EnergyRating (group)],AM77,Table9[CountyName (group)],AZ$4)</f>
        <v>0</v>
      </c>
      <c r="BA77" s="1164">
        <f>SUMIFS(Table9[Count of EnergyRating],Table9[MainSpaceHeatingFuel],AL77,Table9[EnergyRating (group)],AM77,Table9[CountyName (group)],BA$4)</f>
        <v>0</v>
      </c>
      <c r="BB77" s="1164">
        <f>SUMIFS(Table9[Count of EnergyRating],Table9[MainSpaceHeatingFuel],AL77,Table9[EnergyRating (group)],AM77,Table9[CountyName (group)],BB$4)</f>
        <v>0</v>
      </c>
      <c r="BC77" s="1164">
        <f>SUMIFS(Table9[Count of EnergyRating],Table9[MainSpaceHeatingFuel],AL77,Table9[EnergyRating (group)],AM77,Table9[CountyName (group)],BC$4)</f>
        <v>0</v>
      </c>
      <c r="BD77" s="1164">
        <f>SUMIFS(Table9[Count of EnergyRating],Table9[MainSpaceHeatingFuel],AL77,Table9[EnergyRating (group)],AM77,Table9[CountyName (group)],BD$4)</f>
        <v>0</v>
      </c>
      <c r="BE77" s="1164">
        <f>SUMIFS(Table9[Count of EnergyRating],Table9[MainSpaceHeatingFuel],AL77,Table9[EnergyRating (group)],AM77,Table9[CountyName (group)],BE$4)</f>
        <v>0</v>
      </c>
      <c r="BF77" s="1164">
        <f>SUMIFS(Table9[Count of EnergyRating],Table9[MainSpaceHeatingFuel],AL77,Table9[EnergyRating (group)],AM77,Table9[CountyName (group)],BF$4)</f>
        <v>0</v>
      </c>
      <c r="BG77" s="1164">
        <f>SUMIFS(Table9[Count of EnergyRating],Table9[MainSpaceHeatingFuel],AL77,Table9[EnergyRating (group)],AM77,Table9[CountyName (group)],BG$4)</f>
        <v>0</v>
      </c>
      <c r="BH77" s="1164">
        <f>SUMIFS(Table9[Count of EnergyRating],Table9[MainSpaceHeatingFuel],AL77,Table9[EnergyRating (group)],AM77,Table9[CountyName (group)],BH$4)</f>
        <v>0</v>
      </c>
      <c r="BI77" s="1164">
        <f>SUMIFS(Table9[Count of EnergyRating],Table9[MainSpaceHeatingFuel],AL77,Table9[EnergyRating (group)],AM77,Table9[CountyName (group)],BI$4)</f>
        <v>0</v>
      </c>
      <c r="BJ77" s="1164">
        <f>SUMIFS(Table9[Count of EnergyRating],Table9[MainSpaceHeatingFuel],AL77,Table9[EnergyRating (group)],AM77,Table9[CountyName (group)],BJ$4)</f>
        <v>0</v>
      </c>
      <c r="BK77" s="1135">
        <f>SUMIFS(Table9[Count of EnergyRating],Table9[MainSpaceHeatingFuel],AL77,Table9[EnergyRating (group)],AM77,Table9[CountyName (group)],BK$4)</f>
        <v>0</v>
      </c>
      <c r="BL77" s="1164">
        <f>SUMIFS(Table9[Count of EnergyRating],Table9[MainSpaceHeatingFuel],AL77,Table9[EnergyRating (group)],AM77,Table9[CountyName (group)],BL$4)</f>
        <v>0</v>
      </c>
      <c r="BM77" s="1164">
        <f>SUMIFS(Table9[Count of EnergyRating],Table9[MainSpaceHeatingFuel],AL77,Table9[EnergyRating (group)],AM77,Table9[CountyName (group)],BM$4)</f>
        <v>0</v>
      </c>
    </row>
    <row r="78" spans="2:65" ht="15">
      <c r="B78" s="1137"/>
      <c r="C78" s="1137" t="s">
        <v>1203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G78" s="1164"/>
      <c r="AL78" s="1144" t="s">
        <v>1133</v>
      </c>
      <c r="AM78" s="1144" t="s">
        <v>54</v>
      </c>
      <c r="AN78" s="1135">
        <f>SUMIFS(Table9[Count of EnergyRating],Table9[MainSpaceHeatingFuel],AL78,Table9[EnergyRating (group)],AM78,Table9[CountyName (group)],AN$4)</f>
        <v>0</v>
      </c>
      <c r="AO78" s="1164">
        <f>SUMIFS(Table9[Count of EnergyRating],Table9[MainSpaceHeatingFuel],AL78,Table9[EnergyRating (group)],AM78,Table9[CountyName (group)],AO$4)</f>
        <v>0</v>
      </c>
      <c r="AP78" s="1164">
        <f>SUMIFS(Table9[Count of EnergyRating],Table9[MainSpaceHeatingFuel],AL78,Table9[EnergyRating (group)],AM78,Table9[CountyName (group)],AP$4)</f>
        <v>0</v>
      </c>
      <c r="AQ78" s="1164">
        <f>SUMIFS(Table9[Count of EnergyRating],Table9[MainSpaceHeatingFuel],AL78,Table9[EnergyRating (group)],AM78,Table9[CountyName (group)],AQ$4)</f>
        <v>0</v>
      </c>
      <c r="AR78" s="1164">
        <f>SUMIFS(Table9[Count of EnergyRating],Table9[MainSpaceHeatingFuel],AL78,Table9[EnergyRating (group)],AM78,Table9[CountyName (group)],AR$4)</f>
        <v>0</v>
      </c>
      <c r="AS78" s="1164">
        <f>SUMIFS(Table9[Count of EnergyRating],Table9[MainSpaceHeatingFuel],AL78,Table9[EnergyRating (group)],AM78,Table9[CountyName (group)],AS$4)</f>
        <v>0</v>
      </c>
      <c r="AT78" s="1164">
        <f>SUMIFS(Table9[Count of EnergyRating],Table9[MainSpaceHeatingFuel],AL78,Table9[EnergyRating (group)],AM78,Table9[CountyName (group)],AT$4)</f>
        <v>0</v>
      </c>
      <c r="AU78" s="1164">
        <f>SUMIFS(Table9[Count of EnergyRating],Table9[MainSpaceHeatingFuel],AL78,Table9[EnergyRating (group)],AM78,Table9[CountyName (group)],AU$4)</f>
        <v>0</v>
      </c>
      <c r="AV78" s="1164">
        <f>SUMIFS(Table9[Count of EnergyRating],Table9[MainSpaceHeatingFuel],AL78,Table9[EnergyRating (group)],AM78,Table9[CountyName (group)],AV$4)</f>
        <v>0</v>
      </c>
      <c r="AW78" s="1164">
        <f>SUMIFS(Table9[Count of EnergyRating],Table9[MainSpaceHeatingFuel],AL78,Table9[EnergyRating (group)],AM78,Table9[CountyName (group)],AW$4)</f>
        <v>0</v>
      </c>
      <c r="AX78" s="1164">
        <f>SUMIFS(Table9[Count of EnergyRating],Table9[MainSpaceHeatingFuel],AL78,Table9[EnergyRating (group)],AM78,Table9[CountyName (group)],AX$4)</f>
        <v>0</v>
      </c>
      <c r="AY78" s="1164">
        <f>SUMIFS(Table9[Count of EnergyRating],Table9[MainSpaceHeatingFuel],AL78,Table9[EnergyRating (group)],AM78,Table9[CountyName (group)],AY$4)</f>
        <v>0</v>
      </c>
      <c r="AZ78" s="1164">
        <f>SUMIFS(Table9[Count of EnergyRating],Table9[MainSpaceHeatingFuel],AL78,Table9[EnergyRating (group)],AM78,Table9[CountyName (group)],AZ$4)</f>
        <v>0</v>
      </c>
      <c r="BA78" s="1164">
        <f>SUMIFS(Table9[Count of EnergyRating],Table9[MainSpaceHeatingFuel],AL78,Table9[EnergyRating (group)],AM78,Table9[CountyName (group)],BA$4)</f>
        <v>0</v>
      </c>
      <c r="BB78" s="1164">
        <f>SUMIFS(Table9[Count of EnergyRating],Table9[MainSpaceHeatingFuel],AL78,Table9[EnergyRating (group)],AM78,Table9[CountyName (group)],BB$4)</f>
        <v>0</v>
      </c>
      <c r="BC78" s="1164">
        <f>SUMIFS(Table9[Count of EnergyRating],Table9[MainSpaceHeatingFuel],AL78,Table9[EnergyRating (group)],AM78,Table9[CountyName (group)],BC$4)</f>
        <v>0</v>
      </c>
      <c r="BD78" s="1164">
        <f>SUMIFS(Table9[Count of EnergyRating],Table9[MainSpaceHeatingFuel],AL78,Table9[EnergyRating (group)],AM78,Table9[CountyName (group)],BD$4)</f>
        <v>0</v>
      </c>
      <c r="BE78" s="1164">
        <f>SUMIFS(Table9[Count of EnergyRating],Table9[MainSpaceHeatingFuel],AL78,Table9[EnergyRating (group)],AM78,Table9[CountyName (group)],BE$4)</f>
        <v>0</v>
      </c>
      <c r="BF78" s="1164">
        <f>SUMIFS(Table9[Count of EnergyRating],Table9[MainSpaceHeatingFuel],AL78,Table9[EnergyRating (group)],AM78,Table9[CountyName (group)],BF$4)</f>
        <v>0</v>
      </c>
      <c r="BG78" s="1164">
        <f>SUMIFS(Table9[Count of EnergyRating],Table9[MainSpaceHeatingFuel],AL78,Table9[EnergyRating (group)],AM78,Table9[CountyName (group)],BG$4)</f>
        <v>0</v>
      </c>
      <c r="BH78" s="1164">
        <f>SUMIFS(Table9[Count of EnergyRating],Table9[MainSpaceHeatingFuel],AL78,Table9[EnergyRating (group)],AM78,Table9[CountyName (group)],BH$4)</f>
        <v>0</v>
      </c>
      <c r="BI78" s="1164">
        <f>SUMIFS(Table9[Count of EnergyRating],Table9[MainSpaceHeatingFuel],AL78,Table9[EnergyRating (group)],AM78,Table9[CountyName (group)],BI$4)</f>
        <v>0</v>
      </c>
      <c r="BJ78" s="1164">
        <f>SUMIFS(Table9[Count of EnergyRating],Table9[MainSpaceHeatingFuel],AL78,Table9[EnergyRating (group)],AM78,Table9[CountyName (group)],BJ$4)</f>
        <v>0</v>
      </c>
      <c r="BK78" s="1135">
        <f>SUMIFS(Table9[Count of EnergyRating],Table9[MainSpaceHeatingFuel],AL78,Table9[EnergyRating (group)],AM78,Table9[CountyName (group)],BK$4)</f>
        <v>0</v>
      </c>
      <c r="BL78" s="1164">
        <f>SUMIFS(Table9[Count of EnergyRating],Table9[MainSpaceHeatingFuel],AL78,Table9[EnergyRating (group)],AM78,Table9[CountyName (group)],BL$4)</f>
        <v>0</v>
      </c>
      <c r="BM78" s="1164">
        <f>SUMIFS(Table9[Count of EnergyRating],Table9[MainSpaceHeatingFuel],AL78,Table9[EnergyRating (group)],AM78,Table9[CountyName (group)],BM$4)</f>
        <v>0</v>
      </c>
    </row>
    <row r="79" spans="2:65">
      <c r="B79" s="1134" t="s">
        <v>1259</v>
      </c>
      <c r="C79" s="1134" t="s">
        <v>1186</v>
      </c>
      <c r="D79" s="1134" t="s">
        <v>1094</v>
      </c>
      <c r="E79" s="1145">
        <f t="shared" ref="E79:AA79" si="214">IFERROR(G195*((SUM(AN$75:AN$78)/SUM(AN$75:AN$83))/(SUM(G$195)/SUM(G$195:G$200))),G195)</f>
        <v>0</v>
      </c>
      <c r="F79" s="1145">
        <f t="shared" si="214"/>
        <v>3.8583972315241557E-3</v>
      </c>
      <c r="G79" s="1145">
        <f t="shared" si="214"/>
        <v>1.3481598217525773E-4</v>
      </c>
      <c r="H79" s="1145">
        <f t="shared" si="214"/>
        <v>3.3208998633489986E-5</v>
      </c>
      <c r="I79" s="1145">
        <f t="shared" si="214"/>
        <v>3.0473092097593309E-5</v>
      </c>
      <c r="J79" s="1145">
        <f t="shared" si="214"/>
        <v>5.1575308983515858E-6</v>
      </c>
      <c r="K79" s="1145">
        <f t="shared" si="214"/>
        <v>8.0648949595540158E-5</v>
      </c>
      <c r="L79" s="1145">
        <f t="shared" si="214"/>
        <v>1.3061159758434463E-4</v>
      </c>
      <c r="M79" s="1145">
        <f t="shared" si="214"/>
        <v>1.0195093536888917E-5</v>
      </c>
      <c r="N79" s="1145">
        <f t="shared" si="214"/>
        <v>4.8172688163778944E-5</v>
      </c>
      <c r="O79" s="1145">
        <f t="shared" si="214"/>
        <v>2.4888996728119178E-5</v>
      </c>
      <c r="P79" s="1145">
        <f t="shared" si="214"/>
        <v>1.2162388827862367E-4</v>
      </c>
      <c r="Q79" s="1145">
        <f t="shared" si="214"/>
        <v>2.7569923867013253E-5</v>
      </c>
      <c r="R79" s="1145">
        <f t="shared" si="214"/>
        <v>5.377830355639472E-4</v>
      </c>
      <c r="S79" s="1145">
        <f t="shared" si="214"/>
        <v>3.6193380211817655E-5</v>
      </c>
      <c r="T79" s="1145">
        <f t="shared" si="214"/>
        <v>8.7357898328928454E-5</v>
      </c>
      <c r="U79" s="1145">
        <f t="shared" si="214"/>
        <v>1.4993509242014178E-5</v>
      </c>
      <c r="V79" s="1145">
        <f t="shared" si="214"/>
        <v>3.7194588459902907E-5</v>
      </c>
      <c r="W79" s="1145">
        <f t="shared" si="214"/>
        <v>0</v>
      </c>
      <c r="X79" s="1145">
        <f t="shared" si="214"/>
        <v>2.3322826296844057E-6</v>
      </c>
      <c r="Y79" s="1145">
        <f t="shared" si="214"/>
        <v>1.9317314608069236E-5</v>
      </c>
      <c r="Z79" s="1145">
        <f t="shared" si="214"/>
        <v>6.8617396498250931E-6</v>
      </c>
      <c r="AA79" s="1145">
        <f t="shared" si="214"/>
        <v>1.935752054826009E-5</v>
      </c>
      <c r="AB79" s="1145">
        <f>IFERROR(AD195*((SUM(BK$75:BK$78)/SUM(BK$75:BK$83))/(SUM(AD$195)/SUM(AD$195:AD$200))),AD195)</f>
        <v>1.7980581881674948E-5</v>
      </c>
      <c r="AC79" s="1145">
        <f>IFERROR(AE195*((SUM(BL$75:BL$78)/SUM(BL$75:BL$83))/(SUM(AE$195)/SUM(AE$195:AE$200))),AE195)</f>
        <v>3.7252549287394359E-5</v>
      </c>
      <c r="AD79" s="1145">
        <f>IFERROR(AF195*((SUM(BM$75:BM$78)/SUM(BM$75:BM$83))/(SUM(AF$195)/SUM(AF$195:AF$200))),AF195)</f>
        <v>1.4770705335393747E-5</v>
      </c>
      <c r="AE79" s="1172">
        <f t="shared" si="5"/>
        <v>5.3371590788300694E-3</v>
      </c>
      <c r="AG79" s="1164"/>
      <c r="AL79" s="1144" t="s">
        <v>1133</v>
      </c>
      <c r="AM79" s="1144" t="s">
        <v>56</v>
      </c>
      <c r="AN79" s="1135">
        <f>SUMIFS(Table9[Count of EnergyRating],Table9[MainSpaceHeatingFuel],AL79,Table9[EnergyRating (group)],AM79,Table9[CountyName (group)],AN$4)</f>
        <v>0</v>
      </c>
      <c r="AO79" s="1164">
        <f>SUMIFS(Table9[Count of EnergyRating],Table9[MainSpaceHeatingFuel],AL79,Table9[EnergyRating (group)],AM79,Table9[CountyName (group)],AO$4)</f>
        <v>0</v>
      </c>
      <c r="AP79" s="1164">
        <f>SUMIFS(Table9[Count of EnergyRating],Table9[MainSpaceHeatingFuel],AL79,Table9[EnergyRating (group)],AM79,Table9[CountyName (group)],AP$4)</f>
        <v>0</v>
      </c>
      <c r="AQ79" s="1164">
        <f>SUMIFS(Table9[Count of EnergyRating],Table9[MainSpaceHeatingFuel],AL79,Table9[EnergyRating (group)],AM79,Table9[CountyName (group)],AQ$4)</f>
        <v>0</v>
      </c>
      <c r="AR79" s="1164">
        <f>SUMIFS(Table9[Count of EnergyRating],Table9[MainSpaceHeatingFuel],AL79,Table9[EnergyRating (group)],AM79,Table9[CountyName (group)],AR$4)</f>
        <v>0</v>
      </c>
      <c r="AS79" s="1164">
        <f>SUMIFS(Table9[Count of EnergyRating],Table9[MainSpaceHeatingFuel],AL79,Table9[EnergyRating (group)],AM79,Table9[CountyName (group)],AS$4)</f>
        <v>0</v>
      </c>
      <c r="AT79" s="1164">
        <f>SUMIFS(Table9[Count of EnergyRating],Table9[MainSpaceHeatingFuel],AL79,Table9[EnergyRating (group)],AM79,Table9[CountyName (group)],AT$4)</f>
        <v>0</v>
      </c>
      <c r="AU79" s="1164">
        <f>SUMIFS(Table9[Count of EnergyRating],Table9[MainSpaceHeatingFuel],AL79,Table9[EnergyRating (group)],AM79,Table9[CountyName (group)],AU$4)</f>
        <v>0</v>
      </c>
      <c r="AV79" s="1164">
        <f>SUMIFS(Table9[Count of EnergyRating],Table9[MainSpaceHeatingFuel],AL79,Table9[EnergyRating (group)],AM79,Table9[CountyName (group)],AV$4)</f>
        <v>0</v>
      </c>
      <c r="AW79" s="1164">
        <f>SUMIFS(Table9[Count of EnergyRating],Table9[MainSpaceHeatingFuel],AL79,Table9[EnergyRating (group)],AM79,Table9[CountyName (group)],AW$4)</f>
        <v>0</v>
      </c>
      <c r="AX79" s="1164">
        <f>SUMIFS(Table9[Count of EnergyRating],Table9[MainSpaceHeatingFuel],AL79,Table9[EnergyRating (group)],AM79,Table9[CountyName (group)],AX$4)</f>
        <v>0</v>
      </c>
      <c r="AY79" s="1164">
        <f>SUMIFS(Table9[Count of EnergyRating],Table9[MainSpaceHeatingFuel],AL79,Table9[EnergyRating (group)],AM79,Table9[CountyName (group)],AY$4)</f>
        <v>0</v>
      </c>
      <c r="AZ79" s="1164">
        <f>SUMIFS(Table9[Count of EnergyRating],Table9[MainSpaceHeatingFuel],AL79,Table9[EnergyRating (group)],AM79,Table9[CountyName (group)],AZ$4)</f>
        <v>0</v>
      </c>
      <c r="BA79" s="1164">
        <f>SUMIFS(Table9[Count of EnergyRating],Table9[MainSpaceHeatingFuel],AL79,Table9[EnergyRating (group)],AM79,Table9[CountyName (group)],BA$4)</f>
        <v>0</v>
      </c>
      <c r="BB79" s="1164">
        <f>SUMIFS(Table9[Count of EnergyRating],Table9[MainSpaceHeatingFuel],AL79,Table9[EnergyRating (group)],AM79,Table9[CountyName (group)],BB$4)</f>
        <v>0</v>
      </c>
      <c r="BC79" s="1164">
        <f>SUMIFS(Table9[Count of EnergyRating],Table9[MainSpaceHeatingFuel],AL79,Table9[EnergyRating (group)],AM79,Table9[CountyName (group)],BC$4)</f>
        <v>0</v>
      </c>
      <c r="BD79" s="1164">
        <f>SUMIFS(Table9[Count of EnergyRating],Table9[MainSpaceHeatingFuel],AL79,Table9[EnergyRating (group)],AM79,Table9[CountyName (group)],BD$4)</f>
        <v>0</v>
      </c>
      <c r="BE79" s="1164">
        <f>SUMIFS(Table9[Count of EnergyRating],Table9[MainSpaceHeatingFuel],AL79,Table9[EnergyRating (group)],AM79,Table9[CountyName (group)],BE$4)</f>
        <v>0</v>
      </c>
      <c r="BF79" s="1164">
        <f>SUMIFS(Table9[Count of EnergyRating],Table9[MainSpaceHeatingFuel],AL79,Table9[EnergyRating (group)],AM79,Table9[CountyName (group)],BF$4)</f>
        <v>0</v>
      </c>
      <c r="BG79" s="1164">
        <f>SUMIFS(Table9[Count of EnergyRating],Table9[MainSpaceHeatingFuel],AL79,Table9[EnergyRating (group)],AM79,Table9[CountyName (group)],BG$4)</f>
        <v>0</v>
      </c>
      <c r="BH79" s="1164">
        <f>SUMIFS(Table9[Count of EnergyRating],Table9[MainSpaceHeatingFuel],AL79,Table9[EnergyRating (group)],AM79,Table9[CountyName (group)],BH$4)</f>
        <v>0</v>
      </c>
      <c r="BI79" s="1164">
        <f>SUMIFS(Table9[Count of EnergyRating],Table9[MainSpaceHeatingFuel],AL79,Table9[EnergyRating (group)],AM79,Table9[CountyName (group)],BI$4)</f>
        <v>0</v>
      </c>
      <c r="BJ79" s="1164">
        <f>SUMIFS(Table9[Count of EnergyRating],Table9[MainSpaceHeatingFuel],AL79,Table9[EnergyRating (group)],AM79,Table9[CountyName (group)],BJ$4)</f>
        <v>0</v>
      </c>
      <c r="BK79" s="1135">
        <f>SUMIFS(Table9[Count of EnergyRating],Table9[MainSpaceHeatingFuel],AL79,Table9[EnergyRating (group)],AM79,Table9[CountyName (group)],BK$4)</f>
        <v>0</v>
      </c>
      <c r="BL79" s="1164">
        <f>SUMIFS(Table9[Count of EnergyRating],Table9[MainSpaceHeatingFuel],AL79,Table9[EnergyRating (group)],AM79,Table9[CountyName (group)],BL$4)</f>
        <v>0</v>
      </c>
      <c r="BM79" s="1164">
        <f>SUMIFS(Table9[Count of EnergyRating],Table9[MainSpaceHeatingFuel],AL79,Table9[EnergyRating (group)],AM79,Table9[CountyName (group)],BM$4)</f>
        <v>0</v>
      </c>
    </row>
    <row r="80" spans="2:65">
      <c r="B80" s="1136" t="s">
        <v>56</v>
      </c>
      <c r="C80" s="1136" t="s">
        <v>1186</v>
      </c>
      <c r="D80" s="1136" t="s">
        <v>1094</v>
      </c>
      <c r="E80" s="1146">
        <f t="shared" ref="E80:AA80" si="215">IFERROR(G196*((SUM(AN$79)/SUM(AN$75:AN$83))/(SUM(G$196)/SUM(G$195:G$200))),G196)</f>
        <v>0</v>
      </c>
      <c r="F80" s="1146">
        <f t="shared" si="215"/>
        <v>4.2585741874076053E-3</v>
      </c>
      <c r="G80" s="1146">
        <f t="shared" si="215"/>
        <v>3.0547300944348799E-4</v>
      </c>
      <c r="H80" s="1146">
        <f t="shared" si="215"/>
        <v>7.5033705783806071E-5</v>
      </c>
      <c r="I80" s="1146">
        <f t="shared" si="215"/>
        <v>4.8411990561777617E-5</v>
      </c>
      <c r="J80" s="1146">
        <f t="shared" si="215"/>
        <v>1.9735853990576273E-5</v>
      </c>
      <c r="K80" s="1146">
        <f t="shared" si="215"/>
        <v>1.2500218485695709E-4</v>
      </c>
      <c r="L80" s="1146">
        <f t="shared" si="215"/>
        <v>2.3832673645880314E-4</v>
      </c>
      <c r="M80" s="1146">
        <f t="shared" si="215"/>
        <v>3.3414085948435884E-5</v>
      </c>
      <c r="N80" s="1146">
        <f t="shared" si="215"/>
        <v>9.0951616677171774E-5</v>
      </c>
      <c r="O80" s="1146">
        <f t="shared" si="215"/>
        <v>7.6396534192786541E-5</v>
      </c>
      <c r="P80" s="1146">
        <f t="shared" si="215"/>
        <v>1.6114180019650653E-4</v>
      </c>
      <c r="Q80" s="1146">
        <f t="shared" si="215"/>
        <v>7.9594121025205547E-5</v>
      </c>
      <c r="R80" s="1146">
        <f t="shared" si="215"/>
        <v>6.0472196796049487E-4</v>
      </c>
      <c r="S80" s="1146">
        <f t="shared" si="215"/>
        <v>1.0138570696794661E-4</v>
      </c>
      <c r="T80" s="1146">
        <f t="shared" si="215"/>
        <v>3.4090510260920939E-4</v>
      </c>
      <c r="U80" s="1146">
        <f t="shared" si="215"/>
        <v>4.9013867633338391E-5</v>
      </c>
      <c r="V80" s="1146">
        <f t="shared" si="215"/>
        <v>1.0151499316624151E-4</v>
      </c>
      <c r="W80" s="1146">
        <f t="shared" si="215"/>
        <v>0</v>
      </c>
      <c r="X80" s="1146">
        <f t="shared" si="215"/>
        <v>2.0672505126748143E-5</v>
      </c>
      <c r="Y80" s="1146">
        <f t="shared" si="215"/>
        <v>6.6072903233380044E-5</v>
      </c>
      <c r="Z80" s="1146">
        <f t="shared" si="215"/>
        <v>2.2061984117785945E-5</v>
      </c>
      <c r="AA80" s="1146">
        <f t="shared" si="215"/>
        <v>4.5131248685501295E-5</v>
      </c>
      <c r="AB80" s="1146">
        <f>IFERROR(AD196*((SUM(BK$79)/SUM(BK$75:BK$83))/(SUM(AD$196)/SUM(AD$195:AD$200))),AD196)</f>
        <v>3.8205763728463213E-5</v>
      </c>
      <c r="AC80" s="1146">
        <f>IFERROR(AE196*((SUM(BL$79)/SUM(BL$75:BL$83))/(SUM(AE$196)/SUM(AE$195:AE$200))),AE196)</f>
        <v>9.3245457007669832E-5</v>
      </c>
      <c r="AD80" s="1146">
        <f>IFERROR(AF196*((SUM(BM$79)/SUM(BM$75:BM$83))/(SUM(AF$196)/SUM(AF$195:AF$200))),AF196)</f>
        <v>2.8839656904191649E-5</v>
      </c>
      <c r="AE80" s="1173">
        <f t="shared" ref="AE80:AE115" si="216">SUM(E80:AD80)</f>
        <v>7.0238269836840894E-3</v>
      </c>
      <c r="AG80" s="1164"/>
      <c r="AL80" s="1144" t="s">
        <v>1133</v>
      </c>
      <c r="AM80" s="1144" t="s">
        <v>58</v>
      </c>
      <c r="AN80" s="1135">
        <f>SUMIFS(Table9[Count of EnergyRating],Table9[MainSpaceHeatingFuel],AL80,Table9[EnergyRating (group)],AM80,Table9[CountyName (group)],AN$4)</f>
        <v>1</v>
      </c>
      <c r="AO80" s="1164">
        <f>SUMIFS(Table9[Count of EnergyRating],Table9[MainSpaceHeatingFuel],AL80,Table9[EnergyRating (group)],AM80,Table9[CountyName (group)],AO$4)</f>
        <v>0</v>
      </c>
      <c r="AP80" s="1164">
        <f>SUMIFS(Table9[Count of EnergyRating],Table9[MainSpaceHeatingFuel],AL80,Table9[EnergyRating (group)],AM80,Table9[CountyName (group)],AP$4)</f>
        <v>0</v>
      </c>
      <c r="AQ80" s="1164">
        <f>SUMIFS(Table9[Count of EnergyRating],Table9[MainSpaceHeatingFuel],AL80,Table9[EnergyRating (group)],AM80,Table9[CountyName (group)],AQ$4)</f>
        <v>0</v>
      </c>
      <c r="AR80" s="1164">
        <f>SUMIFS(Table9[Count of EnergyRating],Table9[MainSpaceHeatingFuel],AL80,Table9[EnergyRating (group)],AM80,Table9[CountyName (group)],AR$4)</f>
        <v>0</v>
      </c>
      <c r="AS80" s="1164">
        <f>SUMIFS(Table9[Count of EnergyRating],Table9[MainSpaceHeatingFuel],AL80,Table9[EnergyRating (group)],AM80,Table9[CountyName (group)],AS$4)</f>
        <v>0</v>
      </c>
      <c r="AT80" s="1164">
        <f>SUMIFS(Table9[Count of EnergyRating],Table9[MainSpaceHeatingFuel],AL80,Table9[EnergyRating (group)],AM80,Table9[CountyName (group)],AT$4)</f>
        <v>0</v>
      </c>
      <c r="AU80" s="1164">
        <f>SUMIFS(Table9[Count of EnergyRating],Table9[MainSpaceHeatingFuel],AL80,Table9[EnergyRating (group)],AM80,Table9[CountyName (group)],AU$4)</f>
        <v>0</v>
      </c>
      <c r="AV80" s="1164">
        <f>SUMIFS(Table9[Count of EnergyRating],Table9[MainSpaceHeatingFuel],AL80,Table9[EnergyRating (group)],AM80,Table9[CountyName (group)],AV$4)</f>
        <v>0</v>
      </c>
      <c r="AW80" s="1164">
        <f>SUMIFS(Table9[Count of EnergyRating],Table9[MainSpaceHeatingFuel],AL80,Table9[EnergyRating (group)],AM80,Table9[CountyName (group)],AW$4)</f>
        <v>0</v>
      </c>
      <c r="AX80" s="1164">
        <f>SUMIFS(Table9[Count of EnergyRating],Table9[MainSpaceHeatingFuel],AL80,Table9[EnergyRating (group)],AM80,Table9[CountyName (group)],AX$4)</f>
        <v>0</v>
      </c>
      <c r="AY80" s="1164">
        <f>SUMIFS(Table9[Count of EnergyRating],Table9[MainSpaceHeatingFuel],AL80,Table9[EnergyRating (group)],AM80,Table9[CountyName (group)],AY$4)</f>
        <v>0</v>
      </c>
      <c r="AZ80" s="1164">
        <f>SUMIFS(Table9[Count of EnergyRating],Table9[MainSpaceHeatingFuel],AL80,Table9[EnergyRating (group)],AM80,Table9[CountyName (group)],AZ$4)</f>
        <v>0</v>
      </c>
      <c r="BA80" s="1164">
        <f>SUMIFS(Table9[Count of EnergyRating],Table9[MainSpaceHeatingFuel],AL80,Table9[EnergyRating (group)],AM80,Table9[CountyName (group)],BA$4)</f>
        <v>0</v>
      </c>
      <c r="BB80" s="1164">
        <f>SUMIFS(Table9[Count of EnergyRating],Table9[MainSpaceHeatingFuel],AL80,Table9[EnergyRating (group)],AM80,Table9[CountyName (group)],BB$4)</f>
        <v>0</v>
      </c>
      <c r="BC80" s="1164">
        <f>SUMIFS(Table9[Count of EnergyRating],Table9[MainSpaceHeatingFuel],AL80,Table9[EnergyRating (group)],AM80,Table9[CountyName (group)],BC$4)</f>
        <v>0</v>
      </c>
      <c r="BD80" s="1164">
        <f>SUMIFS(Table9[Count of EnergyRating],Table9[MainSpaceHeatingFuel],AL80,Table9[EnergyRating (group)],AM80,Table9[CountyName (group)],BD$4)</f>
        <v>0</v>
      </c>
      <c r="BE80" s="1164">
        <f>SUMIFS(Table9[Count of EnergyRating],Table9[MainSpaceHeatingFuel],AL80,Table9[EnergyRating (group)],AM80,Table9[CountyName (group)],BE$4)</f>
        <v>0</v>
      </c>
      <c r="BF80" s="1164">
        <f>SUMIFS(Table9[Count of EnergyRating],Table9[MainSpaceHeatingFuel],AL80,Table9[EnergyRating (group)],AM80,Table9[CountyName (group)],BF$4)</f>
        <v>1</v>
      </c>
      <c r="BG80" s="1164">
        <f>SUMIFS(Table9[Count of EnergyRating],Table9[MainSpaceHeatingFuel],AL80,Table9[EnergyRating (group)],AM80,Table9[CountyName (group)],BG$4)</f>
        <v>0</v>
      </c>
      <c r="BH80" s="1164">
        <f>SUMIFS(Table9[Count of EnergyRating],Table9[MainSpaceHeatingFuel],AL80,Table9[EnergyRating (group)],AM80,Table9[CountyName (group)],BH$4)</f>
        <v>0</v>
      </c>
      <c r="BI80" s="1164">
        <f>SUMIFS(Table9[Count of EnergyRating],Table9[MainSpaceHeatingFuel],AL80,Table9[EnergyRating (group)],AM80,Table9[CountyName (group)],BI$4)</f>
        <v>0</v>
      </c>
      <c r="BJ80" s="1164">
        <f>SUMIFS(Table9[Count of EnergyRating],Table9[MainSpaceHeatingFuel],AL80,Table9[EnergyRating (group)],AM80,Table9[CountyName (group)],BJ$4)</f>
        <v>0</v>
      </c>
      <c r="BK80" s="1135">
        <f>SUMIFS(Table9[Count of EnergyRating],Table9[MainSpaceHeatingFuel],AL80,Table9[EnergyRating (group)],AM80,Table9[CountyName (group)],BK$4)</f>
        <v>0</v>
      </c>
      <c r="BL80" s="1164">
        <f>SUMIFS(Table9[Count of EnergyRating],Table9[MainSpaceHeatingFuel],AL80,Table9[EnergyRating (group)],AM80,Table9[CountyName (group)],BL$4)</f>
        <v>0</v>
      </c>
      <c r="BM80" s="1164">
        <f>SUMIFS(Table9[Count of EnergyRating],Table9[MainSpaceHeatingFuel],AL80,Table9[EnergyRating (group)],AM80,Table9[CountyName (group)],BM$4)</f>
        <v>0</v>
      </c>
    </row>
    <row r="81" spans="2:65">
      <c r="B81" s="1134" t="s">
        <v>58</v>
      </c>
      <c r="C81" s="1134" t="s">
        <v>1186</v>
      </c>
      <c r="D81" s="1134" t="s">
        <v>1094</v>
      </c>
      <c r="E81" s="1145">
        <f t="shared" ref="E81:AA81" si="217">IFERROR(G197*((SUM(AN$80)/SUM(AN$75:AN$83))/(SUM(G$197)/SUM(G$195:G$200))),G197)</f>
        <v>1.3211951438948363E-4</v>
      </c>
      <c r="F81" s="1145">
        <f t="shared" si="217"/>
        <v>2.6021276109382736E-3</v>
      </c>
      <c r="G81" s="1145">
        <f t="shared" si="217"/>
        <v>1.7160182121944156E-4</v>
      </c>
      <c r="H81" s="1145">
        <f t="shared" si="217"/>
        <v>3.7344757236435591E-5</v>
      </c>
      <c r="I81" s="1145">
        <f t="shared" si="217"/>
        <v>4.0598125418473167E-5</v>
      </c>
      <c r="J81" s="1145">
        <f t="shared" si="217"/>
        <v>2.7679845533952882E-5</v>
      </c>
      <c r="K81" s="1145">
        <f t="shared" si="217"/>
        <v>5.3775060227907757E-5</v>
      </c>
      <c r="L81" s="1145">
        <f t="shared" si="217"/>
        <v>1.1752850494576649E-4</v>
      </c>
      <c r="M81" s="1145">
        <f t="shared" si="217"/>
        <v>3.800033303939767E-5</v>
      </c>
      <c r="N81" s="1145">
        <f t="shared" si="217"/>
        <v>9.1089631270005122E-5</v>
      </c>
      <c r="O81" s="1145">
        <f t="shared" si="217"/>
        <v>8.3550724685756511E-5</v>
      </c>
      <c r="P81" s="1145">
        <f t="shared" si="217"/>
        <v>9.9149375270251921E-5</v>
      </c>
      <c r="Q81" s="1145">
        <f t="shared" si="217"/>
        <v>7.2115478781226508E-5</v>
      </c>
      <c r="R81" s="1145">
        <f t="shared" si="217"/>
        <v>3.5377834028749237E-4</v>
      </c>
      <c r="S81" s="1145">
        <f t="shared" si="217"/>
        <v>8.9151744894792577E-5</v>
      </c>
      <c r="T81" s="1145">
        <f t="shared" si="217"/>
        <v>2.0240015482624198E-4</v>
      </c>
      <c r="U81" s="1145">
        <f t="shared" si="217"/>
        <v>8.4023773085722939E-5</v>
      </c>
      <c r="V81" s="1145">
        <f t="shared" si="217"/>
        <v>1.0442929919015274E-4</v>
      </c>
      <c r="W81" s="1145">
        <f t="shared" si="217"/>
        <v>2.5657706611590043E-4</v>
      </c>
      <c r="X81" s="1145">
        <f t="shared" si="217"/>
        <v>2.1202569360767325E-5</v>
      </c>
      <c r="Y81" s="1145">
        <f t="shared" si="217"/>
        <v>7.837218825084906E-5</v>
      </c>
      <c r="Z81" s="1145">
        <f t="shared" si="217"/>
        <v>2.0600045411185669E-5</v>
      </c>
      <c r="AA81" s="1145">
        <f t="shared" si="217"/>
        <v>5.8989733130342086E-5</v>
      </c>
      <c r="AB81" s="1145">
        <f>IFERROR(AD197*((SUM(BK$80)/SUM(BK$75:BK$83))/(SUM(AD$197)/SUM(AD$195:AD$200))),AD197)</f>
        <v>3.9815968330045953E-5</v>
      </c>
      <c r="AC81" s="1145">
        <f>IFERROR(AE197*((SUM(BL$80)/SUM(BL$75:BL$83))/(SUM(AE$197)/SUM(AE$195:AE$200))),AE197)</f>
        <v>5.7774220817729275E-5</v>
      </c>
      <c r="AD81" s="1145">
        <f>IFERROR(AF197*((SUM(BM$80)/SUM(BM$75:BM$83))/(SUM(AF$197)/SUM(AF$195:AF$200))),AF197)</f>
        <v>2.3408812422233481E-5</v>
      </c>
      <c r="AE81" s="1172">
        <f t="shared" si="216"/>
        <v>4.9572046990798285E-3</v>
      </c>
      <c r="AG81" s="1164"/>
      <c r="AL81" s="1144" t="s">
        <v>1133</v>
      </c>
      <c r="AM81" s="1144" t="s">
        <v>60</v>
      </c>
      <c r="AN81" s="1135">
        <f>SUMIFS(Table9[Count of EnergyRating],Table9[MainSpaceHeatingFuel],AL81,Table9[EnergyRating (group)],AM81,Table9[CountyName (group)],AN$4)</f>
        <v>0</v>
      </c>
      <c r="AO81" s="1164">
        <f>SUMIFS(Table9[Count of EnergyRating],Table9[MainSpaceHeatingFuel],AL81,Table9[EnergyRating (group)],AM81,Table9[CountyName (group)],AO$4)</f>
        <v>0</v>
      </c>
      <c r="AP81" s="1164">
        <f>SUMIFS(Table9[Count of EnergyRating],Table9[MainSpaceHeatingFuel],AL81,Table9[EnergyRating (group)],AM81,Table9[CountyName (group)],AP$4)</f>
        <v>0</v>
      </c>
      <c r="AQ81" s="1164">
        <f>SUMIFS(Table9[Count of EnergyRating],Table9[MainSpaceHeatingFuel],AL81,Table9[EnergyRating (group)],AM81,Table9[CountyName (group)],AQ$4)</f>
        <v>0</v>
      </c>
      <c r="AR81" s="1164">
        <f>SUMIFS(Table9[Count of EnergyRating],Table9[MainSpaceHeatingFuel],AL81,Table9[EnergyRating (group)],AM81,Table9[CountyName (group)],AR$4)</f>
        <v>0</v>
      </c>
      <c r="AS81" s="1164">
        <f>SUMIFS(Table9[Count of EnergyRating],Table9[MainSpaceHeatingFuel],AL81,Table9[EnergyRating (group)],AM81,Table9[CountyName (group)],AS$4)</f>
        <v>0</v>
      </c>
      <c r="AT81" s="1164">
        <f>SUMIFS(Table9[Count of EnergyRating],Table9[MainSpaceHeatingFuel],AL81,Table9[EnergyRating (group)],AM81,Table9[CountyName (group)],AT$4)</f>
        <v>0</v>
      </c>
      <c r="AU81" s="1164">
        <f>SUMIFS(Table9[Count of EnergyRating],Table9[MainSpaceHeatingFuel],AL81,Table9[EnergyRating (group)],AM81,Table9[CountyName (group)],AU$4)</f>
        <v>0</v>
      </c>
      <c r="AV81" s="1164">
        <f>SUMIFS(Table9[Count of EnergyRating],Table9[MainSpaceHeatingFuel],AL81,Table9[EnergyRating (group)],AM81,Table9[CountyName (group)],AV$4)</f>
        <v>0</v>
      </c>
      <c r="AW81" s="1164">
        <f>SUMIFS(Table9[Count of EnergyRating],Table9[MainSpaceHeatingFuel],AL81,Table9[EnergyRating (group)],AM81,Table9[CountyName (group)],AW$4)</f>
        <v>0</v>
      </c>
      <c r="AX81" s="1164">
        <f>SUMIFS(Table9[Count of EnergyRating],Table9[MainSpaceHeatingFuel],AL81,Table9[EnergyRating (group)],AM81,Table9[CountyName (group)],AX$4)</f>
        <v>0</v>
      </c>
      <c r="AY81" s="1164">
        <f>SUMIFS(Table9[Count of EnergyRating],Table9[MainSpaceHeatingFuel],AL81,Table9[EnergyRating (group)],AM81,Table9[CountyName (group)],AY$4)</f>
        <v>0</v>
      </c>
      <c r="AZ81" s="1164">
        <f>SUMIFS(Table9[Count of EnergyRating],Table9[MainSpaceHeatingFuel],AL81,Table9[EnergyRating (group)],AM81,Table9[CountyName (group)],AZ$4)</f>
        <v>0</v>
      </c>
      <c r="BA81" s="1164">
        <f>SUMIFS(Table9[Count of EnergyRating],Table9[MainSpaceHeatingFuel],AL81,Table9[EnergyRating (group)],AM81,Table9[CountyName (group)],BA$4)</f>
        <v>0</v>
      </c>
      <c r="BB81" s="1164">
        <f>SUMIFS(Table9[Count of EnergyRating],Table9[MainSpaceHeatingFuel],AL81,Table9[EnergyRating (group)],AM81,Table9[CountyName (group)],BB$4)</f>
        <v>0</v>
      </c>
      <c r="BC81" s="1164">
        <f>SUMIFS(Table9[Count of EnergyRating],Table9[MainSpaceHeatingFuel],AL81,Table9[EnergyRating (group)],AM81,Table9[CountyName (group)],BC$4)</f>
        <v>0</v>
      </c>
      <c r="BD81" s="1164">
        <f>SUMIFS(Table9[Count of EnergyRating],Table9[MainSpaceHeatingFuel],AL81,Table9[EnergyRating (group)],AM81,Table9[CountyName (group)],BD$4)</f>
        <v>0</v>
      </c>
      <c r="BE81" s="1164">
        <f>SUMIFS(Table9[Count of EnergyRating],Table9[MainSpaceHeatingFuel],AL81,Table9[EnergyRating (group)],AM81,Table9[CountyName (group)],BE$4)</f>
        <v>0</v>
      </c>
      <c r="BF81" s="1164">
        <f>SUMIFS(Table9[Count of EnergyRating],Table9[MainSpaceHeatingFuel],AL81,Table9[EnergyRating (group)],AM81,Table9[CountyName (group)],BF$4)</f>
        <v>0</v>
      </c>
      <c r="BG81" s="1164">
        <f>SUMIFS(Table9[Count of EnergyRating],Table9[MainSpaceHeatingFuel],AL81,Table9[EnergyRating (group)],AM81,Table9[CountyName (group)],BG$4)</f>
        <v>0</v>
      </c>
      <c r="BH81" s="1164">
        <f>SUMIFS(Table9[Count of EnergyRating],Table9[MainSpaceHeatingFuel],AL81,Table9[EnergyRating (group)],AM81,Table9[CountyName (group)],BH$4)</f>
        <v>0</v>
      </c>
      <c r="BI81" s="1164">
        <f>SUMIFS(Table9[Count of EnergyRating],Table9[MainSpaceHeatingFuel],AL81,Table9[EnergyRating (group)],AM81,Table9[CountyName (group)],BI$4)</f>
        <v>0</v>
      </c>
      <c r="BJ81" s="1164">
        <f>SUMIFS(Table9[Count of EnergyRating],Table9[MainSpaceHeatingFuel],AL81,Table9[EnergyRating (group)],AM81,Table9[CountyName (group)],BJ$4)</f>
        <v>0</v>
      </c>
      <c r="BK81" s="1135">
        <f>SUMIFS(Table9[Count of EnergyRating],Table9[MainSpaceHeatingFuel],AL81,Table9[EnergyRating (group)],AM81,Table9[CountyName (group)],BK$4)</f>
        <v>0</v>
      </c>
      <c r="BL81" s="1164">
        <f>SUMIFS(Table9[Count of EnergyRating],Table9[MainSpaceHeatingFuel],AL81,Table9[EnergyRating (group)],AM81,Table9[CountyName (group)],BL$4)</f>
        <v>0</v>
      </c>
      <c r="BM81" s="1164">
        <f>SUMIFS(Table9[Count of EnergyRating],Table9[MainSpaceHeatingFuel],AL81,Table9[EnergyRating (group)],AM81,Table9[CountyName (group)],BM$4)</f>
        <v>0</v>
      </c>
    </row>
    <row r="82" spans="2:65">
      <c r="B82" s="1136" t="s">
        <v>60</v>
      </c>
      <c r="C82" s="1136" t="s">
        <v>1186</v>
      </c>
      <c r="D82" s="1136" t="s">
        <v>1094</v>
      </c>
      <c r="E82" s="1146">
        <f t="shared" ref="E82:AA82" si="218">IFERROR(G198*((SUM(AN$81)/SUM(AN$75:AN$83))/(SUM(G$198)/SUM(G$195:G$200))),G198)</f>
        <v>0</v>
      </c>
      <c r="F82" s="1146">
        <f t="shared" si="218"/>
        <v>1.2517934624294293E-3</v>
      </c>
      <c r="G82" s="1146">
        <f t="shared" si="218"/>
        <v>9.5233568858569585E-5</v>
      </c>
      <c r="H82" s="1146">
        <f t="shared" si="218"/>
        <v>1.7381661202211955E-5</v>
      </c>
      <c r="I82" s="1146">
        <f t="shared" si="218"/>
        <v>1.5797596920159011E-5</v>
      </c>
      <c r="J82" s="1146">
        <f t="shared" si="218"/>
        <v>1.191598731506492E-5</v>
      </c>
      <c r="K82" s="1146">
        <f t="shared" si="218"/>
        <v>3.0931301133730587E-5</v>
      </c>
      <c r="L82" s="1146">
        <f t="shared" si="218"/>
        <v>4.9045898509052482E-5</v>
      </c>
      <c r="M82" s="1146">
        <f t="shared" si="218"/>
        <v>2.0965700987253886E-5</v>
      </c>
      <c r="N82" s="1146">
        <f t="shared" si="218"/>
        <v>4.1542392442835664E-5</v>
      </c>
      <c r="O82" s="1146">
        <f t="shared" si="218"/>
        <v>5.5572729722177489E-5</v>
      </c>
      <c r="P82" s="1146">
        <f t="shared" si="218"/>
        <v>4.3895257401198913E-5</v>
      </c>
      <c r="Q82" s="1146">
        <f t="shared" si="218"/>
        <v>4.7409249939510013E-5</v>
      </c>
      <c r="R82" s="1146">
        <f t="shared" si="218"/>
        <v>2.0196670235251706E-4</v>
      </c>
      <c r="S82" s="1146">
        <f t="shared" si="218"/>
        <v>4.2428421657959682E-5</v>
      </c>
      <c r="T82" s="1146">
        <f t="shared" si="218"/>
        <v>8.3102968669780447E-5</v>
      </c>
      <c r="U82" s="1146">
        <f t="shared" si="218"/>
        <v>4.7457871835454636E-5</v>
      </c>
      <c r="V82" s="1146">
        <f t="shared" si="218"/>
        <v>5.5614673289639488E-5</v>
      </c>
      <c r="W82" s="1146">
        <f t="shared" si="218"/>
        <v>0</v>
      </c>
      <c r="X82" s="1146">
        <f t="shared" si="218"/>
        <v>6.9968478890532174E-6</v>
      </c>
      <c r="Y82" s="1146">
        <f t="shared" si="218"/>
        <v>3.246439184843565E-5</v>
      </c>
      <c r="Z82" s="1146">
        <f t="shared" si="218"/>
        <v>1.1429702615238501E-5</v>
      </c>
      <c r="AA82" s="1146">
        <f t="shared" si="218"/>
        <v>3.929609734030516E-5</v>
      </c>
      <c r="AB82" s="1146">
        <f>IFERROR(AD198*((SUM(BK$81)/SUM(BK$75:BK$83))/(SUM(AD$198)/SUM(AD$195:AD$200))),AD198)</f>
        <v>1.9907984165022976E-5</v>
      </c>
      <c r="AC82" s="1146">
        <f>IFERROR(AE198*((SUM(BL$81)/SUM(BL$75:BL$83))/(SUM(AE$198)/SUM(AE$195:AE$200))),AE198)</f>
        <v>3.4284907220377333E-5</v>
      </c>
      <c r="AD82" s="1146">
        <f>IFERROR(AF198*((SUM(BM$81)/SUM(BM$75:BM$83))/(SUM(AF$198)/SUM(AF$195:AF$200))),AF198)</f>
        <v>1.6105262946496634E-5</v>
      </c>
      <c r="AE82" s="1173">
        <f t="shared" si="216"/>
        <v>2.2725406386914747E-3</v>
      </c>
      <c r="AG82" s="1164"/>
      <c r="AL82" s="1144" t="s">
        <v>1133</v>
      </c>
      <c r="AM82" s="1144" t="s">
        <v>62</v>
      </c>
      <c r="AN82" s="1135">
        <f>SUMIFS(Table9[Count of EnergyRating],Table9[MainSpaceHeatingFuel],AL82,Table9[EnergyRating (group)],AM82,Table9[CountyName (group)],AN$4)</f>
        <v>0</v>
      </c>
      <c r="AO82" s="1164">
        <f>SUMIFS(Table9[Count of EnergyRating],Table9[MainSpaceHeatingFuel],AL82,Table9[EnergyRating (group)],AM82,Table9[CountyName (group)],AO$4)</f>
        <v>0</v>
      </c>
      <c r="AP82" s="1164">
        <f>SUMIFS(Table9[Count of EnergyRating],Table9[MainSpaceHeatingFuel],AL82,Table9[EnergyRating (group)],AM82,Table9[CountyName (group)],AP$4)</f>
        <v>0</v>
      </c>
      <c r="AQ82" s="1164">
        <f>SUMIFS(Table9[Count of EnergyRating],Table9[MainSpaceHeatingFuel],AL82,Table9[EnergyRating (group)],AM82,Table9[CountyName (group)],AQ$4)</f>
        <v>0</v>
      </c>
      <c r="AR82" s="1164">
        <f>SUMIFS(Table9[Count of EnergyRating],Table9[MainSpaceHeatingFuel],AL82,Table9[EnergyRating (group)],AM82,Table9[CountyName (group)],AR$4)</f>
        <v>0</v>
      </c>
      <c r="AS82" s="1164">
        <f>SUMIFS(Table9[Count of EnergyRating],Table9[MainSpaceHeatingFuel],AL82,Table9[EnergyRating (group)],AM82,Table9[CountyName (group)],AS$4)</f>
        <v>0</v>
      </c>
      <c r="AT82" s="1164">
        <f>SUMIFS(Table9[Count of EnergyRating],Table9[MainSpaceHeatingFuel],AL82,Table9[EnergyRating (group)],AM82,Table9[CountyName (group)],AT$4)</f>
        <v>0</v>
      </c>
      <c r="AU82" s="1164">
        <f>SUMIFS(Table9[Count of EnergyRating],Table9[MainSpaceHeatingFuel],AL82,Table9[EnergyRating (group)],AM82,Table9[CountyName (group)],AU$4)</f>
        <v>0</v>
      </c>
      <c r="AV82" s="1164">
        <f>SUMIFS(Table9[Count of EnergyRating],Table9[MainSpaceHeatingFuel],AL82,Table9[EnergyRating (group)],AM82,Table9[CountyName (group)],AV$4)</f>
        <v>0</v>
      </c>
      <c r="AW82" s="1164">
        <f>SUMIFS(Table9[Count of EnergyRating],Table9[MainSpaceHeatingFuel],AL82,Table9[EnergyRating (group)],AM82,Table9[CountyName (group)],AW$4)</f>
        <v>0</v>
      </c>
      <c r="AX82" s="1164">
        <f>SUMIFS(Table9[Count of EnergyRating],Table9[MainSpaceHeatingFuel],AL82,Table9[EnergyRating (group)],AM82,Table9[CountyName (group)],AX$4)</f>
        <v>0</v>
      </c>
      <c r="AY82" s="1164">
        <f>SUMIFS(Table9[Count of EnergyRating],Table9[MainSpaceHeatingFuel],AL82,Table9[EnergyRating (group)],AM82,Table9[CountyName (group)],AY$4)</f>
        <v>0</v>
      </c>
      <c r="AZ82" s="1164">
        <f>SUMIFS(Table9[Count of EnergyRating],Table9[MainSpaceHeatingFuel],AL82,Table9[EnergyRating (group)],AM82,Table9[CountyName (group)],AZ$4)</f>
        <v>0</v>
      </c>
      <c r="BA82" s="1164">
        <f>SUMIFS(Table9[Count of EnergyRating],Table9[MainSpaceHeatingFuel],AL82,Table9[EnergyRating (group)],AM82,Table9[CountyName (group)],BA$4)</f>
        <v>0</v>
      </c>
      <c r="BB82" s="1164">
        <f>SUMIFS(Table9[Count of EnergyRating],Table9[MainSpaceHeatingFuel],AL82,Table9[EnergyRating (group)],AM82,Table9[CountyName (group)],BB$4)</f>
        <v>0</v>
      </c>
      <c r="BC82" s="1164">
        <f>SUMIFS(Table9[Count of EnergyRating],Table9[MainSpaceHeatingFuel],AL82,Table9[EnergyRating (group)],AM82,Table9[CountyName (group)],BC$4)</f>
        <v>0</v>
      </c>
      <c r="BD82" s="1164">
        <f>SUMIFS(Table9[Count of EnergyRating],Table9[MainSpaceHeatingFuel],AL82,Table9[EnergyRating (group)],AM82,Table9[CountyName (group)],BD$4)</f>
        <v>0</v>
      </c>
      <c r="BE82" s="1164">
        <f>SUMIFS(Table9[Count of EnergyRating],Table9[MainSpaceHeatingFuel],AL82,Table9[EnergyRating (group)],AM82,Table9[CountyName (group)],BE$4)</f>
        <v>0</v>
      </c>
      <c r="BF82" s="1152">
        <f>SUMIFS(Table9[Count of EnergyRating],Table9[MainSpaceHeatingFuel],AL82,Table9[EnergyRating (group)],AM82,Table9[CountyName (group)],BF$4)</f>
        <v>0</v>
      </c>
      <c r="BG82" s="1164">
        <f>SUMIFS(Table9[Count of EnergyRating],Table9[MainSpaceHeatingFuel],AL82,Table9[EnergyRating (group)],AM82,Table9[CountyName (group)],BG$4)</f>
        <v>0</v>
      </c>
      <c r="BH82" s="1164">
        <f>SUMIFS(Table9[Count of EnergyRating],Table9[MainSpaceHeatingFuel],AL82,Table9[EnergyRating (group)],AM82,Table9[CountyName (group)],BH$4)</f>
        <v>0</v>
      </c>
      <c r="BI82" s="1164">
        <f>SUMIFS(Table9[Count of EnergyRating],Table9[MainSpaceHeatingFuel],AL82,Table9[EnergyRating (group)],AM82,Table9[CountyName (group)],BI$4)</f>
        <v>0</v>
      </c>
      <c r="BJ82" s="1164">
        <f>SUMIFS(Table9[Count of EnergyRating],Table9[MainSpaceHeatingFuel],AL82,Table9[EnergyRating (group)],AM82,Table9[CountyName (group)],BJ$4)</f>
        <v>0</v>
      </c>
      <c r="BK82" s="1135">
        <f>SUMIFS(Table9[Count of EnergyRating],Table9[MainSpaceHeatingFuel],AL82,Table9[EnergyRating (group)],AM82,Table9[CountyName (group)],BK$4)</f>
        <v>0</v>
      </c>
      <c r="BL82" s="1164">
        <f>SUMIFS(Table9[Count of EnergyRating],Table9[MainSpaceHeatingFuel],AL82,Table9[EnergyRating (group)],AM82,Table9[CountyName (group)],BL$4)</f>
        <v>0</v>
      </c>
      <c r="BM82" s="1164">
        <f>SUMIFS(Table9[Count of EnergyRating],Table9[MainSpaceHeatingFuel],AL82,Table9[EnergyRating (group)],AM82,Table9[CountyName (group)],BM$4)</f>
        <v>0</v>
      </c>
    </row>
    <row r="83" spans="2:65" ht="15">
      <c r="B83" s="1134" t="s">
        <v>62</v>
      </c>
      <c r="C83" s="1134" t="s">
        <v>1186</v>
      </c>
      <c r="D83" s="1134" t="s">
        <v>1094</v>
      </c>
      <c r="E83" s="1145">
        <f t="shared" ref="E83:AA83" si="219">IFERROR(G199*((SUM(AN$82)/SUM(AN$75:AN$83))/(SUM(G$199)/SUM(G$195:G$200))),G199)</f>
        <v>0</v>
      </c>
      <c r="F83" s="1145">
        <f t="shared" si="219"/>
        <v>4.2941726551535718E-4</v>
      </c>
      <c r="G83" s="1145">
        <f t="shared" si="219"/>
        <v>3.1200331130807561E-5</v>
      </c>
      <c r="H83" s="1145">
        <f t="shared" si="219"/>
        <v>7.4001131851001392E-6</v>
      </c>
      <c r="I83" s="1145">
        <f t="shared" si="219"/>
        <v>5.435732273603101E-6</v>
      </c>
      <c r="J83" s="1145">
        <f t="shared" si="219"/>
        <v>3.1031216966314892E-6</v>
      </c>
      <c r="K83" s="1145">
        <f t="shared" si="219"/>
        <v>1.1776596303209353E-5</v>
      </c>
      <c r="L83" s="1145">
        <f t="shared" si="219"/>
        <v>1.2715603317161752E-5</v>
      </c>
      <c r="M83" s="1145">
        <f t="shared" si="219"/>
        <v>9.6638777988123402E-6</v>
      </c>
      <c r="N83" s="1145">
        <f t="shared" si="219"/>
        <v>1.5871678175834227E-5</v>
      </c>
      <c r="O83" s="1145">
        <f t="shared" si="219"/>
        <v>1.6863449019143516E-5</v>
      </c>
      <c r="P83" s="1145">
        <f t="shared" si="219"/>
        <v>1.5786890819729435E-5</v>
      </c>
      <c r="Q83" s="1145">
        <f t="shared" si="219"/>
        <v>1.2686982378178735E-5</v>
      </c>
      <c r="R83" s="1145">
        <f t="shared" si="219"/>
        <v>7.708395806454402E-5</v>
      </c>
      <c r="S83" s="1145">
        <f t="shared" si="219"/>
        <v>1.2884704736619658E-5</v>
      </c>
      <c r="T83" s="1145">
        <f t="shared" si="219"/>
        <v>2.7962319646750022E-5</v>
      </c>
      <c r="U83" s="1145">
        <f t="shared" si="219"/>
        <v>1.9644446948282452E-5</v>
      </c>
      <c r="V83" s="1145">
        <f t="shared" si="219"/>
        <v>1.517867720787104E-5</v>
      </c>
      <c r="W83" s="1145">
        <f t="shared" si="219"/>
        <v>0</v>
      </c>
      <c r="X83" s="1145">
        <f t="shared" si="219"/>
        <v>2.6503211700959157E-6</v>
      </c>
      <c r="Y83" s="1145">
        <f t="shared" si="219"/>
        <v>1.2442299959532606E-5</v>
      </c>
      <c r="Z83" s="1145">
        <f t="shared" si="219"/>
        <v>3.455491488327918E-6</v>
      </c>
      <c r="AA83" s="1145">
        <f t="shared" si="219"/>
        <v>6.7468937428830209E-6</v>
      </c>
      <c r="AB83" s="1145">
        <f>IFERROR(AD199*((SUM(BK$82)/SUM(BK$75:BK$83))/(SUM(AD$199)/SUM(AD$195:AD$200))),AD199)</f>
        <v>7.3191118253760961E-6</v>
      </c>
      <c r="AC83" s="1145">
        <f>IFERROR(AE199*((SUM(BL$82)/SUM(BL$75:BL$83))/(SUM(AE$199)/SUM(AE$195:AE$200))),AE199)</f>
        <v>1.1744656798675973E-5</v>
      </c>
      <c r="AD83" s="1145">
        <f>IFERROR(AF199*((SUM(BM$82)/SUM(BM$75:BM$83))/(SUM(AF$199)/SUM(AF$195:AF$200))),AF199)</f>
        <v>6.7417379776032418E-6</v>
      </c>
      <c r="AE83" s="1172">
        <f t="shared" si="216"/>
        <v>7.7577626118013063E-4</v>
      </c>
      <c r="AG83" s="1164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SUMIFS(Table9[Count of EnergyRating],Table9[MainSpaceHeatingFuel],AL83,Table9[EnergyRating (group)],AM83,Table9[CountyName (group)],AN$4)</f>
        <v>0</v>
      </c>
      <c r="AO83" s="1164">
        <f>SUMIFS(Table9[Count of EnergyRating],Table9[MainSpaceHeatingFuel],AL83,Table9[EnergyRating (group)],AM83,Table9[CountyName (group)],AO$4)</f>
        <v>0</v>
      </c>
      <c r="AP83" s="1164">
        <f>SUMIFS(Table9[Count of EnergyRating],Table9[MainSpaceHeatingFuel],AL83,Table9[EnergyRating (group)],AM83,Table9[CountyName (group)],AP$4)</f>
        <v>0</v>
      </c>
      <c r="AQ83" s="1164">
        <f>SUMIFS(Table9[Count of EnergyRating],Table9[MainSpaceHeatingFuel],AL83,Table9[EnergyRating (group)],AM83,Table9[CountyName (group)],AQ$4)</f>
        <v>0</v>
      </c>
      <c r="AR83" s="1164">
        <f>SUMIFS(Table9[Count of EnergyRating],Table9[MainSpaceHeatingFuel],AL83,Table9[EnergyRating (group)],AM83,Table9[CountyName (group)],AR$4)</f>
        <v>0</v>
      </c>
      <c r="AS83" s="1164">
        <f>SUMIFS(Table9[Count of EnergyRating],Table9[MainSpaceHeatingFuel],AL83,Table9[EnergyRating (group)],AM83,Table9[CountyName (group)],AS$4)</f>
        <v>0</v>
      </c>
      <c r="AT83" s="1164">
        <f>SUMIFS(Table9[Count of EnergyRating],Table9[MainSpaceHeatingFuel],AL83,Table9[EnergyRating (group)],AM83,Table9[CountyName (group)],AT$4)</f>
        <v>0</v>
      </c>
      <c r="AU83" s="1164">
        <f>SUMIFS(Table9[Count of EnergyRating],Table9[MainSpaceHeatingFuel],AL83,Table9[EnergyRating (group)],AM83,Table9[CountyName (group)],AU$4)</f>
        <v>0</v>
      </c>
      <c r="AV83" s="1164">
        <f>SUMIFS(Table9[Count of EnergyRating],Table9[MainSpaceHeatingFuel],AL83,Table9[EnergyRating (group)],AM83,Table9[CountyName (group)],AV$4)</f>
        <v>0</v>
      </c>
      <c r="AW83" s="1164">
        <f>SUMIFS(Table9[Count of EnergyRating],Table9[MainSpaceHeatingFuel],AL83,Table9[EnergyRating (group)],AM83,Table9[CountyName (group)],AW$4)</f>
        <v>0</v>
      </c>
      <c r="AX83" s="1164">
        <f>SUMIFS(Table9[Count of EnergyRating],Table9[MainSpaceHeatingFuel],AL83,Table9[EnergyRating (group)],AM83,Table9[CountyName (group)],AX$4)</f>
        <v>0</v>
      </c>
      <c r="AY83" s="1164">
        <f>SUMIFS(Table9[Count of EnergyRating],Table9[MainSpaceHeatingFuel],AL83,Table9[EnergyRating (group)],AM83,Table9[CountyName (group)],AY$4)</f>
        <v>0</v>
      </c>
      <c r="AZ83" s="1164">
        <f>SUMIFS(Table9[Count of EnergyRating],Table9[MainSpaceHeatingFuel],AL83,Table9[EnergyRating (group)],AM83,Table9[CountyName (group)],AZ$4)</f>
        <v>0</v>
      </c>
      <c r="BA83" s="1164">
        <f>SUMIFS(Table9[Count of EnergyRating],Table9[MainSpaceHeatingFuel],AL83,Table9[EnergyRating (group)],AM83,Table9[CountyName (group)],BA$4)</f>
        <v>0</v>
      </c>
      <c r="BB83" s="1164">
        <f>SUMIFS(Table9[Count of EnergyRating],Table9[MainSpaceHeatingFuel],AL83,Table9[EnergyRating (group)],AM83,Table9[CountyName (group)],BB$4)</f>
        <v>0</v>
      </c>
      <c r="BC83" s="1164">
        <f>SUMIFS(Table9[Count of EnergyRating],Table9[MainSpaceHeatingFuel],AL83,Table9[EnergyRating (group)],AM83,Table9[CountyName (group)],BC$4)</f>
        <v>0</v>
      </c>
      <c r="BD83" s="1164">
        <f>SUMIFS(Table9[Count of EnergyRating],Table9[MainSpaceHeatingFuel],AL83,Table9[EnergyRating (group)],AM83,Table9[CountyName (group)],BD$4)</f>
        <v>0</v>
      </c>
      <c r="BE83" s="1164">
        <f>SUMIFS(Table9[Count of EnergyRating],Table9[MainSpaceHeatingFuel],AL83,Table9[EnergyRating (group)],AM83,Table9[CountyName (group)],BE$4)</f>
        <v>0</v>
      </c>
      <c r="BF83" s="1164">
        <f>SUMIFS(Table9[Count of EnergyRating],Table9[MainSpaceHeatingFuel],AL83,Table9[EnergyRating (group)],AM83,Table9[CountyName (group)],BF$4)</f>
        <v>3</v>
      </c>
      <c r="BG83" s="1164">
        <f>SUMIFS(Table9[Count of EnergyRating],Table9[MainSpaceHeatingFuel],AL83,Table9[EnergyRating (group)],AM83,Table9[CountyName (group)],BG$4)</f>
        <v>0</v>
      </c>
      <c r="BH83" s="1164">
        <f>SUMIFS(Table9[Count of EnergyRating],Table9[MainSpaceHeatingFuel],AL83,Table9[EnergyRating (group)],AM83,Table9[CountyName (group)],BH$4)</f>
        <v>0</v>
      </c>
      <c r="BI83" s="1164">
        <f>SUMIFS(Table9[Count of EnergyRating],Table9[MainSpaceHeatingFuel],AL83,Table9[EnergyRating (group)],AM83,Table9[CountyName (group)],BI$4)</f>
        <v>0</v>
      </c>
      <c r="BJ83" s="1164">
        <f>SUMIFS(Table9[Count of EnergyRating],Table9[MainSpaceHeatingFuel],AL83,Table9[EnergyRating (group)],AM83,Table9[CountyName (group)],BJ$4)</f>
        <v>0</v>
      </c>
      <c r="BK83" s="1135">
        <f>SUMIFS(Table9[Count of EnergyRating],Table9[MainSpaceHeatingFuel],AL83,Table9[EnergyRating (group)],AM83,Table9[CountyName (group)],BK$4)</f>
        <v>0</v>
      </c>
      <c r="BL83" s="1164">
        <f>SUMIFS(Table9[Count of EnergyRating],Table9[MainSpaceHeatingFuel],AL83,Table9[EnergyRating (group)],AM83,Table9[CountyName (group)],BL$4)</f>
        <v>0</v>
      </c>
      <c r="BM83" s="1164">
        <f>SUMIFS(Table9[Count of EnergyRating],Table9[MainSpaceHeatingFuel],AL83,Table9[EnergyRating (group)],AM83,Table9[CountyName (group)],BM$4)</f>
        <v>0</v>
      </c>
    </row>
    <row r="84" spans="2:65" ht="15.75" thickBot="1">
      <c r="B84" s="1138" t="s">
        <v>64</v>
      </c>
      <c r="C84" s="1138" t="s">
        <v>1186</v>
      </c>
      <c r="D84" s="1138" t="s">
        <v>1094</v>
      </c>
      <c r="E84" s="1147">
        <f t="shared" ref="E84:AA84" si="220">IFERROR(G200*((SUM(AN$83)/SUM(AN$75:AN$83))/(SUM(G$200)/SUM(G$195:G$200))),G200)</f>
        <v>0</v>
      </c>
      <c r="F84" s="1147">
        <f t="shared" si="220"/>
        <v>4.0723271315192867E-4</v>
      </c>
      <c r="G84" s="1147">
        <f t="shared" si="220"/>
        <v>2.648400200638316E-5</v>
      </c>
      <c r="H84" s="1147">
        <f t="shared" si="220"/>
        <v>1.1530408916318824E-5</v>
      </c>
      <c r="I84" s="1147">
        <f t="shared" si="220"/>
        <v>8.3234650439547471E-6</v>
      </c>
      <c r="J84" s="1147">
        <f t="shared" si="220"/>
        <v>4.2202455074188246E-6</v>
      </c>
      <c r="K84" s="1147">
        <f t="shared" si="220"/>
        <v>1.3479236732589018E-5</v>
      </c>
      <c r="L84" s="1147">
        <f t="shared" si="220"/>
        <v>1.3805512172918474E-5</v>
      </c>
      <c r="M84" s="1147">
        <f t="shared" si="220"/>
        <v>9.8276723377752595E-6</v>
      </c>
      <c r="N84" s="1147">
        <f t="shared" si="220"/>
        <v>1.2421313355000698E-5</v>
      </c>
      <c r="O84" s="1147">
        <f t="shared" si="220"/>
        <v>1.9929530658987792E-5</v>
      </c>
      <c r="P84" s="1147">
        <f t="shared" si="220"/>
        <v>2.7145751287583535E-5</v>
      </c>
      <c r="Q84" s="1147">
        <f t="shared" si="220"/>
        <v>1.9364341524588594E-5</v>
      </c>
      <c r="R84" s="1147">
        <f t="shared" si="220"/>
        <v>1.1124999187917813E-4</v>
      </c>
      <c r="S84" s="1147">
        <f t="shared" si="220"/>
        <v>1.9782576969355435E-5</v>
      </c>
      <c r="T84" s="1147">
        <f t="shared" si="220"/>
        <v>3.318892144988087E-5</v>
      </c>
      <c r="U84" s="1147">
        <f t="shared" si="220"/>
        <v>3.2286912806087988E-5</v>
      </c>
      <c r="V84" s="1147">
        <f t="shared" si="220"/>
        <v>1.8335842067108214E-5</v>
      </c>
      <c r="W84" s="1147">
        <f t="shared" si="220"/>
        <v>7.6973119834770128E-4</v>
      </c>
      <c r="X84" s="1147">
        <f t="shared" si="220"/>
        <v>2.5443083232920791E-6</v>
      </c>
      <c r="Y84" s="1147">
        <f t="shared" si="220"/>
        <v>1.3729434438104943E-5</v>
      </c>
      <c r="Z84" s="1147">
        <f t="shared" si="220"/>
        <v>5.8477548264010925E-6</v>
      </c>
      <c r="AA84" s="1147">
        <f t="shared" si="220"/>
        <v>4.5587119884344736E-6</v>
      </c>
      <c r="AB84" s="1147">
        <f>IFERROR(AD200*((SUM(BK$83)/SUM(BK$75:BK$83))/(SUM(AD$200)/SUM(AD$195:AD$200))),AD200)</f>
        <v>8.7829341904513143E-6</v>
      </c>
      <c r="AC84" s="1147">
        <f>IFERROR(AE200*((SUM(BL$83)/SUM(BL$75:BL$83))/(SUM(AE$200)/SUM(AE$195:AE$200))),AE200)</f>
        <v>1.4235947634758753E-5</v>
      </c>
      <c r="AD84" s="1147">
        <f>IFERROR(AF200*((SUM(BM$83)/SUM(BM$75:BM$83))/(SUM(AF$200)/SUM(AF$195:AF$200))),AF200)</f>
        <v>1.6854344944008109E-5</v>
      </c>
      <c r="AE84" s="1174">
        <f t="shared" si="216"/>
        <v>1.6248930725602103E-3</v>
      </c>
      <c r="AG84" s="58" t="s">
        <v>1163</v>
      </c>
      <c r="AH84" s="1158">
        <f>SUM(E88:AD93)</f>
        <v>0.68801668010737849</v>
      </c>
      <c r="AI84" s="1140">
        <f>'SHWLP-Apt'!S20</f>
        <v>0.68801668010737849</v>
      </c>
      <c r="AJ84" s="1160">
        <f>IFERROR((AI84-AH84)/AI84,"N/A")</f>
        <v>0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</row>
    <row r="85" spans="2:65" ht="15.75" thickBot="1">
      <c r="B85" s="1138" t="s">
        <v>1075</v>
      </c>
      <c r="C85" s="1138" t="s">
        <v>1186</v>
      </c>
      <c r="D85" s="1138" t="s">
        <v>1094</v>
      </c>
      <c r="E85" s="1147">
        <f>SUM(E79:E84)</f>
        <v>1.3211951438948363E-4</v>
      </c>
      <c r="F85" s="1147">
        <f t="shared" ref="F85" si="221">SUM(F79:F84)</f>
        <v>1.280754247096675E-2</v>
      </c>
      <c r="G85" s="1147">
        <f t="shared" ref="G85" si="222">SUM(G79:G84)</f>
        <v>7.6480871483394753E-4</v>
      </c>
      <c r="H85" s="1147">
        <f t="shared" ref="H85" si="223">SUM(H79:H84)</f>
        <v>1.8189964495736257E-4</v>
      </c>
      <c r="I85" s="1147">
        <f t="shared" ref="I85" si="224">SUM(I79:I84)</f>
        <v>1.4904000231556096E-4</v>
      </c>
      <c r="J85" s="1147">
        <f t="shared" ref="J85" si="225">SUM(J79:J84)</f>
        <v>7.1812584941995973E-5</v>
      </c>
      <c r="K85" s="1147">
        <f t="shared" ref="K85" si="226">SUM(K79:K84)</f>
        <v>3.1561332884993401E-4</v>
      </c>
      <c r="L85" s="1147">
        <f t="shared" ref="L85" si="227">SUM(L79:L84)</f>
        <v>5.6203385298804693E-4</v>
      </c>
      <c r="M85" s="1147">
        <f t="shared" ref="M85" si="228">SUM(M79:M84)</f>
        <v>1.2206676364856396E-4</v>
      </c>
      <c r="N85" s="1147">
        <f t="shared" ref="N85" si="229">SUM(N79:N84)</f>
        <v>3.0004932008462638E-4</v>
      </c>
      <c r="O85" s="1147">
        <f t="shared" ref="O85" si="230">SUM(O79:O84)</f>
        <v>2.7720196500697101E-4</v>
      </c>
      <c r="P85" s="1147">
        <f t="shared" ref="P85" si="231">SUM(P79:P84)</f>
        <v>4.6874296325389399E-4</v>
      </c>
      <c r="Q85" s="1147">
        <f t="shared" ref="Q85" si="232">SUM(Q79:Q84)</f>
        <v>2.5874009751572264E-4</v>
      </c>
      <c r="R85" s="1147">
        <f t="shared" ref="R85" si="233">SUM(R79:R84)</f>
        <v>1.8865839961081736E-3</v>
      </c>
      <c r="S85" s="1147">
        <f t="shared" ref="S85" si="234">SUM(S79:S84)</f>
        <v>3.0182653543849161E-4</v>
      </c>
      <c r="T85" s="1147">
        <f t="shared" ref="T85" si="235">SUM(T79:T84)</f>
        <v>7.7491736553079115E-4</v>
      </c>
      <c r="U85" s="1147">
        <f t="shared" ref="U85" si="236">SUM(U79:U84)</f>
        <v>2.4742038155090062E-4</v>
      </c>
      <c r="V85" s="1147">
        <f t="shared" ref="V85" si="237">SUM(V79:V84)</f>
        <v>3.3226807338091591E-4</v>
      </c>
      <c r="W85" s="1147">
        <f t="shared" ref="W85" si="238">SUM(W79:W84)</f>
        <v>1.0263082644636017E-3</v>
      </c>
      <c r="X85" s="1147">
        <f t="shared" ref="X85" si="239">SUM(X79:X84)</f>
        <v>5.6398834499641079E-5</v>
      </c>
      <c r="Y85" s="1147">
        <f t="shared" ref="Y85" si="240">SUM(Y79:Y84)</f>
        <v>2.223985323383715E-4</v>
      </c>
      <c r="Z85" s="1147">
        <f t="shared" ref="Z85" si="241">SUM(Z79:Z84)</f>
        <v>7.0256718108764211E-5</v>
      </c>
      <c r="AA85" s="1147">
        <f t="shared" ref="AA85" si="242">SUM(AA79:AA84)</f>
        <v>1.7408020543572614E-4</v>
      </c>
      <c r="AB85" s="1147">
        <f t="shared" ref="AB85" si="243">SUM(AB79:AB84)</f>
        <v>1.3201234412103449E-4</v>
      </c>
      <c r="AC85" s="1147">
        <f t="shared" ref="AC85" si="244">SUM(AC79:AC84)</f>
        <v>2.4853773876660552E-4</v>
      </c>
      <c r="AD85" s="1147">
        <f t="shared" ref="AD85" si="245">SUM(AD79:AD84)</f>
        <v>1.0672052052992687E-4</v>
      </c>
      <c r="AE85" s="1147">
        <f t="shared" ref="AE85" si="246">SUM(AE79:AE84)</f>
        <v>2.1991400734025803E-2</v>
      </c>
      <c r="AG85" s="58" t="s">
        <v>1107</v>
      </c>
      <c r="AH85" s="1158">
        <f>SUM(E95:AD95)</f>
        <v>0.61553094794626995</v>
      </c>
      <c r="AI85" s="1140">
        <f>'SHWLP-Apt'!S46</f>
        <v>0.61553094794626972</v>
      </c>
      <c r="AJ85" s="1160">
        <f>(AI85-AH85)/AI85</f>
        <v>-3.6073670327363261E-16</v>
      </c>
      <c r="AL85" s="1144" t="s">
        <v>420</v>
      </c>
      <c r="AM85" s="1144" t="s">
        <v>48</v>
      </c>
      <c r="AN85" s="1157">
        <f>SUMIFS(Table9[Count of EnergyRating],Table9[MainSpaceHeatingFuel],AL85,Table9[EnergyRating (group)],AM85,Table9[CountyName (group)],AN$4)</f>
        <v>0</v>
      </c>
      <c r="AO85" s="1164">
        <f>SUMIFS(Table9[Count of EnergyRating],Table9[MainSpaceHeatingFuel],AL85,Table9[EnergyRating (group)],AM85,Table9[CountyName (group)],AO$4)</f>
        <v>0</v>
      </c>
      <c r="AP85" s="1164">
        <f>SUMIFS(Table9[Count of EnergyRating],Table9[MainSpaceHeatingFuel],AL85,Table9[EnergyRating (group)],AM85,Table9[CountyName (group)],AP$4)</f>
        <v>0</v>
      </c>
      <c r="AQ85" s="1164">
        <f>SUMIFS(Table9[Count of EnergyRating],Table9[MainSpaceHeatingFuel],AL85,Table9[EnergyRating (group)],AM85,Table9[CountyName (group)],AQ$4)</f>
        <v>0</v>
      </c>
      <c r="AR85" s="1164">
        <f>SUMIFS(Table9[Count of EnergyRating],Table9[MainSpaceHeatingFuel],AL85,Table9[EnergyRating (group)],AM85,Table9[CountyName (group)],AR$4)</f>
        <v>0</v>
      </c>
      <c r="AS85" s="1164">
        <f>SUMIFS(Table9[Count of EnergyRating],Table9[MainSpaceHeatingFuel],AL85,Table9[EnergyRating (group)],AM85,Table9[CountyName (group)],AS$4)</f>
        <v>0</v>
      </c>
      <c r="AT85" s="1164">
        <f>SUMIFS(Table9[Count of EnergyRating],Table9[MainSpaceHeatingFuel],AL85,Table9[EnergyRating (group)],AM85,Table9[CountyName (group)],AT$4)</f>
        <v>0</v>
      </c>
      <c r="AU85" s="1164">
        <f>SUMIFS(Table9[Count of EnergyRating],Table9[MainSpaceHeatingFuel],AL85,Table9[EnergyRating (group)],AM85,Table9[CountyName (group)],AU$4)</f>
        <v>0</v>
      </c>
      <c r="AV85" s="1164">
        <f>SUMIFS(Table9[Count of EnergyRating],Table9[MainSpaceHeatingFuel],AL85,Table9[EnergyRating (group)],AM85,Table9[CountyName (group)],AV$4)</f>
        <v>0</v>
      </c>
      <c r="AW85" s="1164">
        <f>SUMIFS(Table9[Count of EnergyRating],Table9[MainSpaceHeatingFuel],AL85,Table9[EnergyRating (group)],AM85,Table9[CountyName (group)],AW$4)</f>
        <v>0</v>
      </c>
      <c r="AX85" s="1164">
        <f>SUMIFS(Table9[Count of EnergyRating],Table9[MainSpaceHeatingFuel],AL85,Table9[EnergyRating (group)],AM85,Table9[CountyName (group)],AX$4)</f>
        <v>0</v>
      </c>
      <c r="AY85" s="1164">
        <f>SUMIFS(Table9[Count of EnergyRating],Table9[MainSpaceHeatingFuel],AL85,Table9[EnergyRating (group)],AM85,Table9[CountyName (group)],AY$4)</f>
        <v>0</v>
      </c>
      <c r="AZ85" s="1164">
        <f>SUMIFS(Table9[Count of EnergyRating],Table9[MainSpaceHeatingFuel],AL85,Table9[EnergyRating (group)],AM85,Table9[CountyName (group)],AZ$4)</f>
        <v>0</v>
      </c>
      <c r="BA85" s="1164">
        <f>SUMIFS(Table9[Count of EnergyRating],Table9[MainSpaceHeatingFuel],AL85,Table9[EnergyRating (group)],AM85,Table9[CountyName (group)],BA$4)</f>
        <v>0</v>
      </c>
      <c r="BB85" s="1164">
        <f>SUMIFS(Table9[Count of EnergyRating],Table9[MainSpaceHeatingFuel],AL85,Table9[EnergyRating (group)],AM85,Table9[CountyName (group)],BB$4)</f>
        <v>0</v>
      </c>
      <c r="BC85" s="1164">
        <f>SUMIFS(Table9[Count of EnergyRating],Table9[MainSpaceHeatingFuel],AL85,Table9[EnergyRating (group)],AM85,Table9[CountyName (group)],BC$4)</f>
        <v>0</v>
      </c>
      <c r="BD85" s="1164">
        <f>SUMIFS(Table9[Count of EnergyRating],Table9[MainSpaceHeatingFuel],AL85,Table9[EnergyRating (group)],AM85,Table9[CountyName (group)],BD$4)</f>
        <v>0</v>
      </c>
      <c r="BE85" s="1164">
        <f>SUMIFS(Table9[Count of EnergyRating],Table9[MainSpaceHeatingFuel],AL85,Table9[EnergyRating (group)],AM85,Table9[CountyName (group)],BE$4)</f>
        <v>0</v>
      </c>
      <c r="BF85" s="1164">
        <f>SUMIFS(Table9[Count of EnergyRating],Table9[MainSpaceHeatingFuel],AL85,Table9[EnergyRating (group)],AM85,Table9[CountyName (group)],BF$4)</f>
        <v>0</v>
      </c>
      <c r="BG85" s="1164">
        <f>SUMIFS(Table9[Count of EnergyRating],Table9[MainSpaceHeatingFuel],AL85,Table9[EnergyRating (group)],AM85,Table9[CountyName (group)],BG$4)</f>
        <v>0</v>
      </c>
      <c r="BH85" s="1164">
        <f>SUMIFS(Table9[Count of EnergyRating],Table9[MainSpaceHeatingFuel],AL85,Table9[EnergyRating (group)],AM85,Table9[CountyName (group)],BH$4)</f>
        <v>0</v>
      </c>
      <c r="BI85" s="1164">
        <f>SUMIFS(Table9[Count of EnergyRating],Table9[MainSpaceHeatingFuel],AL85,Table9[EnergyRating (group)],AM85,Table9[CountyName (group)],BI$4)</f>
        <v>0</v>
      </c>
      <c r="BJ85" s="1164">
        <f>SUMIFS(Table9[Count of EnergyRating],Table9[MainSpaceHeatingFuel],AL85,Table9[EnergyRating (group)],AM85,Table9[CountyName (group)],BJ$4)</f>
        <v>0</v>
      </c>
      <c r="BK85" s="1135">
        <f>SUMIFS(Table9[Count of EnergyRating],Table9[MainSpaceHeatingFuel],AL85,Table9[EnergyRating (group)],AM85,Table9[CountyName (group)],BK$4)</f>
        <v>0</v>
      </c>
      <c r="BL85" s="1164">
        <f>SUMIFS(Table9[Count of EnergyRating],Table9[MainSpaceHeatingFuel],AL85,Table9[EnergyRating (group)],AM85,Table9[CountyName (group)],BL$4)</f>
        <v>0</v>
      </c>
      <c r="BM85" s="1164">
        <f>SUMIFS(Table9[Count of EnergyRating],Table9[MainSpaceHeatingFuel],AL85,Table9[EnergyRating (group)],AM85,Table9[CountyName (group)],BM$4)</f>
        <v>0</v>
      </c>
    </row>
    <row r="86" spans="2:65" ht="13.5" thickBot="1">
      <c r="B86" s="1165"/>
      <c r="C86" s="1165" t="s">
        <v>1187</v>
      </c>
      <c r="D86" s="1165" t="s">
        <v>1094</v>
      </c>
      <c r="E86" s="1166">
        <f t="shared" ref="E86:AA86" si="247">G201</f>
        <v>1.2326583303768845E-4</v>
      </c>
      <c r="F86" s="1166">
        <f t="shared" si="247"/>
        <v>1.1949274860299926E-2</v>
      </c>
      <c r="G86" s="1166">
        <f t="shared" si="247"/>
        <v>7.1355684119888405E-4</v>
      </c>
      <c r="H86" s="1166">
        <f t="shared" si="247"/>
        <v>1.6971006416833902E-4</v>
      </c>
      <c r="I86" s="1166">
        <f t="shared" si="247"/>
        <v>1.3905243389865927E-4</v>
      </c>
      <c r="J86" s="1166">
        <f t="shared" si="247"/>
        <v>6.7000231921602422E-5</v>
      </c>
      <c r="K86" s="1166">
        <f t="shared" si="247"/>
        <v>2.9446323715508373E-4</v>
      </c>
      <c r="L86" s="1166">
        <f t="shared" si="247"/>
        <v>5.2437046415202229E-4</v>
      </c>
      <c r="M86" s="1166">
        <f t="shared" si="247"/>
        <v>1.1388674395969878E-4</v>
      </c>
      <c r="N86" s="1166">
        <f t="shared" si="247"/>
        <v>2.7994221416520335E-4</v>
      </c>
      <c r="O86" s="1166">
        <f t="shared" si="247"/>
        <v>2.5862592134223169E-4</v>
      </c>
      <c r="P86" s="1166">
        <f t="shared" si="247"/>
        <v>4.3733124597864067E-4</v>
      </c>
      <c r="Q86" s="1166">
        <f t="shared" si="247"/>
        <v>2.4140123287545902E-4</v>
      </c>
      <c r="R86" s="1166">
        <f t="shared" si="247"/>
        <v>1.7601589662999521E-3</v>
      </c>
      <c r="S86" s="1166">
        <f t="shared" si="247"/>
        <v>2.8160033357393623E-4</v>
      </c>
      <c r="T86" s="1166">
        <f t="shared" si="247"/>
        <v>7.2298808422752636E-4</v>
      </c>
      <c r="U86" s="1166">
        <f t="shared" si="247"/>
        <v>2.3084008129537961E-4</v>
      </c>
      <c r="V86" s="1166">
        <f t="shared" si="247"/>
        <v>3.1000190279526548E-4</v>
      </c>
      <c r="W86" s="1166">
        <f t="shared" si="247"/>
        <v>9.5753260793577288E-4</v>
      </c>
      <c r="X86" s="1166">
        <f t="shared" si="247"/>
        <v>5.2619398043339648E-5</v>
      </c>
      <c r="Y86" s="1166">
        <f t="shared" si="247"/>
        <v>2.0749501299431621E-4</v>
      </c>
      <c r="Z86" s="1166">
        <f t="shared" si="247"/>
        <v>6.5548627878246306E-5</v>
      </c>
      <c r="AA86" s="1166">
        <f t="shared" si="247"/>
        <v>1.6241462616301241E-4</v>
      </c>
      <c r="AB86" s="1166">
        <f>AD201</f>
        <v>1.2316584453501869E-4</v>
      </c>
      <c r="AC86" s="1166">
        <f>AE201</f>
        <v>2.3188256142127919E-4</v>
      </c>
      <c r="AD86" s="1166">
        <f>AF201</f>
        <v>9.9568893559180905E-5</v>
      </c>
      <c r="AE86" s="1175">
        <f t="shared" si="216"/>
        <v>2.0517698264875664E-2</v>
      </c>
      <c r="AG86" s="1164"/>
      <c r="AL86" s="1144" t="s">
        <v>420</v>
      </c>
      <c r="AM86" s="1144" t="s">
        <v>50</v>
      </c>
      <c r="AN86" s="1157">
        <f>SUMIFS(Table9[Count of EnergyRating],Table9[MainSpaceHeatingFuel],AL86,Table9[EnergyRating (group)],AM86,Table9[CountyName (group)],AN$4)</f>
        <v>0</v>
      </c>
      <c r="AO86" s="1164">
        <f>SUMIFS(Table9[Count of EnergyRating],Table9[MainSpaceHeatingFuel],AL86,Table9[EnergyRating (group)],AM86,Table9[CountyName (group)],AO$4)</f>
        <v>0</v>
      </c>
      <c r="AP86" s="1164">
        <f>SUMIFS(Table9[Count of EnergyRating],Table9[MainSpaceHeatingFuel],AL86,Table9[EnergyRating (group)],AM86,Table9[CountyName (group)],AP$4)</f>
        <v>0</v>
      </c>
      <c r="AQ86" s="1164">
        <f>SUMIFS(Table9[Count of EnergyRating],Table9[MainSpaceHeatingFuel],AL86,Table9[EnergyRating (group)],AM86,Table9[CountyName (group)],AQ$4)</f>
        <v>0</v>
      </c>
      <c r="AR86" s="1164">
        <f>SUMIFS(Table9[Count of EnergyRating],Table9[MainSpaceHeatingFuel],AL86,Table9[EnergyRating (group)],AM86,Table9[CountyName (group)],AR$4)</f>
        <v>0</v>
      </c>
      <c r="AS86" s="1164">
        <f>SUMIFS(Table9[Count of EnergyRating],Table9[MainSpaceHeatingFuel],AL86,Table9[EnergyRating (group)],AM86,Table9[CountyName (group)],AS$4)</f>
        <v>0</v>
      </c>
      <c r="AT86" s="1164">
        <f>SUMIFS(Table9[Count of EnergyRating],Table9[MainSpaceHeatingFuel],AL86,Table9[EnergyRating (group)],AM86,Table9[CountyName (group)],AT$4)</f>
        <v>0</v>
      </c>
      <c r="AU86" s="1164">
        <f>SUMIFS(Table9[Count of EnergyRating],Table9[MainSpaceHeatingFuel],AL86,Table9[EnergyRating (group)],AM86,Table9[CountyName (group)],AU$4)</f>
        <v>0</v>
      </c>
      <c r="AV86" s="1164">
        <f>SUMIFS(Table9[Count of EnergyRating],Table9[MainSpaceHeatingFuel],AL86,Table9[EnergyRating (group)],AM86,Table9[CountyName (group)],AV$4)</f>
        <v>0</v>
      </c>
      <c r="AW86" s="1164">
        <f>SUMIFS(Table9[Count of EnergyRating],Table9[MainSpaceHeatingFuel],AL86,Table9[EnergyRating (group)],AM86,Table9[CountyName (group)],AW$4)</f>
        <v>0</v>
      </c>
      <c r="AX86" s="1164">
        <f>SUMIFS(Table9[Count of EnergyRating],Table9[MainSpaceHeatingFuel],AL86,Table9[EnergyRating (group)],AM86,Table9[CountyName (group)],AX$4)</f>
        <v>0</v>
      </c>
      <c r="AY86" s="1164">
        <f>SUMIFS(Table9[Count of EnergyRating],Table9[MainSpaceHeatingFuel],AL86,Table9[EnergyRating (group)],AM86,Table9[CountyName (group)],AY$4)</f>
        <v>0</v>
      </c>
      <c r="AZ86" s="1164">
        <f>SUMIFS(Table9[Count of EnergyRating],Table9[MainSpaceHeatingFuel],AL86,Table9[EnergyRating (group)],AM86,Table9[CountyName (group)],AZ$4)</f>
        <v>0</v>
      </c>
      <c r="BA86" s="1164">
        <f>SUMIFS(Table9[Count of EnergyRating],Table9[MainSpaceHeatingFuel],AL86,Table9[EnergyRating (group)],AM86,Table9[CountyName (group)],BA$4)</f>
        <v>0</v>
      </c>
      <c r="BB86" s="1164">
        <f>SUMIFS(Table9[Count of EnergyRating],Table9[MainSpaceHeatingFuel],AL86,Table9[EnergyRating (group)],AM86,Table9[CountyName (group)],BB$4)</f>
        <v>0</v>
      </c>
      <c r="BC86" s="1164">
        <f>SUMIFS(Table9[Count of EnergyRating],Table9[MainSpaceHeatingFuel],AL86,Table9[EnergyRating (group)],AM86,Table9[CountyName (group)],BC$4)</f>
        <v>0</v>
      </c>
      <c r="BD86" s="1164">
        <f>SUMIFS(Table9[Count of EnergyRating],Table9[MainSpaceHeatingFuel],AL86,Table9[EnergyRating (group)],AM86,Table9[CountyName (group)],BD$4)</f>
        <v>0</v>
      </c>
      <c r="BE86" s="1164">
        <f>SUMIFS(Table9[Count of EnergyRating],Table9[MainSpaceHeatingFuel],AL86,Table9[EnergyRating (group)],AM86,Table9[CountyName (group)],BE$4)</f>
        <v>0</v>
      </c>
      <c r="BF86" s="1164">
        <f>SUMIFS(Table9[Count of EnergyRating],Table9[MainSpaceHeatingFuel],AL86,Table9[EnergyRating (group)],AM86,Table9[CountyName (group)],BF$4)</f>
        <v>0</v>
      </c>
      <c r="BG86" s="1164">
        <f>SUMIFS(Table9[Count of EnergyRating],Table9[MainSpaceHeatingFuel],AL86,Table9[EnergyRating (group)],AM86,Table9[CountyName (group)],BG$4)</f>
        <v>0</v>
      </c>
      <c r="BH86" s="1164">
        <f>SUMIFS(Table9[Count of EnergyRating],Table9[MainSpaceHeatingFuel],AL86,Table9[EnergyRating (group)],AM86,Table9[CountyName (group)],BH$4)</f>
        <v>0</v>
      </c>
      <c r="BI86" s="1164">
        <f>SUMIFS(Table9[Count of EnergyRating],Table9[MainSpaceHeatingFuel],AL86,Table9[EnergyRating (group)],AM86,Table9[CountyName (group)],BI$4)</f>
        <v>0</v>
      </c>
      <c r="BJ86" s="1164">
        <f>SUMIFS(Table9[Count of EnergyRating],Table9[MainSpaceHeatingFuel],AL86,Table9[EnergyRating (group)],AM86,Table9[CountyName (group)],BJ$4)</f>
        <v>0</v>
      </c>
      <c r="BK86" s="1135">
        <f>SUMIFS(Table9[Count of EnergyRating],Table9[MainSpaceHeatingFuel],AL86,Table9[EnergyRating (group)],AM86,Table9[CountyName (group)],BK$4)</f>
        <v>0</v>
      </c>
      <c r="BL86" s="1164">
        <f>SUMIFS(Table9[Count of EnergyRating],Table9[MainSpaceHeatingFuel],AL86,Table9[EnergyRating (group)],AM86,Table9[CountyName (group)],BL$4)</f>
        <v>0</v>
      </c>
      <c r="BM86" s="1164">
        <f>SUMIFS(Table9[Count of EnergyRating],Table9[MainSpaceHeatingFuel],AL86,Table9[EnergyRating (group)],AM86,Table9[CountyName (group)],BM$4)</f>
        <v>0</v>
      </c>
    </row>
    <row r="87" spans="2:65" ht="15">
      <c r="B87" s="1137"/>
      <c r="C87" s="1137" t="s">
        <v>1204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G87" s="1164"/>
      <c r="AL87" s="1144" t="s">
        <v>420</v>
      </c>
      <c r="AM87" s="1144" t="s">
        <v>52</v>
      </c>
      <c r="AN87" s="1157">
        <f>SUMIFS(Table9[Count of EnergyRating],Table9[MainSpaceHeatingFuel],AL87,Table9[EnergyRating (group)],AM87,Table9[CountyName (group)],AN$4)</f>
        <v>0</v>
      </c>
      <c r="AO87" s="1164">
        <f>SUMIFS(Table9[Count of EnergyRating],Table9[MainSpaceHeatingFuel],AL87,Table9[EnergyRating (group)],AM87,Table9[CountyName (group)],AO$4)</f>
        <v>0</v>
      </c>
      <c r="AP87" s="1164">
        <f>SUMIFS(Table9[Count of EnergyRating],Table9[MainSpaceHeatingFuel],AL87,Table9[EnergyRating (group)],AM87,Table9[CountyName (group)],AP$4)</f>
        <v>0</v>
      </c>
      <c r="AQ87" s="1164">
        <f>SUMIFS(Table9[Count of EnergyRating],Table9[MainSpaceHeatingFuel],AL87,Table9[EnergyRating (group)],AM87,Table9[CountyName (group)],AQ$4)</f>
        <v>0</v>
      </c>
      <c r="AR87" s="1164">
        <f>SUMIFS(Table9[Count of EnergyRating],Table9[MainSpaceHeatingFuel],AL87,Table9[EnergyRating (group)],AM87,Table9[CountyName (group)],AR$4)</f>
        <v>0</v>
      </c>
      <c r="AS87" s="1164">
        <f>SUMIFS(Table9[Count of EnergyRating],Table9[MainSpaceHeatingFuel],AL87,Table9[EnergyRating (group)],AM87,Table9[CountyName (group)],AS$4)</f>
        <v>0</v>
      </c>
      <c r="AT87" s="1164">
        <f>SUMIFS(Table9[Count of EnergyRating],Table9[MainSpaceHeatingFuel],AL87,Table9[EnergyRating (group)],AM87,Table9[CountyName (group)],AT$4)</f>
        <v>0</v>
      </c>
      <c r="AU87" s="1164">
        <f>SUMIFS(Table9[Count of EnergyRating],Table9[MainSpaceHeatingFuel],AL87,Table9[EnergyRating (group)],AM87,Table9[CountyName (group)],AU$4)</f>
        <v>0</v>
      </c>
      <c r="AV87" s="1164">
        <f>SUMIFS(Table9[Count of EnergyRating],Table9[MainSpaceHeatingFuel],AL87,Table9[EnergyRating (group)],AM87,Table9[CountyName (group)],AV$4)</f>
        <v>0</v>
      </c>
      <c r="AW87" s="1164">
        <f>SUMIFS(Table9[Count of EnergyRating],Table9[MainSpaceHeatingFuel],AL87,Table9[EnergyRating (group)],AM87,Table9[CountyName (group)],AW$4)</f>
        <v>0</v>
      </c>
      <c r="AX87" s="1164">
        <f>SUMIFS(Table9[Count of EnergyRating],Table9[MainSpaceHeatingFuel],AL87,Table9[EnergyRating (group)],AM87,Table9[CountyName (group)],AX$4)</f>
        <v>0</v>
      </c>
      <c r="AY87" s="1164">
        <f>SUMIFS(Table9[Count of EnergyRating],Table9[MainSpaceHeatingFuel],AL87,Table9[EnergyRating (group)],AM87,Table9[CountyName (group)],AY$4)</f>
        <v>0</v>
      </c>
      <c r="AZ87" s="1164">
        <f>SUMIFS(Table9[Count of EnergyRating],Table9[MainSpaceHeatingFuel],AL87,Table9[EnergyRating (group)],AM87,Table9[CountyName (group)],AZ$4)</f>
        <v>0</v>
      </c>
      <c r="BA87" s="1164">
        <f>SUMIFS(Table9[Count of EnergyRating],Table9[MainSpaceHeatingFuel],AL87,Table9[EnergyRating (group)],AM87,Table9[CountyName (group)],BA$4)</f>
        <v>0</v>
      </c>
      <c r="BB87" s="1164">
        <f>SUMIFS(Table9[Count of EnergyRating],Table9[MainSpaceHeatingFuel],AL87,Table9[EnergyRating (group)],AM87,Table9[CountyName (group)],BB$4)</f>
        <v>0</v>
      </c>
      <c r="BC87" s="1164">
        <f>SUMIFS(Table9[Count of EnergyRating],Table9[MainSpaceHeatingFuel],AL87,Table9[EnergyRating (group)],AM87,Table9[CountyName (group)],BC$4)</f>
        <v>0</v>
      </c>
      <c r="BD87" s="1164">
        <f>SUMIFS(Table9[Count of EnergyRating],Table9[MainSpaceHeatingFuel],AL87,Table9[EnergyRating (group)],AM87,Table9[CountyName (group)],BD$4)</f>
        <v>0</v>
      </c>
      <c r="BE87" s="1164">
        <f>SUMIFS(Table9[Count of EnergyRating],Table9[MainSpaceHeatingFuel],AL87,Table9[EnergyRating (group)],AM87,Table9[CountyName (group)],BE$4)</f>
        <v>0</v>
      </c>
      <c r="BF87" s="1164">
        <f>SUMIFS(Table9[Count of EnergyRating],Table9[MainSpaceHeatingFuel],AL87,Table9[EnergyRating (group)],AM87,Table9[CountyName (group)],BF$4)</f>
        <v>0</v>
      </c>
      <c r="BG87" s="1164">
        <f>SUMIFS(Table9[Count of EnergyRating],Table9[MainSpaceHeatingFuel],AL87,Table9[EnergyRating (group)],AM87,Table9[CountyName (group)],BG$4)</f>
        <v>0</v>
      </c>
      <c r="BH87" s="1164">
        <f>SUMIFS(Table9[Count of EnergyRating],Table9[MainSpaceHeatingFuel],AL87,Table9[EnergyRating (group)],AM87,Table9[CountyName (group)],BH$4)</f>
        <v>0</v>
      </c>
      <c r="BI87" s="1164">
        <f>SUMIFS(Table9[Count of EnergyRating],Table9[MainSpaceHeatingFuel],AL87,Table9[EnergyRating (group)],AM87,Table9[CountyName (group)],BI$4)</f>
        <v>0</v>
      </c>
      <c r="BJ87" s="1164">
        <f>SUMIFS(Table9[Count of EnergyRating],Table9[MainSpaceHeatingFuel],AL87,Table9[EnergyRating (group)],AM87,Table9[CountyName (group)],BJ$4)</f>
        <v>0</v>
      </c>
      <c r="BK87" s="1135">
        <f>SUMIFS(Table9[Count of EnergyRating],Table9[MainSpaceHeatingFuel],AL87,Table9[EnergyRating (group)],AM87,Table9[CountyName (group)],BK$4)</f>
        <v>0</v>
      </c>
      <c r="BL87" s="1164">
        <f>SUMIFS(Table9[Count of EnergyRating],Table9[MainSpaceHeatingFuel],AL87,Table9[EnergyRating (group)],AM87,Table9[CountyName (group)],BL$4)</f>
        <v>0</v>
      </c>
      <c r="BM87" s="1164">
        <f>SUMIFS(Table9[Count of EnergyRating],Table9[MainSpaceHeatingFuel],AL87,Table9[EnergyRating (group)],AM87,Table9[CountyName (group)],BM$4)</f>
        <v>0</v>
      </c>
    </row>
    <row r="88" spans="2:65">
      <c r="B88" s="1134" t="s">
        <v>1259</v>
      </c>
      <c r="C88" s="1134" t="s">
        <v>1188</v>
      </c>
      <c r="D88" s="1134" t="s">
        <v>1094</v>
      </c>
      <c r="E88" s="1145">
        <f t="shared" ref="E88:AA88" si="248">IFERROR(G203*((SUM(AN$85:AN$88)/SUM(AN$85:AN$93))/(SUM(G$203)/SUM(G$203:G$208))),G203)</f>
        <v>0</v>
      </c>
      <c r="F88" s="1145">
        <f t="shared" si="248"/>
        <v>0</v>
      </c>
      <c r="G88" s="1145">
        <f t="shared" si="248"/>
        <v>4.2178142994830628E-3</v>
      </c>
      <c r="H88" s="1145">
        <f t="shared" si="248"/>
        <v>1.0389672429620437E-3</v>
      </c>
      <c r="I88" s="1145">
        <f t="shared" si="248"/>
        <v>0</v>
      </c>
      <c r="J88" s="1145">
        <f t="shared" si="248"/>
        <v>1.6135703810557102E-4</v>
      </c>
      <c r="K88" s="1145">
        <f t="shared" si="248"/>
        <v>0</v>
      </c>
      <c r="L88" s="1145">
        <f t="shared" si="248"/>
        <v>0</v>
      </c>
      <c r="M88" s="1145">
        <f t="shared" si="248"/>
        <v>3.1896078351123898E-4</v>
      </c>
      <c r="N88" s="1145">
        <f t="shared" si="248"/>
        <v>1.5071169582667981E-3</v>
      </c>
      <c r="O88" s="1145">
        <f t="shared" si="248"/>
        <v>7.7867004049401425E-4</v>
      </c>
      <c r="P88" s="1145">
        <f t="shared" si="248"/>
        <v>3.8050902190026542E-3</v>
      </c>
      <c r="Q88" s="1145">
        <f t="shared" si="248"/>
        <v>8.6254476098227169E-4</v>
      </c>
      <c r="R88" s="1145">
        <f t="shared" si="248"/>
        <v>1.3414347245054874E-3</v>
      </c>
      <c r="S88" s="1145">
        <f t="shared" si="248"/>
        <v>1.1323357523411524E-3</v>
      </c>
      <c r="T88" s="1145">
        <f t="shared" si="248"/>
        <v>0</v>
      </c>
      <c r="U88" s="1145">
        <f t="shared" si="248"/>
        <v>4.690826462858721E-4</v>
      </c>
      <c r="V88" s="1145">
        <f t="shared" si="248"/>
        <v>0</v>
      </c>
      <c r="W88" s="1145">
        <f t="shared" si="248"/>
        <v>0</v>
      </c>
      <c r="X88" s="1145">
        <f t="shared" si="248"/>
        <v>0</v>
      </c>
      <c r="Y88" s="1145">
        <f t="shared" si="248"/>
        <v>6.0435598559530892E-4</v>
      </c>
      <c r="Z88" s="1145">
        <f t="shared" si="248"/>
        <v>0</v>
      </c>
      <c r="AA88" s="1145">
        <f t="shared" si="248"/>
        <v>0</v>
      </c>
      <c r="AB88" s="1145">
        <f>IFERROR(AD203*((SUM(BK$85:BK$88)/SUM(BK$85:BK$93))/(SUM(AD$203)/SUM(AD$203:AD$208))),AD203)</f>
        <v>0</v>
      </c>
      <c r="AC88" s="1145">
        <f>IFERROR(AE203*((SUM(BL$85:BL$88)/SUM(BL$85:BL$93))/(SUM(AE$203)/SUM(AE$203:AE$208))),AE203)</f>
        <v>1.1654726134199091E-3</v>
      </c>
      <c r="AD88" s="1145">
        <f>IFERROR(AF203*((SUM(BM$85:BM$88)/SUM(BM$85:BM$93))/(SUM(AF$203)/SUM(AF$203:AF$208))),AF203)</f>
        <v>0</v>
      </c>
      <c r="AE88" s="1172">
        <f t="shared" si="216"/>
        <v>1.7403203064955384E-2</v>
      </c>
      <c r="AG88" s="1164"/>
      <c r="AL88" s="1144" t="s">
        <v>420</v>
      </c>
      <c r="AM88" s="1144" t="s">
        <v>54</v>
      </c>
      <c r="AN88" s="1157">
        <f>SUMIFS(Table9[Count of EnergyRating],Table9[MainSpaceHeatingFuel],AL88,Table9[EnergyRating (group)],AM88,Table9[CountyName (group)],AN$4)</f>
        <v>0</v>
      </c>
      <c r="AO88" s="1164">
        <f>SUMIFS(Table9[Count of EnergyRating],Table9[MainSpaceHeatingFuel],AL88,Table9[EnergyRating (group)],AM88,Table9[CountyName (group)],AO$4)</f>
        <v>0</v>
      </c>
      <c r="AP88" s="1164">
        <f>SUMIFS(Table9[Count of EnergyRating],Table9[MainSpaceHeatingFuel],AL88,Table9[EnergyRating (group)],AM88,Table9[CountyName (group)],AP$4)</f>
        <v>0</v>
      </c>
      <c r="AQ88" s="1164">
        <f>SUMIFS(Table9[Count of EnergyRating],Table9[MainSpaceHeatingFuel],AL88,Table9[EnergyRating (group)],AM88,Table9[CountyName (group)],AQ$4)</f>
        <v>0</v>
      </c>
      <c r="AR88" s="1164">
        <f>SUMIFS(Table9[Count of EnergyRating],Table9[MainSpaceHeatingFuel],AL88,Table9[EnergyRating (group)],AM88,Table9[CountyName (group)],AR$4)</f>
        <v>0</v>
      </c>
      <c r="AS88" s="1164">
        <f>SUMIFS(Table9[Count of EnergyRating],Table9[MainSpaceHeatingFuel],AL88,Table9[EnergyRating (group)],AM88,Table9[CountyName (group)],AS$4)</f>
        <v>0</v>
      </c>
      <c r="AT88" s="1164">
        <f>SUMIFS(Table9[Count of EnergyRating],Table9[MainSpaceHeatingFuel],AL88,Table9[EnergyRating (group)],AM88,Table9[CountyName (group)],AT$4)</f>
        <v>0</v>
      </c>
      <c r="AU88" s="1164">
        <f>SUMIFS(Table9[Count of EnergyRating],Table9[MainSpaceHeatingFuel],AL88,Table9[EnergyRating (group)],AM88,Table9[CountyName (group)],AU$4)</f>
        <v>0</v>
      </c>
      <c r="AV88" s="1164">
        <f>SUMIFS(Table9[Count of EnergyRating],Table9[MainSpaceHeatingFuel],AL88,Table9[EnergyRating (group)],AM88,Table9[CountyName (group)],AV$4)</f>
        <v>0</v>
      </c>
      <c r="AW88" s="1164">
        <f>SUMIFS(Table9[Count of EnergyRating],Table9[MainSpaceHeatingFuel],AL88,Table9[EnergyRating (group)],AM88,Table9[CountyName (group)],AW$4)</f>
        <v>0</v>
      </c>
      <c r="AX88" s="1164">
        <f>SUMIFS(Table9[Count of EnergyRating],Table9[MainSpaceHeatingFuel],AL88,Table9[EnergyRating (group)],AM88,Table9[CountyName (group)],AX$4)</f>
        <v>0</v>
      </c>
      <c r="AY88" s="1164">
        <f>SUMIFS(Table9[Count of EnergyRating],Table9[MainSpaceHeatingFuel],AL88,Table9[EnergyRating (group)],AM88,Table9[CountyName (group)],AY$4)</f>
        <v>0</v>
      </c>
      <c r="AZ88" s="1164">
        <f>SUMIFS(Table9[Count of EnergyRating],Table9[MainSpaceHeatingFuel],AL88,Table9[EnergyRating (group)],AM88,Table9[CountyName (group)],AZ$4)</f>
        <v>0</v>
      </c>
      <c r="BA88" s="1164">
        <f>SUMIFS(Table9[Count of EnergyRating],Table9[MainSpaceHeatingFuel],AL88,Table9[EnergyRating (group)],AM88,Table9[CountyName (group)],BA$4)</f>
        <v>1</v>
      </c>
      <c r="BB88" s="1164">
        <f>SUMIFS(Table9[Count of EnergyRating],Table9[MainSpaceHeatingFuel],AL88,Table9[EnergyRating (group)],AM88,Table9[CountyName (group)],BB$4)</f>
        <v>0</v>
      </c>
      <c r="BC88" s="1164">
        <f>SUMIFS(Table9[Count of EnergyRating],Table9[MainSpaceHeatingFuel],AL88,Table9[EnergyRating (group)],AM88,Table9[CountyName (group)],BC$4)</f>
        <v>0</v>
      </c>
      <c r="BD88" s="1164">
        <f>SUMIFS(Table9[Count of EnergyRating],Table9[MainSpaceHeatingFuel],AL88,Table9[EnergyRating (group)],AM88,Table9[CountyName (group)],BD$4)</f>
        <v>0</v>
      </c>
      <c r="BE88" s="1164">
        <f>SUMIFS(Table9[Count of EnergyRating],Table9[MainSpaceHeatingFuel],AL88,Table9[EnergyRating (group)],AM88,Table9[CountyName (group)],BE$4)</f>
        <v>0</v>
      </c>
      <c r="BF88" s="1164">
        <f>SUMIFS(Table9[Count of EnergyRating],Table9[MainSpaceHeatingFuel],AL88,Table9[EnergyRating (group)],AM88,Table9[CountyName (group)],BF$4)</f>
        <v>0</v>
      </c>
      <c r="BG88" s="1164">
        <f>SUMIFS(Table9[Count of EnergyRating],Table9[MainSpaceHeatingFuel],AL88,Table9[EnergyRating (group)],AM88,Table9[CountyName (group)],BG$4)</f>
        <v>0</v>
      </c>
      <c r="BH88" s="1164">
        <f>SUMIFS(Table9[Count of EnergyRating],Table9[MainSpaceHeatingFuel],AL88,Table9[EnergyRating (group)],AM88,Table9[CountyName (group)],BH$4)</f>
        <v>0</v>
      </c>
      <c r="BI88" s="1164">
        <f>SUMIFS(Table9[Count of EnergyRating],Table9[MainSpaceHeatingFuel],AL88,Table9[EnergyRating (group)],AM88,Table9[CountyName (group)],BI$4)</f>
        <v>0</v>
      </c>
      <c r="BJ88" s="1164">
        <f>SUMIFS(Table9[Count of EnergyRating],Table9[MainSpaceHeatingFuel],AL88,Table9[EnergyRating (group)],AM88,Table9[CountyName (group)],BJ$4)</f>
        <v>0</v>
      </c>
      <c r="BK88" s="1135">
        <f>SUMIFS(Table9[Count of EnergyRating],Table9[MainSpaceHeatingFuel],AL88,Table9[EnergyRating (group)],AM88,Table9[CountyName (group)],BK$4)</f>
        <v>0</v>
      </c>
      <c r="BL88" s="1164">
        <f>SUMIFS(Table9[Count of EnergyRating],Table9[MainSpaceHeatingFuel],AL88,Table9[EnergyRating (group)],AM88,Table9[CountyName (group)],BL$4)</f>
        <v>0</v>
      </c>
      <c r="BM88" s="1164">
        <f>SUMIFS(Table9[Count of EnergyRating],Table9[MainSpaceHeatingFuel],AL88,Table9[EnergyRating (group)],AM88,Table9[CountyName (group)],BM$4)</f>
        <v>0</v>
      </c>
    </row>
    <row r="89" spans="2:65">
      <c r="B89" s="1136" t="s">
        <v>56</v>
      </c>
      <c r="C89" s="1136" t="s">
        <v>1188</v>
      </c>
      <c r="D89" s="1136" t="s">
        <v>1094</v>
      </c>
      <c r="E89" s="1146">
        <f t="shared" ref="E89:AA89" si="249">IFERROR(G204*((SUM(AN$89)/SUM(AN$85:AN$93))/(SUM(G$204)/SUM(G$203:G$208))),G204)</f>
        <v>2.0667266893783509E-3</v>
      </c>
      <c r="F89" s="1146">
        <f t="shared" si="249"/>
        <v>1.8213323384037128E-2</v>
      </c>
      <c r="G89" s="1146">
        <f t="shared" si="249"/>
        <v>9.5569412954462675E-3</v>
      </c>
      <c r="H89" s="1146">
        <f t="shared" si="249"/>
        <v>2.3474830809505041E-3</v>
      </c>
      <c r="I89" s="1146">
        <f t="shared" si="249"/>
        <v>0</v>
      </c>
      <c r="J89" s="1146">
        <f t="shared" si="249"/>
        <v>6.1745028913374339E-4</v>
      </c>
      <c r="K89" s="1146">
        <f t="shared" si="249"/>
        <v>0</v>
      </c>
      <c r="L89" s="1146">
        <f t="shared" si="249"/>
        <v>0</v>
      </c>
      <c r="M89" s="1146">
        <f t="shared" si="249"/>
        <v>1.0453835461010654E-3</v>
      </c>
      <c r="N89" s="1146">
        <f t="shared" si="249"/>
        <v>2.8454862931858024E-3</v>
      </c>
      <c r="O89" s="1146">
        <f t="shared" si="249"/>
        <v>2.3901201411743217E-3</v>
      </c>
      <c r="P89" s="1146">
        <f t="shared" si="249"/>
        <v>5.0414363204335606E-3</v>
      </c>
      <c r="Q89" s="1146">
        <f t="shared" si="249"/>
        <v>2.4901589292171448E-3</v>
      </c>
      <c r="R89" s="1146">
        <f t="shared" si="249"/>
        <v>0</v>
      </c>
      <c r="S89" s="1146">
        <f t="shared" si="249"/>
        <v>3.171924260854329E-3</v>
      </c>
      <c r="T89" s="1146">
        <f t="shared" si="249"/>
        <v>0</v>
      </c>
      <c r="U89" s="1146">
        <f t="shared" si="249"/>
        <v>1.5334338588144437E-3</v>
      </c>
      <c r="V89" s="1146">
        <f t="shared" si="249"/>
        <v>0</v>
      </c>
      <c r="W89" s="1146">
        <f t="shared" si="249"/>
        <v>0</v>
      </c>
      <c r="X89" s="1146">
        <f t="shared" si="249"/>
        <v>0</v>
      </c>
      <c r="Y89" s="1146">
        <f t="shared" si="249"/>
        <v>2.0671379725871754E-3</v>
      </c>
      <c r="Z89" s="1146">
        <f t="shared" si="249"/>
        <v>1.9982105540025151E-4</v>
      </c>
      <c r="AA89" s="1146">
        <f t="shared" si="249"/>
        <v>7.7803193858008203E-4</v>
      </c>
      <c r="AB89" s="1146">
        <f>IFERROR(AD204*((SUM(BK$89)/SUM(BK$85:BK$93))/(SUM(AD$204)/SUM(AD$203:AD$208))),AD204)</f>
        <v>0</v>
      </c>
      <c r="AC89" s="1146">
        <f>IFERROR(AE204*((SUM(BL$89)/SUM(BL$85:BL$93))/(SUM(AE$204)/SUM(AE$203:AE$208))),AE204)</f>
        <v>2.9172507263828134E-3</v>
      </c>
      <c r="AD89" s="1146">
        <f>IFERROR(AF204*((SUM(BM$89)/SUM(BM$85:BM$93))/(SUM(AF$204)/SUM(AF$203:AF$208))),AF204)</f>
        <v>0</v>
      </c>
      <c r="AE89" s="1173">
        <f t="shared" si="216"/>
        <v>5.7282109781676978E-2</v>
      </c>
      <c r="AG89" s="1164"/>
      <c r="AL89" s="1144" t="s">
        <v>420</v>
      </c>
      <c r="AM89" s="1144" t="s">
        <v>56</v>
      </c>
      <c r="AN89" s="1157">
        <f>SUMIFS(Table9[Count of EnergyRating],Table9[MainSpaceHeatingFuel],AL89,Table9[EnergyRating (group)],AM89,Table9[CountyName (group)],AN$4)</f>
        <v>2</v>
      </c>
      <c r="AO89" s="1164">
        <f>SUMIFS(Table9[Count of EnergyRating],Table9[MainSpaceHeatingFuel],AL89,Table9[EnergyRating (group)],AM89,Table9[CountyName (group)],AO$4)</f>
        <v>1</v>
      </c>
      <c r="AP89" s="1164">
        <f>SUMIFS(Table9[Count of EnergyRating],Table9[MainSpaceHeatingFuel],AL89,Table9[EnergyRating (group)],AM89,Table9[CountyName (group)],AP$4)</f>
        <v>0</v>
      </c>
      <c r="AQ89" s="1164">
        <f>SUMIFS(Table9[Count of EnergyRating],Table9[MainSpaceHeatingFuel],AL89,Table9[EnergyRating (group)],AM89,Table9[CountyName (group)],AQ$4)</f>
        <v>0</v>
      </c>
      <c r="AR89" s="1164">
        <f>SUMIFS(Table9[Count of EnergyRating],Table9[MainSpaceHeatingFuel],AL89,Table9[EnergyRating (group)],AM89,Table9[CountyName (group)],AR$4)</f>
        <v>0</v>
      </c>
      <c r="AS89" s="1164">
        <f>SUMIFS(Table9[Count of EnergyRating],Table9[MainSpaceHeatingFuel],AL89,Table9[EnergyRating (group)],AM89,Table9[CountyName (group)],AS$4)</f>
        <v>0</v>
      </c>
      <c r="AT89" s="1164">
        <f>SUMIFS(Table9[Count of EnergyRating],Table9[MainSpaceHeatingFuel],AL89,Table9[EnergyRating (group)],AM89,Table9[CountyName (group)],AT$4)</f>
        <v>0</v>
      </c>
      <c r="AU89" s="1164">
        <f>SUMIFS(Table9[Count of EnergyRating],Table9[MainSpaceHeatingFuel],AL89,Table9[EnergyRating (group)],AM89,Table9[CountyName (group)],AU$4)</f>
        <v>0</v>
      </c>
      <c r="AV89" s="1164">
        <f>SUMIFS(Table9[Count of EnergyRating],Table9[MainSpaceHeatingFuel],AL89,Table9[EnergyRating (group)],AM89,Table9[CountyName (group)],AV$4)</f>
        <v>0</v>
      </c>
      <c r="AW89" s="1164">
        <f>SUMIFS(Table9[Count of EnergyRating],Table9[MainSpaceHeatingFuel],AL89,Table9[EnergyRating (group)],AM89,Table9[CountyName (group)],AW$4)</f>
        <v>0</v>
      </c>
      <c r="AX89" s="1164">
        <f>SUMIFS(Table9[Count of EnergyRating],Table9[MainSpaceHeatingFuel],AL89,Table9[EnergyRating (group)],AM89,Table9[CountyName (group)],AX$4)</f>
        <v>0</v>
      </c>
      <c r="AY89" s="1164">
        <f>SUMIFS(Table9[Count of EnergyRating],Table9[MainSpaceHeatingFuel],AL89,Table9[EnergyRating (group)],AM89,Table9[CountyName (group)],AY$4)</f>
        <v>0</v>
      </c>
      <c r="AZ89" s="1164">
        <f>SUMIFS(Table9[Count of EnergyRating],Table9[MainSpaceHeatingFuel],AL89,Table9[EnergyRating (group)],AM89,Table9[CountyName (group)],AZ$4)</f>
        <v>0</v>
      </c>
      <c r="BA89" s="1164">
        <f>SUMIFS(Table9[Count of EnergyRating],Table9[MainSpaceHeatingFuel],AL89,Table9[EnergyRating (group)],AM89,Table9[CountyName (group)],BA$4)</f>
        <v>0</v>
      </c>
      <c r="BB89" s="1164">
        <f>SUMIFS(Table9[Count of EnergyRating],Table9[MainSpaceHeatingFuel],AL89,Table9[EnergyRating (group)],AM89,Table9[CountyName (group)],BB$4)</f>
        <v>0</v>
      </c>
      <c r="BC89" s="1164">
        <f>SUMIFS(Table9[Count of EnergyRating],Table9[MainSpaceHeatingFuel],AL89,Table9[EnergyRating (group)],AM89,Table9[CountyName (group)],BC$4)</f>
        <v>0</v>
      </c>
      <c r="BD89" s="1164">
        <f>SUMIFS(Table9[Count of EnergyRating],Table9[MainSpaceHeatingFuel],AL89,Table9[EnergyRating (group)],AM89,Table9[CountyName (group)],BD$4)</f>
        <v>0</v>
      </c>
      <c r="BE89" s="1164">
        <f>SUMIFS(Table9[Count of EnergyRating],Table9[MainSpaceHeatingFuel],AL89,Table9[EnergyRating (group)],AM89,Table9[CountyName (group)],BE$4)</f>
        <v>0</v>
      </c>
      <c r="BF89" s="1164">
        <f>SUMIFS(Table9[Count of EnergyRating],Table9[MainSpaceHeatingFuel],AL89,Table9[EnergyRating (group)],AM89,Table9[CountyName (group)],BF$4)</f>
        <v>0</v>
      </c>
      <c r="BG89" s="1164">
        <f>SUMIFS(Table9[Count of EnergyRating],Table9[MainSpaceHeatingFuel],AL89,Table9[EnergyRating (group)],AM89,Table9[CountyName (group)],BG$4)</f>
        <v>0</v>
      </c>
      <c r="BH89" s="1164">
        <f>SUMIFS(Table9[Count of EnergyRating],Table9[MainSpaceHeatingFuel],AL89,Table9[EnergyRating (group)],AM89,Table9[CountyName (group)],BH$4)</f>
        <v>0</v>
      </c>
      <c r="BI89" s="1164">
        <f>SUMIFS(Table9[Count of EnergyRating],Table9[MainSpaceHeatingFuel],AL89,Table9[EnergyRating (group)],AM89,Table9[CountyName (group)],BI$4)</f>
        <v>1</v>
      </c>
      <c r="BJ89" s="1164">
        <f>SUMIFS(Table9[Count of EnergyRating],Table9[MainSpaceHeatingFuel],AL89,Table9[EnergyRating (group)],AM89,Table9[CountyName (group)],BJ$4)</f>
        <v>1</v>
      </c>
      <c r="BK89" s="1135">
        <f>SUMIFS(Table9[Count of EnergyRating],Table9[MainSpaceHeatingFuel],AL89,Table9[EnergyRating (group)],AM89,Table9[CountyName (group)],BK$4)</f>
        <v>0</v>
      </c>
      <c r="BL89" s="1164">
        <f>SUMIFS(Table9[Count of EnergyRating],Table9[MainSpaceHeatingFuel],AL89,Table9[EnergyRating (group)],AM89,Table9[CountyName (group)],BL$4)</f>
        <v>0</v>
      </c>
      <c r="BM89" s="1164">
        <f>SUMIFS(Table9[Count of EnergyRating],Table9[MainSpaceHeatingFuel],AL89,Table9[EnergyRating (group)],AM89,Table9[CountyName (group)],BM$4)</f>
        <v>0</v>
      </c>
    </row>
    <row r="90" spans="2:65">
      <c r="B90" s="1134" t="s">
        <v>58</v>
      </c>
      <c r="C90" s="1134" t="s">
        <v>1188</v>
      </c>
      <c r="D90" s="1134" t="s">
        <v>1094</v>
      </c>
      <c r="E90" s="1145">
        <f t="shared" ref="E90:AA90" si="250">IFERROR(G205*((SUM(AN$90)/SUM(AN$85:AN$93))/(SUM(G$205)/SUM(G$203:G$208))),G205)</f>
        <v>1.0333633446891755E-3</v>
      </c>
      <c r="F90" s="1145">
        <f t="shared" si="250"/>
        <v>3.6426646768074257E-2</v>
      </c>
      <c r="G90" s="1145">
        <f t="shared" si="250"/>
        <v>5.3686855495796715E-3</v>
      </c>
      <c r="H90" s="1145">
        <f t="shared" si="250"/>
        <v>1.1683574049684848E-3</v>
      </c>
      <c r="I90" s="1145">
        <f t="shared" si="250"/>
        <v>1.9428428873278479E-3</v>
      </c>
      <c r="J90" s="1145">
        <f t="shared" si="250"/>
        <v>8.6598373884795435E-4</v>
      </c>
      <c r="K90" s="1145">
        <f t="shared" si="250"/>
        <v>0</v>
      </c>
      <c r="L90" s="1145">
        <f t="shared" si="250"/>
        <v>0</v>
      </c>
      <c r="M90" s="1145">
        <f t="shared" si="250"/>
        <v>1.1888675622325842E-3</v>
      </c>
      <c r="N90" s="1145">
        <f t="shared" si="250"/>
        <v>2.8498041783044459E-3</v>
      </c>
      <c r="O90" s="1145">
        <f t="shared" si="250"/>
        <v>2.6139441008829535E-3</v>
      </c>
      <c r="P90" s="1145">
        <f t="shared" si="250"/>
        <v>3.1019590263121669E-3</v>
      </c>
      <c r="Q90" s="1145">
        <f t="shared" si="250"/>
        <v>2.2561842647269435E-3</v>
      </c>
      <c r="R90" s="1145">
        <f t="shared" si="250"/>
        <v>1.2072912520549385E-2</v>
      </c>
      <c r="S90" s="1145">
        <f t="shared" si="250"/>
        <v>2.7891760188513675E-3</v>
      </c>
      <c r="T90" s="1145">
        <f t="shared" si="250"/>
        <v>1.066729104893529E-2</v>
      </c>
      <c r="U90" s="1145">
        <f t="shared" si="250"/>
        <v>2.6287437579676177E-3</v>
      </c>
      <c r="V90" s="1145">
        <f t="shared" si="250"/>
        <v>2.8350665481982041E-3</v>
      </c>
      <c r="W90" s="1145">
        <f t="shared" si="250"/>
        <v>5.0698084943803477E-3</v>
      </c>
      <c r="X90" s="1145">
        <f t="shared" si="250"/>
        <v>0</v>
      </c>
      <c r="Y90" s="1145">
        <f t="shared" si="250"/>
        <v>2.4519298895622774E-3</v>
      </c>
      <c r="Z90" s="1145">
        <f t="shared" si="250"/>
        <v>0</v>
      </c>
      <c r="AA90" s="1145">
        <f t="shared" si="250"/>
        <v>1.5560638771601641E-3</v>
      </c>
      <c r="AB90" s="1145">
        <f>IFERROR(AD205*((SUM(BK$90)/SUM(BK$85:BK$93))/(SUM(AD$205)/SUM(AD$203:AD$208))),AD205)</f>
        <v>1.694400197069981E-3</v>
      </c>
      <c r="AC90" s="1145">
        <f>IFERROR(AE205*((SUM(BL$90)/SUM(BL$85:BL$93))/(SUM(AE$205)/SUM(AE$203:AE$208))),AE205)</f>
        <v>1.8075077655832442E-3</v>
      </c>
      <c r="AD90" s="1145">
        <f>IFERROR(AF205*((SUM(BM$90)/SUM(BM$85:BM$93))/(SUM(AF$205)/SUM(AF$203:AF$208))),AF205)</f>
        <v>0</v>
      </c>
      <c r="AE90" s="1172">
        <f t="shared" si="216"/>
        <v>0.10238953894420438</v>
      </c>
      <c r="AG90" s="1164"/>
      <c r="AL90" s="1144" t="s">
        <v>420</v>
      </c>
      <c r="AM90" s="1144" t="s">
        <v>58</v>
      </c>
      <c r="AN90" s="1157">
        <f>SUMIFS(Table9[Count of EnergyRating],Table9[MainSpaceHeatingFuel],AL90,Table9[EnergyRating (group)],AM90,Table9[CountyName (group)],AN$4)</f>
        <v>1</v>
      </c>
      <c r="AO90" s="1164">
        <f>SUMIFS(Table9[Count of EnergyRating],Table9[MainSpaceHeatingFuel],AL90,Table9[EnergyRating (group)],AM90,Table9[CountyName (group)],AO$4)</f>
        <v>2</v>
      </c>
      <c r="AP90" s="1164">
        <f>SUMIFS(Table9[Count of EnergyRating],Table9[MainSpaceHeatingFuel],AL90,Table9[EnergyRating (group)],AM90,Table9[CountyName (group)],AP$4)</f>
        <v>0</v>
      </c>
      <c r="AQ90" s="1164">
        <f>SUMIFS(Table9[Count of EnergyRating],Table9[MainSpaceHeatingFuel],AL90,Table9[EnergyRating (group)],AM90,Table9[CountyName (group)],AQ$4)</f>
        <v>0</v>
      </c>
      <c r="AR90" s="1164">
        <f>SUMIFS(Table9[Count of EnergyRating],Table9[MainSpaceHeatingFuel],AL90,Table9[EnergyRating (group)],AM90,Table9[CountyName (group)],AR$4)</f>
        <v>5</v>
      </c>
      <c r="AS90" s="1164">
        <f>SUMIFS(Table9[Count of EnergyRating],Table9[MainSpaceHeatingFuel],AL90,Table9[EnergyRating (group)],AM90,Table9[CountyName (group)],AS$4)</f>
        <v>0</v>
      </c>
      <c r="AT90" s="1164">
        <f>SUMIFS(Table9[Count of EnergyRating],Table9[MainSpaceHeatingFuel],AL90,Table9[EnergyRating (group)],AM90,Table9[CountyName (group)],AT$4)</f>
        <v>0</v>
      </c>
      <c r="AU90" s="1164">
        <f>SUMIFS(Table9[Count of EnergyRating],Table9[MainSpaceHeatingFuel],AL90,Table9[EnergyRating (group)],AM90,Table9[CountyName (group)],AU$4)</f>
        <v>0</v>
      </c>
      <c r="AV90" s="1164">
        <f>SUMIFS(Table9[Count of EnergyRating],Table9[MainSpaceHeatingFuel],AL90,Table9[EnergyRating (group)],AM90,Table9[CountyName (group)],AV$4)</f>
        <v>0</v>
      </c>
      <c r="AW90" s="1164">
        <f>SUMIFS(Table9[Count of EnergyRating],Table9[MainSpaceHeatingFuel],AL90,Table9[EnergyRating (group)],AM90,Table9[CountyName (group)],AW$4)</f>
        <v>0</v>
      </c>
      <c r="AX90" s="1164">
        <f>SUMIFS(Table9[Count of EnergyRating],Table9[MainSpaceHeatingFuel],AL90,Table9[EnergyRating (group)],AM90,Table9[CountyName (group)],AX$4)</f>
        <v>0</v>
      </c>
      <c r="AY90" s="1164">
        <f>SUMIFS(Table9[Count of EnergyRating],Table9[MainSpaceHeatingFuel],AL90,Table9[EnergyRating (group)],AM90,Table9[CountyName (group)],AY$4)</f>
        <v>0</v>
      </c>
      <c r="AZ90" s="1164">
        <f>SUMIFS(Table9[Count of EnergyRating],Table9[MainSpaceHeatingFuel],AL90,Table9[EnergyRating (group)],AM90,Table9[CountyName (group)],AZ$4)</f>
        <v>0</v>
      </c>
      <c r="BA90" s="1164">
        <f>SUMIFS(Table9[Count of EnergyRating],Table9[MainSpaceHeatingFuel],AL90,Table9[EnergyRating (group)],AM90,Table9[CountyName (group)],BA$4)</f>
        <v>9</v>
      </c>
      <c r="BB90" s="1164">
        <f>SUMIFS(Table9[Count of EnergyRating],Table9[MainSpaceHeatingFuel],AL90,Table9[EnergyRating (group)],AM90,Table9[CountyName (group)],BB$4)</f>
        <v>0</v>
      </c>
      <c r="BC90" s="1164">
        <f>SUMIFS(Table9[Count of EnergyRating],Table9[MainSpaceHeatingFuel],AL90,Table9[EnergyRating (group)],AM90,Table9[CountyName (group)],BC$4)</f>
        <v>11</v>
      </c>
      <c r="BD90" s="1164">
        <f>SUMIFS(Table9[Count of EnergyRating],Table9[MainSpaceHeatingFuel],AL90,Table9[EnergyRating (group)],AM90,Table9[CountyName (group)],BD$4)</f>
        <v>0</v>
      </c>
      <c r="BE90" s="1164">
        <f>SUMIFS(Table9[Count of EnergyRating],Table9[MainSpaceHeatingFuel],AL90,Table9[EnergyRating (group)],AM90,Table9[CountyName (group)],BE$4)</f>
        <v>3</v>
      </c>
      <c r="BF90" s="1164">
        <f>SUMIFS(Table9[Count of EnergyRating],Table9[MainSpaceHeatingFuel],AL90,Table9[EnergyRating (group)],AM90,Table9[CountyName (group)],BF$4)</f>
        <v>3</v>
      </c>
      <c r="BG90" s="1164">
        <f>SUMIFS(Table9[Count of EnergyRating],Table9[MainSpaceHeatingFuel],AL90,Table9[EnergyRating (group)],AM90,Table9[CountyName (group)],BG$4)</f>
        <v>0</v>
      </c>
      <c r="BH90" s="1164">
        <f>SUMIFS(Table9[Count of EnergyRating],Table9[MainSpaceHeatingFuel],AL90,Table9[EnergyRating (group)],AM90,Table9[CountyName (group)],BH$4)</f>
        <v>0</v>
      </c>
      <c r="BI90" s="1164">
        <f>SUMIFS(Table9[Count of EnergyRating],Table9[MainSpaceHeatingFuel],AL90,Table9[EnergyRating (group)],AM90,Table9[CountyName (group)],BI$4)</f>
        <v>0</v>
      </c>
      <c r="BJ90" s="1164">
        <f>SUMIFS(Table9[Count of EnergyRating],Table9[MainSpaceHeatingFuel],AL90,Table9[EnergyRating (group)],AM90,Table9[CountyName (group)],BJ$4)</f>
        <v>2</v>
      </c>
      <c r="BK90" s="1135">
        <f>SUMIFS(Table9[Count of EnergyRating],Table9[MainSpaceHeatingFuel],AL90,Table9[EnergyRating (group)],AM90,Table9[CountyName (group)],BK$4)</f>
        <v>16</v>
      </c>
      <c r="BL90" s="1164">
        <f>SUMIFS(Table9[Count of EnergyRating],Table9[MainSpaceHeatingFuel],AL90,Table9[EnergyRating (group)],AM90,Table9[CountyName (group)],BL$4)</f>
        <v>0</v>
      </c>
      <c r="BM90" s="1164">
        <f>SUMIFS(Table9[Count of EnergyRating],Table9[MainSpaceHeatingFuel],AL90,Table9[EnergyRating (group)],AM90,Table9[CountyName (group)],BM$4)</f>
        <v>0</v>
      </c>
    </row>
    <row r="91" spans="2:65" ht="15">
      <c r="B91" s="1136" t="s">
        <v>60</v>
      </c>
      <c r="C91" s="1136" t="s">
        <v>1188</v>
      </c>
      <c r="D91" s="1136" t="s">
        <v>1094</v>
      </c>
      <c r="E91" s="1146">
        <f t="shared" ref="E91:AA91" si="251">IFERROR(G206*((SUM(AN$91)/SUM(AN$85:AN$93))/(SUM(G$206)/SUM(G$203:G$208))),G206)</f>
        <v>0</v>
      </c>
      <c r="F91" s="1146">
        <f t="shared" si="251"/>
        <v>0</v>
      </c>
      <c r="G91" s="1146">
        <f t="shared" si="251"/>
        <v>2.9794502257181055E-3</v>
      </c>
      <c r="H91" s="1146">
        <f t="shared" si="251"/>
        <v>5.4379768618348834E-4</v>
      </c>
      <c r="I91" s="1146">
        <f t="shared" si="251"/>
        <v>3.8856857746556955E-4</v>
      </c>
      <c r="J91" s="1146">
        <f t="shared" si="251"/>
        <v>3.7280017457131672E-4</v>
      </c>
      <c r="K91" s="1146">
        <f t="shared" si="251"/>
        <v>4.9370942155811098E-3</v>
      </c>
      <c r="L91" s="1146">
        <f t="shared" si="251"/>
        <v>0</v>
      </c>
      <c r="M91" s="1146">
        <f t="shared" si="251"/>
        <v>6.5592693088694298E-4</v>
      </c>
      <c r="N91" s="1146">
        <f t="shared" si="251"/>
        <v>1.2996834207115728E-3</v>
      </c>
      <c r="O91" s="1146">
        <f t="shared" si="251"/>
        <v>1.738632544165267E-3</v>
      </c>
      <c r="P91" s="1146">
        <f t="shared" si="251"/>
        <v>1.3732944815517945E-3</v>
      </c>
      <c r="Q91" s="1146">
        <f t="shared" si="251"/>
        <v>1.4832322481075275E-3</v>
      </c>
      <c r="R91" s="1146">
        <f t="shared" si="251"/>
        <v>1.6097216694065844E-2</v>
      </c>
      <c r="S91" s="1146">
        <f t="shared" si="251"/>
        <v>1.3274034775847387E-3</v>
      </c>
      <c r="T91" s="1146">
        <f t="shared" si="251"/>
        <v>3.8790149268855601E-3</v>
      </c>
      <c r="U91" s="1146">
        <f t="shared" si="251"/>
        <v>1.4847534188520805E-3</v>
      </c>
      <c r="V91" s="1146">
        <f t="shared" si="251"/>
        <v>5.6701330963964082E-3</v>
      </c>
      <c r="W91" s="1146">
        <f t="shared" si="251"/>
        <v>6.7597446591737978E-3</v>
      </c>
      <c r="X91" s="1146">
        <f t="shared" si="251"/>
        <v>0</v>
      </c>
      <c r="Y91" s="1146">
        <f t="shared" si="251"/>
        <v>1.0156716878296295E-3</v>
      </c>
      <c r="Z91" s="1146">
        <f t="shared" si="251"/>
        <v>3.9964211080050296E-4</v>
      </c>
      <c r="AA91" s="1146">
        <f t="shared" si="251"/>
        <v>0</v>
      </c>
      <c r="AB91" s="1146">
        <f>IFERROR(AD206*((SUM(BK$91)/SUM(BK$85:BK$93))/(SUM(AD$206)/SUM(AD$203:AD$208))),AD206)</f>
        <v>1.1649001354856118E-3</v>
      </c>
      <c r="AC91" s="1146">
        <f>IFERROR(AE206*((SUM(BL$91)/SUM(BL$85:BL$93))/(SUM(AE$206)/SUM(AE$203:AE$208))),AE206)</f>
        <v>1.0726278116089478E-3</v>
      </c>
      <c r="AD91" s="1146">
        <f>IFERROR(AF206*((SUM(BM$91)/SUM(BM$85:BM$93))/(SUM(AF$206)/SUM(AF$203:AF$208))),AF206)</f>
        <v>1.1129425712406659E-3</v>
      </c>
      <c r="AE91" s="1173">
        <f t="shared" si="216"/>
        <v>5.5756531094866481E-2</v>
      </c>
      <c r="AG91" s="1164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SUMIFS(Table9[Count of EnergyRating],Table9[MainSpaceHeatingFuel],AL91,Table9[EnergyRating (group)],AM91,Table9[CountyName (group)],AN$4)</f>
        <v>0</v>
      </c>
      <c r="AO91" s="1164">
        <f>SUMIFS(Table9[Count of EnergyRating],Table9[MainSpaceHeatingFuel],AL91,Table9[EnergyRating (group)],AM91,Table9[CountyName (group)],AO$4)</f>
        <v>0</v>
      </c>
      <c r="AP91" s="1164">
        <f>SUMIFS(Table9[Count of EnergyRating],Table9[MainSpaceHeatingFuel],AL91,Table9[EnergyRating (group)],AM91,Table9[CountyName (group)],AP$4)</f>
        <v>0</v>
      </c>
      <c r="AQ91" s="1164">
        <f>SUMIFS(Table9[Count of EnergyRating],Table9[MainSpaceHeatingFuel],AL91,Table9[EnergyRating (group)],AM91,Table9[CountyName (group)],AQ$4)</f>
        <v>0</v>
      </c>
      <c r="AR91" s="1164">
        <f>SUMIFS(Table9[Count of EnergyRating],Table9[MainSpaceHeatingFuel],AL91,Table9[EnergyRating (group)],AM91,Table9[CountyName (group)],AR$4)</f>
        <v>1</v>
      </c>
      <c r="AS91" s="1164">
        <f>SUMIFS(Table9[Count of EnergyRating],Table9[MainSpaceHeatingFuel],AL91,Table9[EnergyRating (group)],AM91,Table9[CountyName (group)],AS$4)</f>
        <v>0</v>
      </c>
      <c r="AT91" s="1164">
        <f>SUMIFS(Table9[Count of EnergyRating],Table9[MainSpaceHeatingFuel],AL91,Table9[EnergyRating (group)],AM91,Table9[CountyName (group)],AT$4)</f>
        <v>1</v>
      </c>
      <c r="AU91" s="1164">
        <f>SUMIFS(Table9[Count of EnergyRating],Table9[MainSpaceHeatingFuel],AL91,Table9[EnergyRating (group)],AM91,Table9[CountyName (group)],AU$4)</f>
        <v>0</v>
      </c>
      <c r="AV91" s="1164">
        <f>SUMIFS(Table9[Count of EnergyRating],Table9[MainSpaceHeatingFuel],AL91,Table9[EnergyRating (group)],AM91,Table9[CountyName (group)],AV$4)</f>
        <v>0</v>
      </c>
      <c r="AW91" s="1164">
        <f>SUMIFS(Table9[Count of EnergyRating],Table9[MainSpaceHeatingFuel],AL91,Table9[EnergyRating (group)],AM91,Table9[CountyName (group)],AW$4)</f>
        <v>0</v>
      </c>
      <c r="AX91" s="1164">
        <f>SUMIFS(Table9[Count of EnergyRating],Table9[MainSpaceHeatingFuel],AL91,Table9[EnergyRating (group)],AM91,Table9[CountyName (group)],AX$4)</f>
        <v>0</v>
      </c>
      <c r="AY91" s="1164">
        <f>SUMIFS(Table9[Count of EnergyRating],Table9[MainSpaceHeatingFuel],AL91,Table9[EnergyRating (group)],AM91,Table9[CountyName (group)],AY$4)</f>
        <v>0</v>
      </c>
      <c r="AZ91" s="1164">
        <f>SUMIFS(Table9[Count of EnergyRating],Table9[MainSpaceHeatingFuel],AL91,Table9[EnergyRating (group)],AM91,Table9[CountyName (group)],AZ$4)</f>
        <v>0</v>
      </c>
      <c r="BA91" s="1164">
        <f>SUMIFS(Table9[Count of EnergyRating],Table9[MainSpaceHeatingFuel],AL91,Table9[EnergyRating (group)],AM91,Table9[CountyName (group)],BA$4)</f>
        <v>12</v>
      </c>
      <c r="BB91" s="1164">
        <f>SUMIFS(Table9[Count of EnergyRating],Table9[MainSpaceHeatingFuel],AL91,Table9[EnergyRating (group)],AM91,Table9[CountyName (group)],BB$4)</f>
        <v>0</v>
      </c>
      <c r="BC91" s="1164">
        <f>SUMIFS(Table9[Count of EnergyRating],Table9[MainSpaceHeatingFuel],AL91,Table9[EnergyRating (group)],AM91,Table9[CountyName (group)],BC$4)</f>
        <v>4</v>
      </c>
      <c r="BD91" s="1164">
        <f>SUMIFS(Table9[Count of EnergyRating],Table9[MainSpaceHeatingFuel],AL91,Table9[EnergyRating (group)],AM91,Table9[CountyName (group)],BD$4)</f>
        <v>0</v>
      </c>
      <c r="BE91" s="1164">
        <f>SUMIFS(Table9[Count of EnergyRating],Table9[MainSpaceHeatingFuel],AL91,Table9[EnergyRating (group)],AM91,Table9[CountyName (group)],BE$4)</f>
        <v>6</v>
      </c>
      <c r="BF91" s="1164">
        <f>SUMIFS(Table9[Count of EnergyRating],Table9[MainSpaceHeatingFuel],AL91,Table9[EnergyRating (group)],AM91,Table9[CountyName (group)],BF$4)</f>
        <v>4</v>
      </c>
      <c r="BG91" s="1164">
        <f>SUMIFS(Table9[Count of EnergyRating],Table9[MainSpaceHeatingFuel],AL91,Table9[EnergyRating (group)],AM91,Table9[CountyName (group)],BG$4)</f>
        <v>0</v>
      </c>
      <c r="BH91" s="1164">
        <f>SUMIFS(Table9[Count of EnergyRating],Table9[MainSpaceHeatingFuel],AL91,Table9[EnergyRating (group)],AM91,Table9[CountyName (group)],BH$4)</f>
        <v>0</v>
      </c>
      <c r="BI91" s="1164">
        <f>SUMIFS(Table9[Count of EnergyRating],Table9[MainSpaceHeatingFuel],AL91,Table9[EnergyRating (group)],AM91,Table9[CountyName (group)],BI$4)</f>
        <v>2</v>
      </c>
      <c r="BJ91" s="1164">
        <f>SUMIFS(Table9[Count of EnergyRating],Table9[MainSpaceHeatingFuel],AL91,Table9[EnergyRating (group)],AM91,Table9[CountyName (group)],BJ$4)</f>
        <v>0</v>
      </c>
      <c r="BK91" s="1135">
        <f>SUMIFS(Table9[Count of EnergyRating],Table9[MainSpaceHeatingFuel],AL91,Table9[EnergyRating (group)],AM91,Table9[CountyName (group)],BK$4)</f>
        <v>11</v>
      </c>
      <c r="BL91" s="1164">
        <f>SUMIFS(Table9[Count of EnergyRating],Table9[MainSpaceHeatingFuel],AL91,Table9[EnergyRating (group)],AM91,Table9[CountyName (group)],BL$4)</f>
        <v>0</v>
      </c>
      <c r="BM91" s="1164">
        <f>SUMIFS(Table9[Count of EnergyRating],Table9[MainSpaceHeatingFuel],AL91,Table9[EnergyRating (group)],AM91,Table9[CountyName (group)],BM$4)</f>
        <v>2</v>
      </c>
    </row>
    <row r="92" spans="2:65" ht="15">
      <c r="B92" s="1134" t="s">
        <v>62</v>
      </c>
      <c r="C92" s="1134" t="s">
        <v>1188</v>
      </c>
      <c r="D92" s="1134" t="s">
        <v>1094</v>
      </c>
      <c r="E92" s="1145">
        <f t="shared" ref="E92:AA92" si="252">IFERROR(G207*((SUM(AN$92)/SUM(AN$85:AN$93))/(SUM(G$207)/SUM(G$203:G$208))),G207)</f>
        <v>0</v>
      </c>
      <c r="F92" s="1145">
        <f t="shared" si="252"/>
        <v>7.2853293536148514E-2</v>
      </c>
      <c r="G92" s="1145">
        <f t="shared" si="252"/>
        <v>9.7612464537812223E-4</v>
      </c>
      <c r="H92" s="1145">
        <f t="shared" si="252"/>
        <v>2.3151782679099007E-4</v>
      </c>
      <c r="I92" s="1145">
        <f t="shared" si="252"/>
        <v>3.8856857746556955E-4</v>
      </c>
      <c r="J92" s="1145">
        <f t="shared" si="252"/>
        <v>9.7083378794613723E-5</v>
      </c>
      <c r="K92" s="1145">
        <f t="shared" si="252"/>
        <v>0</v>
      </c>
      <c r="L92" s="1145">
        <f t="shared" si="252"/>
        <v>0</v>
      </c>
      <c r="M92" s="1145">
        <f t="shared" si="252"/>
        <v>3.0234131970570031E-4</v>
      </c>
      <c r="N92" s="1145">
        <f t="shared" si="252"/>
        <v>4.9655678864395645E-4</v>
      </c>
      <c r="O92" s="1145">
        <f t="shared" si="252"/>
        <v>5.275850478846329E-4</v>
      </c>
      <c r="P92" s="1145">
        <f t="shared" si="252"/>
        <v>4.9390415564582086E-4</v>
      </c>
      <c r="Q92" s="1145">
        <f t="shared" si="252"/>
        <v>3.9692130583159183E-4</v>
      </c>
      <c r="R92" s="1145">
        <f t="shared" si="252"/>
        <v>5.3657388980219477E-3</v>
      </c>
      <c r="S92" s="1145">
        <f t="shared" si="252"/>
        <v>4.0310719104567211E-4</v>
      </c>
      <c r="T92" s="1145">
        <f t="shared" si="252"/>
        <v>3.8790149268855597E-3</v>
      </c>
      <c r="U92" s="1145">
        <f t="shared" si="252"/>
        <v>6.1459055452483657E-4</v>
      </c>
      <c r="V92" s="1145">
        <f t="shared" si="252"/>
        <v>1.8900443654654697E-3</v>
      </c>
      <c r="W92" s="1145">
        <f t="shared" si="252"/>
        <v>8.4496808239672462E-3</v>
      </c>
      <c r="X92" s="1145">
        <f t="shared" si="252"/>
        <v>0</v>
      </c>
      <c r="Y92" s="1145">
        <f t="shared" si="252"/>
        <v>3.8926624159109152E-4</v>
      </c>
      <c r="Z92" s="1145">
        <f t="shared" si="252"/>
        <v>0</v>
      </c>
      <c r="AA92" s="1145">
        <f t="shared" si="252"/>
        <v>1.5560638771601641E-3</v>
      </c>
      <c r="AB92" s="1145">
        <f>IFERROR(AD207*((SUM(BK$92)/SUM(BK$85:BK$93))/(SUM(AD$207)/SUM(AD$203:AD$208))),AD207)</f>
        <v>9.5310011085186438E-4</v>
      </c>
      <c r="AC92" s="1145">
        <f>IFERROR(AE207*((SUM(BL$92)/SUM(BL$85:BL$93))/(SUM(AE$207)/SUM(AE$203:AE$208))),AE207)</f>
        <v>3.6743997698714825E-4</v>
      </c>
      <c r="AD92" s="1145">
        <f>IFERROR(AF207*((SUM(BM$92)/SUM(BM$85:BM$93))/(SUM(AF$207)/SUM(AF$203:AF$208))),AF207)</f>
        <v>0</v>
      </c>
      <c r="AE92" s="1172">
        <f t="shared" si="216"/>
        <v>0.10063194354879051</v>
      </c>
      <c r="AG92" s="58" t="s">
        <v>1163</v>
      </c>
      <c r="AH92" s="1158">
        <f>SUM(E97:AD102)</f>
        <v>0.29374228123305901</v>
      </c>
      <c r="AI92" s="1140">
        <f>'SHWLP-Apt'!S23</f>
        <v>0.2937422812330589</v>
      </c>
      <c r="AJ92" s="1160">
        <f>IFERROR((AI92-AH92)/AI92,"N/A")</f>
        <v>-3.7795819517868159E-16</v>
      </c>
      <c r="AL92" s="1144" t="s">
        <v>420</v>
      </c>
      <c r="AM92" s="1144" t="s">
        <v>62</v>
      </c>
      <c r="AN92" s="1157">
        <f>SUMIFS(Table9[Count of EnergyRating],Table9[MainSpaceHeatingFuel],AL92,Table9[EnergyRating (group)],AM92,Table9[CountyName (group)],AN$4)</f>
        <v>0</v>
      </c>
      <c r="AO92" s="1164">
        <f>SUMIFS(Table9[Count of EnergyRating],Table9[MainSpaceHeatingFuel],AL92,Table9[EnergyRating (group)],AM92,Table9[CountyName (group)],AO$4)</f>
        <v>4</v>
      </c>
      <c r="AP92" s="1164">
        <f>SUMIFS(Table9[Count of EnergyRating],Table9[MainSpaceHeatingFuel],AL92,Table9[EnergyRating (group)],AM92,Table9[CountyName (group)],AP$4)</f>
        <v>0</v>
      </c>
      <c r="AQ92" s="1164">
        <f>SUMIFS(Table9[Count of EnergyRating],Table9[MainSpaceHeatingFuel],AL92,Table9[EnergyRating (group)],AM92,Table9[CountyName (group)],AQ$4)</f>
        <v>0</v>
      </c>
      <c r="AR92" s="1164">
        <f>SUMIFS(Table9[Count of EnergyRating],Table9[MainSpaceHeatingFuel],AL92,Table9[EnergyRating (group)],AM92,Table9[CountyName (group)],AR$4)</f>
        <v>1</v>
      </c>
      <c r="AS92" s="1164">
        <f>SUMIFS(Table9[Count of EnergyRating],Table9[MainSpaceHeatingFuel],AL92,Table9[EnergyRating (group)],AM92,Table9[CountyName (group)],AS$4)</f>
        <v>0</v>
      </c>
      <c r="AT92" s="1164">
        <f>SUMIFS(Table9[Count of EnergyRating],Table9[MainSpaceHeatingFuel],AL92,Table9[EnergyRating (group)],AM92,Table9[CountyName (group)],AT$4)</f>
        <v>0</v>
      </c>
      <c r="AU92" s="1164">
        <f>SUMIFS(Table9[Count of EnergyRating],Table9[MainSpaceHeatingFuel],AL92,Table9[EnergyRating (group)],AM92,Table9[CountyName (group)],AU$4)</f>
        <v>0</v>
      </c>
      <c r="AV92" s="1164">
        <f>SUMIFS(Table9[Count of EnergyRating],Table9[MainSpaceHeatingFuel],AL92,Table9[EnergyRating (group)],AM92,Table9[CountyName (group)],AV$4)</f>
        <v>0</v>
      </c>
      <c r="AW92" s="1164">
        <f>SUMIFS(Table9[Count of EnergyRating],Table9[MainSpaceHeatingFuel],AL92,Table9[EnergyRating (group)],AM92,Table9[CountyName (group)],AW$4)</f>
        <v>0</v>
      </c>
      <c r="AX92" s="1164">
        <f>SUMIFS(Table9[Count of EnergyRating],Table9[MainSpaceHeatingFuel],AL92,Table9[EnergyRating (group)],AM92,Table9[CountyName (group)],AX$4)</f>
        <v>0</v>
      </c>
      <c r="AY92" s="1164">
        <f>SUMIFS(Table9[Count of EnergyRating],Table9[MainSpaceHeatingFuel],AL92,Table9[EnergyRating (group)],AM92,Table9[CountyName (group)],AY$4)</f>
        <v>0</v>
      </c>
      <c r="AZ92" s="1164">
        <f>SUMIFS(Table9[Count of EnergyRating],Table9[MainSpaceHeatingFuel],AL92,Table9[EnergyRating (group)],AM92,Table9[CountyName (group)],AZ$4)</f>
        <v>0</v>
      </c>
      <c r="BA92" s="1164">
        <f>SUMIFS(Table9[Count of EnergyRating],Table9[MainSpaceHeatingFuel],AL92,Table9[EnergyRating (group)],AM92,Table9[CountyName (group)],BA$4)</f>
        <v>4</v>
      </c>
      <c r="BB92" s="1164">
        <f>SUMIFS(Table9[Count of EnergyRating],Table9[MainSpaceHeatingFuel],AL92,Table9[EnergyRating (group)],AM92,Table9[CountyName (group)],BB$4)</f>
        <v>0</v>
      </c>
      <c r="BC92" s="1164">
        <f>SUMIFS(Table9[Count of EnergyRating],Table9[MainSpaceHeatingFuel],AL92,Table9[EnergyRating (group)],AM92,Table9[CountyName (group)],BC$4)</f>
        <v>4</v>
      </c>
      <c r="BD92" s="1164">
        <f>SUMIFS(Table9[Count of EnergyRating],Table9[MainSpaceHeatingFuel],AL92,Table9[EnergyRating (group)],AM92,Table9[CountyName (group)],BD$4)</f>
        <v>0</v>
      </c>
      <c r="BE92" s="1164">
        <f>SUMIFS(Table9[Count of EnergyRating],Table9[MainSpaceHeatingFuel],AL92,Table9[EnergyRating (group)],AM92,Table9[CountyName (group)],BE$4)</f>
        <v>2</v>
      </c>
      <c r="BF92" s="1152">
        <f>SUMIFS(Table9[Count of EnergyRating],Table9[MainSpaceHeatingFuel],AL92,Table9[EnergyRating (group)],AM92,Table9[CountyName (group)],BF$4)</f>
        <v>5</v>
      </c>
      <c r="BG92" s="1164">
        <f>SUMIFS(Table9[Count of EnergyRating],Table9[MainSpaceHeatingFuel],AL92,Table9[EnergyRating (group)],AM92,Table9[CountyName (group)],BG$4)</f>
        <v>0</v>
      </c>
      <c r="BH92" s="1164">
        <f>SUMIFS(Table9[Count of EnergyRating],Table9[MainSpaceHeatingFuel],AL92,Table9[EnergyRating (group)],AM92,Table9[CountyName (group)],BH$4)</f>
        <v>0</v>
      </c>
      <c r="BI92" s="1164">
        <f>SUMIFS(Table9[Count of EnergyRating],Table9[MainSpaceHeatingFuel],AL92,Table9[EnergyRating (group)],AM92,Table9[CountyName (group)],BI$4)</f>
        <v>0</v>
      </c>
      <c r="BJ92" s="1164">
        <f>SUMIFS(Table9[Count of EnergyRating],Table9[MainSpaceHeatingFuel],AL92,Table9[EnergyRating (group)],AM92,Table9[CountyName (group)],BJ$4)</f>
        <v>2</v>
      </c>
      <c r="BK92" s="1135">
        <f>SUMIFS(Table9[Count of EnergyRating],Table9[MainSpaceHeatingFuel],AL92,Table9[EnergyRating (group)],AM92,Table9[CountyName (group)],BK$4)</f>
        <v>9</v>
      </c>
      <c r="BL92" s="1164">
        <f>SUMIFS(Table9[Count of EnergyRating],Table9[MainSpaceHeatingFuel],AL92,Table9[EnergyRating (group)],AM92,Table9[CountyName (group)],BL$4)</f>
        <v>0</v>
      </c>
      <c r="BM92" s="1164">
        <f>SUMIFS(Table9[Count of EnergyRating],Table9[MainSpaceHeatingFuel],AL92,Table9[EnergyRating (group)],AM92,Table9[CountyName (group)],BM$4)</f>
        <v>0</v>
      </c>
    </row>
    <row r="93" spans="2:65" ht="15.75" thickBot="1">
      <c r="B93" s="1138" t="s">
        <v>64</v>
      </c>
      <c r="C93" s="1138" t="s">
        <v>1188</v>
      </c>
      <c r="D93" s="1138" t="s">
        <v>1094</v>
      </c>
      <c r="E93" s="1147">
        <f t="shared" ref="E93:AA93" si="253">IFERROR(G208*((SUM(AN$93)/SUM(AN$85:AN$93))/(SUM(G$208)/SUM(G$203:G$208))),G208)</f>
        <v>1.0333633446891755E-3</v>
      </c>
      <c r="F93" s="1147">
        <f t="shared" si="253"/>
        <v>0.27319985076055692</v>
      </c>
      <c r="G93" s="1147">
        <f t="shared" si="253"/>
        <v>8.2857091991398737E-4</v>
      </c>
      <c r="H93" s="1147">
        <f t="shared" si="253"/>
        <v>3.6073707895340314E-4</v>
      </c>
      <c r="I93" s="1147">
        <f t="shared" si="253"/>
        <v>1.9428428873278481E-3</v>
      </c>
      <c r="J93" s="1147">
        <f t="shared" si="253"/>
        <v>1.3203339516067465E-4</v>
      </c>
      <c r="K93" s="1147">
        <f t="shared" si="253"/>
        <v>4.9370942155811098E-3</v>
      </c>
      <c r="L93" s="1147">
        <f t="shared" si="253"/>
        <v>1.7583630543483181E-2</v>
      </c>
      <c r="M93" s="1147">
        <f t="shared" si="253"/>
        <v>3.0746574885325456E-4</v>
      </c>
      <c r="N93" s="1147">
        <f t="shared" si="253"/>
        <v>3.8860966067787893E-4</v>
      </c>
      <c r="O93" s="1147">
        <f t="shared" si="253"/>
        <v>6.2350960204547517E-4</v>
      </c>
      <c r="P93" s="1147">
        <f t="shared" si="253"/>
        <v>8.4927421885439914E-4</v>
      </c>
      <c r="Q93" s="1147">
        <f t="shared" si="253"/>
        <v>6.0582725626927173E-4</v>
      </c>
      <c r="R93" s="1147">
        <f t="shared" si="253"/>
        <v>2.4145825041098769E-2</v>
      </c>
      <c r="S93" s="1147">
        <f t="shared" si="253"/>
        <v>6.1891205089840572E-4</v>
      </c>
      <c r="T93" s="1147">
        <f t="shared" si="253"/>
        <v>5.8185223903283404E-3</v>
      </c>
      <c r="U93" s="1147">
        <f t="shared" si="253"/>
        <v>1.0101191292190383E-3</v>
      </c>
      <c r="V93" s="1147">
        <f t="shared" si="253"/>
        <v>0</v>
      </c>
      <c r="W93" s="1147">
        <f t="shared" si="253"/>
        <v>1.1829553153554146E-2</v>
      </c>
      <c r="X93" s="1147">
        <f t="shared" si="253"/>
        <v>1.7644778222030567E-3</v>
      </c>
      <c r="Y93" s="1147">
        <f t="shared" si="253"/>
        <v>4.2953516313499747E-4</v>
      </c>
      <c r="Z93" s="1147">
        <f t="shared" si="253"/>
        <v>1.5985684432020118E-3</v>
      </c>
      <c r="AA93" s="1147">
        <f t="shared" si="253"/>
        <v>1.5560638771601643E-3</v>
      </c>
      <c r="AB93" s="1147">
        <f>IFERROR(AD208*((SUM(BK$93)/SUM(BK$85:BK$93))/(SUM(AD$208)/SUM(AD$203:AD$208))),AD208)</f>
        <v>3.1770003695062151E-4</v>
      </c>
      <c r="AC93" s="1147">
        <f>IFERROR(AE208*((SUM(BL$93)/SUM(BL$85:BL$93))/(SUM(AE$208)/SUM(AE$203:AE$208))),AE208)</f>
        <v>4.4538179028745235E-4</v>
      </c>
      <c r="AD93" s="1147">
        <f>IFERROR(AF208*((SUM(BM$93)/SUM(BM$85:BM$93))/(SUM(AF$208)/SUM(AF$203:AF$208))),AF208)</f>
        <v>2.2258851424813314E-3</v>
      </c>
      <c r="AE93" s="1174">
        <f t="shared" si="216"/>
        <v>0.35455335367288493</v>
      </c>
      <c r="AG93" s="58" t="s">
        <v>1107</v>
      </c>
      <c r="AH93" s="1158">
        <f>SUM(E104:AD104)</f>
        <v>0.27935635329869168</v>
      </c>
      <c r="AI93" s="1140">
        <f>'SHWLP-Apt'!S49</f>
        <v>0.27935635329869168</v>
      </c>
      <c r="AJ93" s="1160">
        <f>(AI93-AH93)/AI93</f>
        <v>0</v>
      </c>
      <c r="AL93" s="1144" t="s">
        <v>420</v>
      </c>
      <c r="AM93" s="1144" t="s">
        <v>64</v>
      </c>
      <c r="AN93" s="1157">
        <f>SUMIFS(Table9[Count of EnergyRating],Table9[MainSpaceHeatingFuel],AL93,Table9[EnergyRating (group)],AM93,Table9[CountyName (group)],AN$4)</f>
        <v>1</v>
      </c>
      <c r="AO93" s="1164">
        <f>SUMIFS(Table9[Count of EnergyRating],Table9[MainSpaceHeatingFuel],AL93,Table9[EnergyRating (group)],AM93,Table9[CountyName (group)],AO$4)</f>
        <v>15</v>
      </c>
      <c r="AP93" s="1164">
        <f>SUMIFS(Table9[Count of EnergyRating],Table9[MainSpaceHeatingFuel],AL93,Table9[EnergyRating (group)],AM93,Table9[CountyName (group)],AP$4)</f>
        <v>0</v>
      </c>
      <c r="AQ93" s="1164">
        <f>SUMIFS(Table9[Count of EnergyRating],Table9[MainSpaceHeatingFuel],AL93,Table9[EnergyRating (group)],AM93,Table9[CountyName (group)],AQ$4)</f>
        <v>0</v>
      </c>
      <c r="AR93" s="1164">
        <f>SUMIFS(Table9[Count of EnergyRating],Table9[MainSpaceHeatingFuel],AL93,Table9[EnergyRating (group)],AM93,Table9[CountyName (group)],AR$4)</f>
        <v>5</v>
      </c>
      <c r="AS93" s="1164">
        <f>SUMIFS(Table9[Count of EnergyRating],Table9[MainSpaceHeatingFuel],AL93,Table9[EnergyRating (group)],AM93,Table9[CountyName (group)],AS$4)</f>
        <v>0</v>
      </c>
      <c r="AT93" s="1164">
        <f>SUMIFS(Table9[Count of EnergyRating],Table9[MainSpaceHeatingFuel],AL93,Table9[EnergyRating (group)],AM93,Table9[CountyName (group)],AT$4)</f>
        <v>1</v>
      </c>
      <c r="AU93" s="1164">
        <f>SUMIFS(Table9[Count of EnergyRating],Table9[MainSpaceHeatingFuel],AL93,Table9[EnergyRating (group)],AM93,Table9[CountyName (group)],AU$4)</f>
        <v>4</v>
      </c>
      <c r="AV93" s="1164">
        <f>SUMIFS(Table9[Count of EnergyRating],Table9[MainSpaceHeatingFuel],AL93,Table9[EnergyRating (group)],AM93,Table9[CountyName (group)],AV$4)</f>
        <v>0</v>
      </c>
      <c r="AW93" s="1164">
        <f>SUMIFS(Table9[Count of EnergyRating],Table9[MainSpaceHeatingFuel],AL93,Table9[EnergyRating (group)],AM93,Table9[CountyName (group)],AW$4)</f>
        <v>0</v>
      </c>
      <c r="AX93" s="1164">
        <f>SUMIFS(Table9[Count of EnergyRating],Table9[MainSpaceHeatingFuel],AL93,Table9[EnergyRating (group)],AM93,Table9[CountyName (group)],AX$4)</f>
        <v>0</v>
      </c>
      <c r="AY93" s="1164">
        <f>SUMIFS(Table9[Count of EnergyRating],Table9[MainSpaceHeatingFuel],AL93,Table9[EnergyRating (group)],AM93,Table9[CountyName (group)],AY$4)</f>
        <v>0</v>
      </c>
      <c r="AZ93" s="1164">
        <f>SUMIFS(Table9[Count of EnergyRating],Table9[MainSpaceHeatingFuel],AL93,Table9[EnergyRating (group)],AM93,Table9[CountyName (group)],AZ$4)</f>
        <v>0</v>
      </c>
      <c r="BA93" s="1164">
        <f>SUMIFS(Table9[Count of EnergyRating],Table9[MainSpaceHeatingFuel],AL93,Table9[EnergyRating (group)],AM93,Table9[CountyName (group)],BA$4)</f>
        <v>18</v>
      </c>
      <c r="BB93" s="1164">
        <f>SUMIFS(Table9[Count of EnergyRating],Table9[MainSpaceHeatingFuel],AL93,Table9[EnergyRating (group)],AM93,Table9[CountyName (group)],BB$4)</f>
        <v>0</v>
      </c>
      <c r="BC93" s="1164">
        <f>SUMIFS(Table9[Count of EnergyRating],Table9[MainSpaceHeatingFuel],AL93,Table9[EnergyRating (group)],AM93,Table9[CountyName (group)],BC$4)</f>
        <v>6</v>
      </c>
      <c r="BD93" s="1164">
        <f>SUMIFS(Table9[Count of EnergyRating],Table9[MainSpaceHeatingFuel],AL93,Table9[EnergyRating (group)],AM93,Table9[CountyName (group)],BD$4)</f>
        <v>0</v>
      </c>
      <c r="BE93" s="1164">
        <f>SUMIFS(Table9[Count of EnergyRating],Table9[MainSpaceHeatingFuel],AL93,Table9[EnergyRating (group)],AM93,Table9[CountyName (group)],BE$4)</f>
        <v>0</v>
      </c>
      <c r="BF93" s="1164">
        <f>SUMIFS(Table9[Count of EnergyRating],Table9[MainSpaceHeatingFuel],AL93,Table9[EnergyRating (group)],AM93,Table9[CountyName (group)],BF$4)</f>
        <v>7</v>
      </c>
      <c r="BG93" s="1164">
        <f>SUMIFS(Table9[Count of EnergyRating],Table9[MainSpaceHeatingFuel],AL93,Table9[EnergyRating (group)],AM93,Table9[CountyName (group)],BG$4)</f>
        <v>3</v>
      </c>
      <c r="BH93" s="1164">
        <f>SUMIFS(Table9[Count of EnergyRating],Table9[MainSpaceHeatingFuel],AL93,Table9[EnergyRating (group)],AM93,Table9[CountyName (group)],BH$4)</f>
        <v>0</v>
      </c>
      <c r="BI93" s="1164">
        <f>SUMIFS(Table9[Count of EnergyRating],Table9[MainSpaceHeatingFuel],AL93,Table9[EnergyRating (group)],AM93,Table9[CountyName (group)],BI$4)</f>
        <v>8</v>
      </c>
      <c r="BJ93" s="1164">
        <f>SUMIFS(Table9[Count of EnergyRating],Table9[MainSpaceHeatingFuel],AL93,Table9[EnergyRating (group)],AM93,Table9[CountyName (group)],BJ$4)</f>
        <v>2</v>
      </c>
      <c r="BK93" s="1135">
        <f>SUMIFS(Table9[Count of EnergyRating],Table9[MainSpaceHeatingFuel],AL93,Table9[EnergyRating (group)],AM93,Table9[CountyName (group)],BK$4)</f>
        <v>3</v>
      </c>
      <c r="BL93" s="1164">
        <f>SUMIFS(Table9[Count of EnergyRating],Table9[MainSpaceHeatingFuel],AL93,Table9[EnergyRating (group)],AM93,Table9[CountyName (group)],BL$4)</f>
        <v>0</v>
      </c>
      <c r="BM93" s="1164">
        <f>SUMIFS(Table9[Count of EnergyRating],Table9[MainSpaceHeatingFuel],AL93,Table9[EnergyRating (group)],AM93,Table9[CountyName (group)],BM$4)</f>
        <v>4</v>
      </c>
    </row>
    <row r="94" spans="2:65" ht="13.5" thickBot="1">
      <c r="B94" s="1138" t="s">
        <v>1075</v>
      </c>
      <c r="C94" s="1138" t="s">
        <v>1188</v>
      </c>
      <c r="D94" s="1138" t="s">
        <v>1094</v>
      </c>
      <c r="E94" s="1147">
        <f>SUM(E88:E93)</f>
        <v>4.1334533787567018E-3</v>
      </c>
      <c r="F94" s="1147">
        <f t="shared" ref="F94" si="254">SUM(F88:F93)</f>
        <v>0.40069311444881683</v>
      </c>
      <c r="G94" s="1147">
        <f t="shared" ref="G94" si="255">SUM(G88:G93)</f>
        <v>2.3927586935519215E-2</v>
      </c>
      <c r="H94" s="1147">
        <f t="shared" ref="H94" si="256">SUM(H88:H93)</f>
        <v>5.6908603208089149E-3</v>
      </c>
      <c r="I94" s="1147">
        <f t="shared" ref="I94" si="257">SUM(I88:I93)</f>
        <v>4.6628229295868351E-3</v>
      </c>
      <c r="J94" s="1147">
        <f t="shared" ref="J94" si="258">SUM(J88:J93)</f>
        <v>2.246708014613874E-3</v>
      </c>
      <c r="K94" s="1147">
        <f t="shared" ref="K94" si="259">SUM(K88:K93)</f>
        <v>9.8741884311622195E-3</v>
      </c>
      <c r="L94" s="1147">
        <f t="shared" ref="L94" si="260">SUM(L88:L93)</f>
        <v>1.7583630543483181E-2</v>
      </c>
      <c r="M94" s="1147">
        <f t="shared" ref="M94" si="261">SUM(M88:M93)</f>
        <v>3.8189458912907858E-3</v>
      </c>
      <c r="N94" s="1147">
        <f t="shared" ref="N94" si="262">SUM(N88:N93)</f>
        <v>9.3872572997904542E-3</v>
      </c>
      <c r="O94" s="1147">
        <f t="shared" ref="O94" si="263">SUM(O88:O93)</f>
        <v>8.6724614766466642E-3</v>
      </c>
      <c r="P94" s="1147">
        <f t="shared" ref="P94" si="264">SUM(P88:P93)</f>
        <v>1.4664958421800395E-2</v>
      </c>
      <c r="Q94" s="1147">
        <f t="shared" ref="Q94" si="265">SUM(Q88:Q93)</f>
        <v>8.0948687651347506E-3</v>
      </c>
      <c r="R94" s="1147">
        <f t="shared" ref="R94" si="266">SUM(R88:R93)</f>
        <v>5.9023127878241433E-2</v>
      </c>
      <c r="S94" s="1147">
        <f t="shared" ref="S94" si="267">SUM(S88:S93)</f>
        <v>9.4428587515756664E-3</v>
      </c>
      <c r="T94" s="1147">
        <f t="shared" ref="T94" si="268">SUM(T88:T93)</f>
        <v>2.424384329303475E-2</v>
      </c>
      <c r="U94" s="1147">
        <f t="shared" ref="U94" si="269">SUM(U88:U93)</f>
        <v>7.7407233656638895E-3</v>
      </c>
      <c r="V94" s="1147">
        <f t="shared" ref="V94" si="270">SUM(V88:V93)</f>
        <v>1.0395244010060081E-2</v>
      </c>
      <c r="W94" s="1147">
        <f t="shared" ref="W94" si="271">SUM(W88:W93)</f>
        <v>3.2108787131075539E-2</v>
      </c>
      <c r="X94" s="1147">
        <f t="shared" ref="X94" si="272">SUM(X88:X93)</f>
        <v>1.7644778222030567E-3</v>
      </c>
      <c r="Y94" s="1147">
        <f t="shared" ref="Y94" si="273">SUM(Y88:Y93)</f>
        <v>6.9578969403004806E-3</v>
      </c>
      <c r="Z94" s="1147">
        <f t="shared" ref="Z94" si="274">SUM(Z88:Z93)</f>
        <v>2.1980316094027666E-3</v>
      </c>
      <c r="AA94" s="1147">
        <f t="shared" ref="AA94" si="275">SUM(AA88:AA93)</f>
        <v>5.4462235700605752E-3</v>
      </c>
      <c r="AB94" s="1147">
        <f t="shared" ref="AB94" si="276">SUM(AB88:AB93)</f>
        <v>4.1301004803580782E-3</v>
      </c>
      <c r="AC94" s="1147">
        <f t="shared" ref="AC94" si="277">SUM(AC88:AC93)</f>
        <v>7.7756806842695153E-3</v>
      </c>
      <c r="AD94" s="1147">
        <f t="shared" ref="AD94" si="278">SUM(AD88:AD93)</f>
        <v>3.3388277137219972E-3</v>
      </c>
      <c r="AE94" s="1147">
        <f t="shared" ref="AE94" si="279">SUM(AE88:AE93)</f>
        <v>0.6880166801073786</v>
      </c>
      <c r="AG94" s="1164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</row>
    <row r="95" spans="2:65" ht="13.5" thickBot="1">
      <c r="B95" s="1165"/>
      <c r="C95" s="1165" t="s">
        <v>1189</v>
      </c>
      <c r="D95" s="1165" t="s">
        <v>1094</v>
      </c>
      <c r="E95" s="1166">
        <f t="shared" ref="E95:AA95" si="280">G209</f>
        <v>3.6979749911306534E-3</v>
      </c>
      <c r="F95" s="1166">
        <f t="shared" si="280"/>
        <v>0.35847824580899773</v>
      </c>
      <c r="G95" s="1166">
        <f t="shared" si="280"/>
        <v>2.1406705235966519E-2</v>
      </c>
      <c r="H95" s="1166">
        <f t="shared" si="280"/>
        <v>5.0913019250501705E-3</v>
      </c>
      <c r="I95" s="1166">
        <f t="shared" si="280"/>
        <v>4.1715730169597778E-3</v>
      </c>
      <c r="J95" s="1166">
        <f t="shared" si="280"/>
        <v>2.0100069576480728E-3</v>
      </c>
      <c r="K95" s="1166">
        <f t="shared" si="280"/>
        <v>8.8338971146525117E-3</v>
      </c>
      <c r="L95" s="1166">
        <f t="shared" si="280"/>
        <v>1.5731113924560669E-2</v>
      </c>
      <c r="M95" s="1166">
        <f t="shared" si="280"/>
        <v>3.4166023187909632E-3</v>
      </c>
      <c r="N95" s="1166">
        <f t="shared" si="280"/>
        <v>8.3982664249561013E-3</v>
      </c>
      <c r="O95" s="1166">
        <f t="shared" si="280"/>
        <v>7.7587776402669503E-3</v>
      </c>
      <c r="P95" s="1166">
        <f t="shared" si="280"/>
        <v>1.3119937379359219E-2</v>
      </c>
      <c r="Q95" s="1166">
        <f t="shared" si="280"/>
        <v>7.2420369862637697E-3</v>
      </c>
      <c r="R95" s="1166">
        <f t="shared" si="280"/>
        <v>5.2804768988998559E-2</v>
      </c>
      <c r="S95" s="1166">
        <f t="shared" si="280"/>
        <v>8.4480100072180861E-3</v>
      </c>
      <c r="T95" s="1166">
        <f t="shared" si="280"/>
        <v>2.168964252682579E-2</v>
      </c>
      <c r="U95" s="1166">
        <f t="shared" si="280"/>
        <v>6.9252024388613883E-3</v>
      </c>
      <c r="V95" s="1166">
        <f t="shared" si="280"/>
        <v>9.3000570838579644E-3</v>
      </c>
      <c r="W95" s="1166">
        <f t="shared" si="280"/>
        <v>2.8725978238073185E-2</v>
      </c>
      <c r="X95" s="1166">
        <f t="shared" si="280"/>
        <v>1.5785819413001894E-3</v>
      </c>
      <c r="Y95" s="1166">
        <f t="shared" si="280"/>
        <v>6.2248503898294861E-3</v>
      </c>
      <c r="Z95" s="1166">
        <f t="shared" si="280"/>
        <v>1.9664588363473893E-3</v>
      </c>
      <c r="AA95" s="1166">
        <f t="shared" si="280"/>
        <v>4.8724387848903721E-3</v>
      </c>
      <c r="AB95" s="1166">
        <f>AD209</f>
        <v>3.6949753360505607E-3</v>
      </c>
      <c r="AC95" s="1166">
        <f>AE209</f>
        <v>6.9564768426383754E-3</v>
      </c>
      <c r="AD95" s="1166">
        <f>AF209</f>
        <v>2.9870668067754269E-3</v>
      </c>
      <c r="AE95" s="1175">
        <f t="shared" si="216"/>
        <v>0.61553094794626995</v>
      </c>
      <c r="AF95" s="1179"/>
      <c r="AG95" s="1164"/>
      <c r="AL95" s="1144" t="s">
        <v>1134</v>
      </c>
      <c r="AM95" s="1144" t="s">
        <v>48</v>
      </c>
      <c r="AN95" s="1135">
        <f>SUMIFS(Table9[Count of EnergyRating],Table9[MainSpaceHeatingFuel],AL95,Table9[EnergyRating (group)],AM95,Table9[CountyName (group)],AN$4)</f>
        <v>0</v>
      </c>
      <c r="AO95" s="1164">
        <f>SUMIFS(Table9[Count of EnergyRating],Table9[MainSpaceHeatingFuel],AL95,Table9[EnergyRating (group)],AM95,Table9[CountyName (group)],AO$4)</f>
        <v>0</v>
      </c>
      <c r="AP95" s="1164">
        <f>SUMIFS(Table9[Count of EnergyRating],Table9[MainSpaceHeatingFuel],AL95,Table9[EnergyRating (group)],AM95,Table9[CountyName (group)],AP$4)</f>
        <v>0</v>
      </c>
      <c r="AQ95" s="1164">
        <f>SUMIFS(Table9[Count of EnergyRating],Table9[MainSpaceHeatingFuel],AL95,Table9[EnergyRating (group)],AM95,Table9[CountyName (group)],AQ$4)</f>
        <v>0</v>
      </c>
      <c r="AR95" s="1164">
        <f>SUMIFS(Table9[Count of EnergyRating],Table9[MainSpaceHeatingFuel],AL95,Table9[EnergyRating (group)],AM95,Table9[CountyName (group)],AR$4)</f>
        <v>0</v>
      </c>
      <c r="AS95" s="1164">
        <f>SUMIFS(Table9[Count of EnergyRating],Table9[MainSpaceHeatingFuel],AL95,Table9[EnergyRating (group)],AM95,Table9[CountyName (group)],AS$4)</f>
        <v>0</v>
      </c>
      <c r="AT95" s="1164">
        <f>SUMIFS(Table9[Count of EnergyRating],Table9[MainSpaceHeatingFuel],AL95,Table9[EnergyRating (group)],AM95,Table9[CountyName (group)],AT$4)</f>
        <v>0</v>
      </c>
      <c r="AU95" s="1164">
        <f>SUMIFS(Table9[Count of EnergyRating],Table9[MainSpaceHeatingFuel],AL95,Table9[EnergyRating (group)],AM95,Table9[CountyName (group)],AU$4)</f>
        <v>0</v>
      </c>
      <c r="AV95" s="1164">
        <f>SUMIFS(Table9[Count of EnergyRating],Table9[MainSpaceHeatingFuel],AL95,Table9[EnergyRating (group)],AM95,Table9[CountyName (group)],AV$4)</f>
        <v>0</v>
      </c>
      <c r="AW95" s="1164">
        <f>SUMIFS(Table9[Count of EnergyRating],Table9[MainSpaceHeatingFuel],AL95,Table9[EnergyRating (group)],AM95,Table9[CountyName (group)],AW$4)</f>
        <v>0</v>
      </c>
      <c r="AX95" s="1164">
        <f>SUMIFS(Table9[Count of EnergyRating],Table9[MainSpaceHeatingFuel],AL95,Table9[EnergyRating (group)],AM95,Table9[CountyName (group)],AX$4)</f>
        <v>0</v>
      </c>
      <c r="AY95" s="1164">
        <f>SUMIFS(Table9[Count of EnergyRating],Table9[MainSpaceHeatingFuel],AL95,Table9[EnergyRating (group)],AM95,Table9[CountyName (group)],AY$4)</f>
        <v>0</v>
      </c>
      <c r="AZ95" s="1164">
        <f>SUMIFS(Table9[Count of EnergyRating],Table9[MainSpaceHeatingFuel],AL95,Table9[EnergyRating (group)],AM95,Table9[CountyName (group)],AZ$4)</f>
        <v>0</v>
      </c>
      <c r="BA95" s="1164">
        <f>SUMIFS(Table9[Count of EnergyRating],Table9[MainSpaceHeatingFuel],AL95,Table9[EnergyRating (group)],AM95,Table9[CountyName (group)],BA$4)</f>
        <v>3</v>
      </c>
      <c r="BB95" s="1164">
        <f>SUMIFS(Table9[Count of EnergyRating],Table9[MainSpaceHeatingFuel],AL95,Table9[EnergyRating (group)],AM95,Table9[CountyName (group)],BB$4)</f>
        <v>0</v>
      </c>
      <c r="BC95" s="1164">
        <f>SUMIFS(Table9[Count of EnergyRating],Table9[MainSpaceHeatingFuel],AL95,Table9[EnergyRating (group)],AM95,Table9[CountyName (group)],BC$4)</f>
        <v>0</v>
      </c>
      <c r="BD95" s="1164">
        <f>SUMIFS(Table9[Count of EnergyRating],Table9[MainSpaceHeatingFuel],AL95,Table9[EnergyRating (group)],AM95,Table9[CountyName (group)],BD$4)</f>
        <v>0</v>
      </c>
      <c r="BE95" s="1164">
        <f>SUMIFS(Table9[Count of EnergyRating],Table9[MainSpaceHeatingFuel],AL95,Table9[EnergyRating (group)],AM95,Table9[CountyName (group)],BE$4)</f>
        <v>0</v>
      </c>
      <c r="BF95" s="1164">
        <f>SUMIFS(Table9[Count of EnergyRating],Table9[MainSpaceHeatingFuel],AL95,Table9[EnergyRating (group)],AM95,Table9[CountyName (group)],BF$4)</f>
        <v>0</v>
      </c>
      <c r="BG95" s="1164">
        <f>SUMIFS(Table9[Count of EnergyRating],Table9[MainSpaceHeatingFuel],AL95,Table9[EnergyRating (group)],AM95,Table9[CountyName (group)],BG$4)</f>
        <v>0</v>
      </c>
      <c r="BH95" s="1164">
        <f>SUMIFS(Table9[Count of EnergyRating],Table9[MainSpaceHeatingFuel],AL95,Table9[EnergyRating (group)],AM95,Table9[CountyName (group)],BH$4)</f>
        <v>0</v>
      </c>
      <c r="BI95" s="1164">
        <f>SUMIFS(Table9[Count of EnergyRating],Table9[MainSpaceHeatingFuel],AL95,Table9[EnergyRating (group)],AM95,Table9[CountyName (group)],BI$4)</f>
        <v>0</v>
      </c>
      <c r="BJ95" s="1164">
        <f>SUMIFS(Table9[Count of EnergyRating],Table9[MainSpaceHeatingFuel],AL95,Table9[EnergyRating (group)],AM95,Table9[CountyName (group)],BJ$4)</f>
        <v>0</v>
      </c>
      <c r="BK95" s="1135">
        <f>SUMIFS(Table9[Count of EnergyRating],Table9[MainSpaceHeatingFuel],AL95,Table9[EnergyRating (group)],AM95,Table9[CountyName (group)],BK$4)</f>
        <v>0</v>
      </c>
      <c r="BL95" s="1164">
        <f>SUMIFS(Table9[Count of EnergyRating],Table9[MainSpaceHeatingFuel],AL95,Table9[EnergyRating (group)],AM95,Table9[CountyName (group)],BL$4)</f>
        <v>0</v>
      </c>
      <c r="BM95" s="1164">
        <f>SUMIFS(Table9[Count of EnergyRating],Table9[MainSpaceHeatingFuel],AL95,Table9[EnergyRating (group)],AM95,Table9[CountyName (group)],BM$4)</f>
        <v>0</v>
      </c>
    </row>
    <row r="96" spans="2:65" ht="15">
      <c r="B96" s="1137"/>
      <c r="C96" s="1137" t="s">
        <v>1205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79"/>
      <c r="AG96" s="1164"/>
      <c r="AL96" s="1144" t="s">
        <v>1134</v>
      </c>
      <c r="AM96" s="1144" t="s">
        <v>50</v>
      </c>
      <c r="AN96" s="1135">
        <f>SUMIFS(Table9[Count of EnergyRating],Table9[MainSpaceHeatingFuel],AL96,Table9[EnergyRating (group)],AM96,Table9[CountyName (group)],AN$4)</f>
        <v>0</v>
      </c>
      <c r="AO96" s="1164">
        <f>SUMIFS(Table9[Count of EnergyRating],Table9[MainSpaceHeatingFuel],AL96,Table9[EnergyRating (group)],AM96,Table9[CountyName (group)],AO$4)</f>
        <v>1</v>
      </c>
      <c r="AP96" s="1164">
        <f>SUMIFS(Table9[Count of EnergyRating],Table9[MainSpaceHeatingFuel],AL96,Table9[EnergyRating (group)],AM96,Table9[CountyName (group)],AP$4)</f>
        <v>0</v>
      </c>
      <c r="AQ96" s="1164">
        <f>SUMIFS(Table9[Count of EnergyRating],Table9[MainSpaceHeatingFuel],AL96,Table9[EnergyRating (group)],AM96,Table9[CountyName (group)],AQ$4)</f>
        <v>0</v>
      </c>
      <c r="AR96" s="1164">
        <f>SUMIFS(Table9[Count of EnergyRating],Table9[MainSpaceHeatingFuel],AL96,Table9[EnergyRating (group)],AM96,Table9[CountyName (group)],AR$4)</f>
        <v>0</v>
      </c>
      <c r="AS96" s="1164">
        <f>SUMIFS(Table9[Count of EnergyRating],Table9[MainSpaceHeatingFuel],AL96,Table9[EnergyRating (group)],AM96,Table9[CountyName (group)],AS$4)</f>
        <v>0</v>
      </c>
      <c r="AT96" s="1164">
        <f>SUMIFS(Table9[Count of EnergyRating],Table9[MainSpaceHeatingFuel],AL96,Table9[EnergyRating (group)],AM96,Table9[CountyName (group)],AT$4)</f>
        <v>0</v>
      </c>
      <c r="AU96" s="1164">
        <f>SUMIFS(Table9[Count of EnergyRating],Table9[MainSpaceHeatingFuel],AL96,Table9[EnergyRating (group)],AM96,Table9[CountyName (group)],AU$4)</f>
        <v>0</v>
      </c>
      <c r="AV96" s="1164">
        <f>SUMIFS(Table9[Count of EnergyRating],Table9[MainSpaceHeatingFuel],AL96,Table9[EnergyRating (group)],AM96,Table9[CountyName (group)],AV$4)</f>
        <v>0</v>
      </c>
      <c r="AW96" s="1164">
        <f>SUMIFS(Table9[Count of EnergyRating],Table9[MainSpaceHeatingFuel],AL96,Table9[EnergyRating (group)],AM96,Table9[CountyName (group)],AW$4)</f>
        <v>0</v>
      </c>
      <c r="AX96" s="1164">
        <f>SUMIFS(Table9[Count of EnergyRating],Table9[MainSpaceHeatingFuel],AL96,Table9[EnergyRating (group)],AM96,Table9[CountyName (group)],AX$4)</f>
        <v>0</v>
      </c>
      <c r="AY96" s="1164">
        <f>SUMIFS(Table9[Count of EnergyRating],Table9[MainSpaceHeatingFuel],AL96,Table9[EnergyRating (group)],AM96,Table9[CountyName (group)],AY$4)</f>
        <v>0</v>
      </c>
      <c r="AZ96" s="1164">
        <f>SUMIFS(Table9[Count of EnergyRating],Table9[MainSpaceHeatingFuel],AL96,Table9[EnergyRating (group)],AM96,Table9[CountyName (group)],AZ$4)</f>
        <v>0</v>
      </c>
      <c r="BA96" s="1164">
        <f>SUMIFS(Table9[Count of EnergyRating],Table9[MainSpaceHeatingFuel],AL96,Table9[EnergyRating (group)],AM96,Table9[CountyName (group)],BA$4)</f>
        <v>1</v>
      </c>
      <c r="BB96" s="1164">
        <f>SUMIFS(Table9[Count of EnergyRating],Table9[MainSpaceHeatingFuel],AL96,Table9[EnergyRating (group)],AM96,Table9[CountyName (group)],BB$4)</f>
        <v>0</v>
      </c>
      <c r="BC96" s="1164">
        <f>SUMIFS(Table9[Count of EnergyRating],Table9[MainSpaceHeatingFuel],AL96,Table9[EnergyRating (group)],AM96,Table9[CountyName (group)],BC$4)</f>
        <v>0</v>
      </c>
      <c r="BD96" s="1164">
        <f>SUMIFS(Table9[Count of EnergyRating],Table9[MainSpaceHeatingFuel],AL96,Table9[EnergyRating (group)],AM96,Table9[CountyName (group)],BD$4)</f>
        <v>0</v>
      </c>
      <c r="BE96" s="1164">
        <f>SUMIFS(Table9[Count of EnergyRating],Table9[MainSpaceHeatingFuel],AL96,Table9[EnergyRating (group)],AM96,Table9[CountyName (group)],BE$4)</f>
        <v>0</v>
      </c>
      <c r="BF96" s="1164">
        <f>SUMIFS(Table9[Count of EnergyRating],Table9[MainSpaceHeatingFuel],AL96,Table9[EnergyRating (group)],AM96,Table9[CountyName (group)],BF$4)</f>
        <v>0</v>
      </c>
      <c r="BG96" s="1164">
        <f>SUMIFS(Table9[Count of EnergyRating],Table9[MainSpaceHeatingFuel],AL96,Table9[EnergyRating (group)],AM96,Table9[CountyName (group)],BG$4)</f>
        <v>0</v>
      </c>
      <c r="BH96" s="1164">
        <f>SUMIFS(Table9[Count of EnergyRating],Table9[MainSpaceHeatingFuel],AL96,Table9[EnergyRating (group)],AM96,Table9[CountyName (group)],BH$4)</f>
        <v>0</v>
      </c>
      <c r="BI96" s="1164">
        <f>SUMIFS(Table9[Count of EnergyRating],Table9[MainSpaceHeatingFuel],AL96,Table9[EnergyRating (group)],AM96,Table9[CountyName (group)],BI$4)</f>
        <v>0</v>
      </c>
      <c r="BJ96" s="1164">
        <f>SUMIFS(Table9[Count of EnergyRating],Table9[MainSpaceHeatingFuel],AL96,Table9[EnergyRating (group)],AM96,Table9[CountyName (group)],BJ$4)</f>
        <v>0</v>
      </c>
      <c r="BK96" s="1135">
        <f>SUMIFS(Table9[Count of EnergyRating],Table9[MainSpaceHeatingFuel],AL96,Table9[EnergyRating (group)],AM96,Table9[CountyName (group)],BK$4)</f>
        <v>0</v>
      </c>
      <c r="BL96" s="1164">
        <f>SUMIFS(Table9[Count of EnergyRating],Table9[MainSpaceHeatingFuel],AL96,Table9[EnergyRating (group)],AM96,Table9[CountyName (group)],BL$4)</f>
        <v>0</v>
      </c>
      <c r="BM96" s="1164">
        <f>SUMIFS(Table9[Count of EnergyRating],Table9[MainSpaceHeatingFuel],AL96,Table9[EnergyRating (group)],AM96,Table9[CountyName (group)],BM$4)</f>
        <v>0</v>
      </c>
    </row>
    <row r="97" spans="2:65">
      <c r="B97" s="1134" t="s">
        <v>1259</v>
      </c>
      <c r="C97" s="1134" t="s">
        <v>1190</v>
      </c>
      <c r="D97" s="1134" t="s">
        <v>1094</v>
      </c>
      <c r="E97" s="1145">
        <f t="shared" ref="E97:AA97" si="281">IFERROR(G211*((SUM(AN$95:AN$98)/SUM(AN$95:AN$103))/(SUM(G$211)/SUM(G$211:G$216))),G211)</f>
        <v>1.4656248913202163E-4</v>
      </c>
      <c r="F97" s="1145">
        <f t="shared" si="281"/>
        <v>0.14015551640345369</v>
      </c>
      <c r="G97" s="1145">
        <f t="shared" si="281"/>
        <v>1.8007563333409422E-3</v>
      </c>
      <c r="H97" s="1145">
        <f t="shared" si="281"/>
        <v>4.4357733889018763E-4</v>
      </c>
      <c r="I97" s="1145">
        <f t="shared" si="281"/>
        <v>4.0703344444642493E-4</v>
      </c>
      <c r="J97" s="1145">
        <f t="shared" si="281"/>
        <v>6.8889876999410468E-5</v>
      </c>
      <c r="K97" s="1145">
        <f t="shared" si="281"/>
        <v>1.0772395410261434E-3</v>
      </c>
      <c r="L97" s="1145">
        <f t="shared" si="281"/>
        <v>0</v>
      </c>
      <c r="M97" s="1145">
        <f t="shared" si="281"/>
        <v>1.3617732081415911E-4</v>
      </c>
      <c r="N97" s="1145">
        <f t="shared" si="281"/>
        <v>6.4344947761619013E-4</v>
      </c>
      <c r="O97" s="1145">
        <f t="shared" si="281"/>
        <v>3.3244588486844903E-4</v>
      </c>
      <c r="P97" s="1145">
        <f t="shared" si="281"/>
        <v>1.6245476505787589E-3</v>
      </c>
      <c r="Q97" s="1145">
        <f t="shared" si="281"/>
        <v>3.6825541165224843E-4</v>
      </c>
      <c r="R97" s="1145">
        <f t="shared" si="281"/>
        <v>1.259968597400816E-2</v>
      </c>
      <c r="S97" s="1145">
        <f t="shared" si="281"/>
        <v>4.8344014997213586E-4</v>
      </c>
      <c r="T97" s="1145">
        <f t="shared" si="281"/>
        <v>0</v>
      </c>
      <c r="U97" s="1145">
        <f t="shared" si="281"/>
        <v>2.0027044487547509E-4</v>
      </c>
      <c r="V97" s="1145">
        <f t="shared" si="281"/>
        <v>4.4381521230165196E-3</v>
      </c>
      <c r="W97" s="1145">
        <f t="shared" si="281"/>
        <v>1.5656756138510797E-3</v>
      </c>
      <c r="X97" s="1145">
        <f t="shared" si="281"/>
        <v>3.1152632267927422E-5</v>
      </c>
      <c r="Y97" s="1145">
        <f t="shared" si="281"/>
        <v>2.580241308363534E-4</v>
      </c>
      <c r="Z97" s="1145">
        <f t="shared" si="281"/>
        <v>0</v>
      </c>
      <c r="AA97" s="1145">
        <f t="shared" si="281"/>
        <v>2.5856116732318838E-4</v>
      </c>
      <c r="AB97" s="1145">
        <f>IFERROR(AD211*((SUM(BK$95:BK$98)/SUM(BK$95:BK$103))/(SUM(AD$211)/SUM(AD$211:AD$216))),AD211)</f>
        <v>0</v>
      </c>
      <c r="AC97" s="1145">
        <f>IFERROR(AE211*((SUM(BL$95:BL$98)/SUM(BL$95:BL$103))/(SUM(AE$211)/SUM(AE$211:AE$216))),AE211)</f>
        <v>4.9758762262448178E-4</v>
      </c>
      <c r="AD97" s="1145">
        <f>IFERROR(AF211*((SUM(BM$95:BM$98)/SUM(BM$95:BM$103))/(SUM(AF$211)/SUM(AF$211:AF$216))),AF211)</f>
        <v>1.9729442126561648E-4</v>
      </c>
      <c r="AE97" s="1172">
        <f t="shared" si="216"/>
        <v>0.16773429545285962</v>
      </c>
      <c r="AF97" s="1179"/>
      <c r="AG97" s="1164"/>
      <c r="AL97" s="1144" t="s">
        <v>1134</v>
      </c>
      <c r="AM97" s="1144" t="s">
        <v>52</v>
      </c>
      <c r="AN97" s="1135">
        <f>SUMIFS(Table9[Count of EnergyRating],Table9[MainSpaceHeatingFuel],AL97,Table9[EnergyRating (group)],AM97,Table9[CountyName (group)],AN$4)</f>
        <v>0</v>
      </c>
      <c r="AO97" s="1164">
        <f>SUMIFS(Table9[Count of EnergyRating],Table9[MainSpaceHeatingFuel],AL97,Table9[EnergyRating (group)],AM97,Table9[CountyName (group)],AO$4)</f>
        <v>69</v>
      </c>
      <c r="AP97" s="1164">
        <f>SUMIFS(Table9[Count of EnergyRating],Table9[MainSpaceHeatingFuel],AL97,Table9[EnergyRating (group)],AM97,Table9[CountyName (group)],AP$4)</f>
        <v>0</v>
      </c>
      <c r="AQ97" s="1164">
        <f>SUMIFS(Table9[Count of EnergyRating],Table9[MainSpaceHeatingFuel],AL97,Table9[EnergyRating (group)],AM97,Table9[CountyName (group)],AQ$4)</f>
        <v>0</v>
      </c>
      <c r="AR97" s="1164">
        <f>SUMIFS(Table9[Count of EnergyRating],Table9[MainSpaceHeatingFuel],AL97,Table9[EnergyRating (group)],AM97,Table9[CountyName (group)],AR$4)</f>
        <v>0</v>
      </c>
      <c r="AS97" s="1164">
        <f>SUMIFS(Table9[Count of EnergyRating],Table9[MainSpaceHeatingFuel],AL97,Table9[EnergyRating (group)],AM97,Table9[CountyName (group)],AS$4)</f>
        <v>0</v>
      </c>
      <c r="AT97" s="1164">
        <f>SUMIFS(Table9[Count of EnergyRating],Table9[MainSpaceHeatingFuel],AL97,Table9[EnergyRating (group)],AM97,Table9[CountyName (group)],AT$4)</f>
        <v>0</v>
      </c>
      <c r="AU97" s="1164">
        <f>SUMIFS(Table9[Count of EnergyRating],Table9[MainSpaceHeatingFuel],AL97,Table9[EnergyRating (group)],AM97,Table9[CountyName (group)],AU$4)</f>
        <v>0</v>
      </c>
      <c r="AV97" s="1164">
        <f>SUMIFS(Table9[Count of EnergyRating],Table9[MainSpaceHeatingFuel],AL97,Table9[EnergyRating (group)],AM97,Table9[CountyName (group)],AV$4)</f>
        <v>0</v>
      </c>
      <c r="AW97" s="1164">
        <f>SUMIFS(Table9[Count of EnergyRating],Table9[MainSpaceHeatingFuel],AL97,Table9[EnergyRating (group)],AM97,Table9[CountyName (group)],AW$4)</f>
        <v>0</v>
      </c>
      <c r="AX97" s="1164">
        <f>SUMIFS(Table9[Count of EnergyRating],Table9[MainSpaceHeatingFuel],AL97,Table9[EnergyRating (group)],AM97,Table9[CountyName (group)],AX$4)</f>
        <v>0</v>
      </c>
      <c r="AY97" s="1164">
        <f>SUMIFS(Table9[Count of EnergyRating],Table9[MainSpaceHeatingFuel],AL97,Table9[EnergyRating (group)],AM97,Table9[CountyName (group)],AY$4)</f>
        <v>0</v>
      </c>
      <c r="AZ97" s="1164">
        <f>SUMIFS(Table9[Count of EnergyRating],Table9[MainSpaceHeatingFuel],AL97,Table9[EnergyRating (group)],AM97,Table9[CountyName (group)],AZ$4)</f>
        <v>0</v>
      </c>
      <c r="BA97" s="1164">
        <f>SUMIFS(Table9[Count of EnergyRating],Table9[MainSpaceHeatingFuel],AL97,Table9[EnergyRating (group)],AM97,Table9[CountyName (group)],BA$4)</f>
        <v>0</v>
      </c>
      <c r="BB97" s="1164">
        <f>SUMIFS(Table9[Count of EnergyRating],Table9[MainSpaceHeatingFuel],AL97,Table9[EnergyRating (group)],AM97,Table9[CountyName (group)],BB$4)</f>
        <v>0</v>
      </c>
      <c r="BC97" s="1164">
        <f>SUMIFS(Table9[Count of EnergyRating],Table9[MainSpaceHeatingFuel],AL97,Table9[EnergyRating (group)],AM97,Table9[CountyName (group)],BC$4)</f>
        <v>0</v>
      </c>
      <c r="BD97" s="1164">
        <f>SUMIFS(Table9[Count of EnergyRating],Table9[MainSpaceHeatingFuel],AL97,Table9[EnergyRating (group)],AM97,Table9[CountyName (group)],BD$4)</f>
        <v>0</v>
      </c>
      <c r="BE97" s="1164">
        <f>SUMIFS(Table9[Count of EnergyRating],Table9[MainSpaceHeatingFuel],AL97,Table9[EnergyRating (group)],AM97,Table9[CountyName (group)],BE$4)</f>
        <v>0</v>
      </c>
      <c r="BF97" s="1164">
        <f>SUMIFS(Table9[Count of EnergyRating],Table9[MainSpaceHeatingFuel],AL97,Table9[EnergyRating (group)],AM97,Table9[CountyName (group)],BF$4)</f>
        <v>0</v>
      </c>
      <c r="BG97" s="1164">
        <f>SUMIFS(Table9[Count of EnergyRating],Table9[MainSpaceHeatingFuel],AL97,Table9[EnergyRating (group)],AM97,Table9[CountyName (group)],BG$4)</f>
        <v>0</v>
      </c>
      <c r="BH97" s="1164">
        <f>SUMIFS(Table9[Count of EnergyRating],Table9[MainSpaceHeatingFuel],AL97,Table9[EnergyRating (group)],AM97,Table9[CountyName (group)],BH$4)</f>
        <v>0</v>
      </c>
      <c r="BI97" s="1164">
        <f>SUMIFS(Table9[Count of EnergyRating],Table9[MainSpaceHeatingFuel],AL97,Table9[EnergyRating (group)],AM97,Table9[CountyName (group)],BI$4)</f>
        <v>0</v>
      </c>
      <c r="BJ97" s="1164">
        <f>SUMIFS(Table9[Count of EnergyRating],Table9[MainSpaceHeatingFuel],AL97,Table9[EnergyRating (group)],AM97,Table9[CountyName (group)],BJ$4)</f>
        <v>0</v>
      </c>
      <c r="BK97" s="1135">
        <f>SUMIFS(Table9[Count of EnergyRating],Table9[MainSpaceHeatingFuel],AL97,Table9[EnergyRating (group)],AM97,Table9[CountyName (group)],BK$4)</f>
        <v>0</v>
      </c>
      <c r="BL97" s="1164">
        <f>SUMIFS(Table9[Count of EnergyRating],Table9[MainSpaceHeatingFuel],AL97,Table9[EnergyRating (group)],AM97,Table9[CountyName (group)],BL$4)</f>
        <v>0</v>
      </c>
      <c r="BM97" s="1164">
        <f>SUMIFS(Table9[Count of EnergyRating],Table9[MainSpaceHeatingFuel],AL97,Table9[EnergyRating (group)],AM97,Table9[CountyName (group)],BM$4)</f>
        <v>0</v>
      </c>
    </row>
    <row r="98" spans="2:65">
      <c r="B98" s="1136" t="s">
        <v>56</v>
      </c>
      <c r="C98" s="1136" t="s">
        <v>1190</v>
      </c>
      <c r="D98" s="1136" t="s">
        <v>1094</v>
      </c>
      <c r="E98" s="1146">
        <f t="shared" ref="E98:AA98" si="282">IFERROR(G212*((SUM(AN$99)/SUM(AN$95:AN$103))/(SUM(G$212)/SUM(G$211:G$216))),G212)</f>
        <v>6.8055890271171674E-4</v>
      </c>
      <c r="F98" s="1146">
        <f t="shared" si="282"/>
        <v>2.7824992227156248E-2</v>
      </c>
      <c r="G98" s="1146">
        <f t="shared" si="282"/>
        <v>4.0802466261380182E-3</v>
      </c>
      <c r="H98" s="1146">
        <f t="shared" si="282"/>
        <v>1.002235927255124E-3</v>
      </c>
      <c r="I98" s="1146">
        <f t="shared" si="282"/>
        <v>6.4664587393231535E-4</v>
      </c>
      <c r="J98" s="1146">
        <f t="shared" si="282"/>
        <v>2.6361462115984021E-4</v>
      </c>
      <c r="K98" s="1146">
        <f t="shared" si="282"/>
        <v>1.6696720405893555E-3</v>
      </c>
      <c r="L98" s="1146">
        <f t="shared" si="282"/>
        <v>7.5071664649117706E-3</v>
      </c>
      <c r="M98" s="1146">
        <f t="shared" si="282"/>
        <v>4.4631671945410788E-4</v>
      </c>
      <c r="N98" s="1146">
        <f t="shared" si="282"/>
        <v>1.21485373704508E-3</v>
      </c>
      <c r="O98" s="1146">
        <f t="shared" si="282"/>
        <v>1.0204394210036488E-3</v>
      </c>
      <c r="P98" s="1146">
        <f t="shared" si="282"/>
        <v>2.1523940454819084E-3</v>
      </c>
      <c r="Q98" s="1146">
        <f t="shared" si="282"/>
        <v>1.0631500451223884E-3</v>
      </c>
      <c r="R98" s="1146">
        <f t="shared" si="282"/>
        <v>3.14992149350204E-3</v>
      </c>
      <c r="S98" s="1146">
        <f t="shared" si="282"/>
        <v>1.3542233716432868E-3</v>
      </c>
      <c r="T98" s="1146">
        <f t="shared" si="282"/>
        <v>0</v>
      </c>
      <c r="U98" s="1146">
        <f t="shared" si="282"/>
        <v>6.546852319595913E-4</v>
      </c>
      <c r="V98" s="1146">
        <f t="shared" si="282"/>
        <v>0</v>
      </c>
      <c r="W98" s="1146">
        <f t="shared" si="282"/>
        <v>4.2299720171576939E-3</v>
      </c>
      <c r="X98" s="1146">
        <f t="shared" si="282"/>
        <v>2.7612560419299306E-4</v>
      </c>
      <c r="Y98" s="1146">
        <f t="shared" si="282"/>
        <v>8.8254520747443335E-4</v>
      </c>
      <c r="Z98" s="1146">
        <f t="shared" si="282"/>
        <v>9.3842902045277907E-4</v>
      </c>
      <c r="AA98" s="1146">
        <f t="shared" si="282"/>
        <v>6.0282453601348161E-4</v>
      </c>
      <c r="AB98" s="1146">
        <f>IFERROR(AD212*((SUM(BK$99)/SUM(BK$95:BK$103))/(SUM(AD$212)/SUM(AD$211:AD$216))),AD212)</f>
        <v>1.7633077393309608E-3</v>
      </c>
      <c r="AC98" s="1146">
        <f>IFERROR(AE212*((SUM(BL$99)/SUM(BL$95:BL$103))/(SUM(AE$212)/SUM(AE$211:AE$216))),AE212)</f>
        <v>1.2454928900310185E-3</v>
      </c>
      <c r="AD98" s="1146">
        <f>IFERROR(AF212*((SUM(BM$99)/SUM(BM$95:BM$103))/(SUM(AF$212)/SUM(AF$211:AF$216))),AF212)</f>
        <v>3.8521541722027418E-4</v>
      </c>
      <c r="AE98" s="1173">
        <f t="shared" si="216"/>
        <v>6.5055029180940083E-2</v>
      </c>
      <c r="AF98" s="1179"/>
      <c r="AG98" s="1164"/>
      <c r="AL98" s="1144" t="s">
        <v>1134</v>
      </c>
      <c r="AM98" s="1144" t="s">
        <v>54</v>
      </c>
      <c r="AN98" s="1135">
        <f>SUMIFS(Table9[Count of EnergyRating],Table9[MainSpaceHeatingFuel],AL98,Table9[EnergyRating (group)],AM98,Table9[CountyName (group)],AN$4)</f>
        <v>0</v>
      </c>
      <c r="AO98" s="1164">
        <f>SUMIFS(Table9[Count of EnergyRating],Table9[MainSpaceHeatingFuel],AL98,Table9[EnergyRating (group)],AM98,Table9[CountyName (group)],AO$4)</f>
        <v>66</v>
      </c>
      <c r="AP98" s="1164">
        <f>SUMIFS(Table9[Count of EnergyRating],Table9[MainSpaceHeatingFuel],AL98,Table9[EnergyRating (group)],AM98,Table9[CountyName (group)],AP$4)</f>
        <v>0</v>
      </c>
      <c r="AQ98" s="1164">
        <f>SUMIFS(Table9[Count of EnergyRating],Table9[MainSpaceHeatingFuel],AL98,Table9[EnergyRating (group)],AM98,Table9[CountyName (group)],AQ$4)</f>
        <v>0</v>
      </c>
      <c r="AR98" s="1164">
        <f>SUMIFS(Table9[Count of EnergyRating],Table9[MainSpaceHeatingFuel],AL98,Table9[EnergyRating (group)],AM98,Table9[CountyName (group)],AR$4)</f>
        <v>0</v>
      </c>
      <c r="AS98" s="1164">
        <f>SUMIFS(Table9[Count of EnergyRating],Table9[MainSpaceHeatingFuel],AL98,Table9[EnergyRating (group)],AM98,Table9[CountyName (group)],AS$4)</f>
        <v>0</v>
      </c>
      <c r="AT98" s="1164">
        <f>SUMIFS(Table9[Count of EnergyRating],Table9[MainSpaceHeatingFuel],AL98,Table9[EnergyRating (group)],AM98,Table9[CountyName (group)],AT$4)</f>
        <v>0</v>
      </c>
      <c r="AU98" s="1164">
        <f>SUMIFS(Table9[Count of EnergyRating],Table9[MainSpaceHeatingFuel],AL98,Table9[EnergyRating (group)],AM98,Table9[CountyName (group)],AU$4)</f>
        <v>0</v>
      </c>
      <c r="AV98" s="1164">
        <f>SUMIFS(Table9[Count of EnergyRating],Table9[MainSpaceHeatingFuel],AL98,Table9[EnergyRating (group)],AM98,Table9[CountyName (group)],AV$4)</f>
        <v>0</v>
      </c>
      <c r="AW98" s="1164">
        <f>SUMIFS(Table9[Count of EnergyRating],Table9[MainSpaceHeatingFuel],AL98,Table9[EnergyRating (group)],AM98,Table9[CountyName (group)],AW$4)</f>
        <v>0</v>
      </c>
      <c r="AX98" s="1164">
        <f>SUMIFS(Table9[Count of EnergyRating],Table9[MainSpaceHeatingFuel],AL98,Table9[EnergyRating (group)],AM98,Table9[CountyName (group)],AX$4)</f>
        <v>0</v>
      </c>
      <c r="AY98" s="1164">
        <f>SUMIFS(Table9[Count of EnergyRating],Table9[MainSpaceHeatingFuel],AL98,Table9[EnergyRating (group)],AM98,Table9[CountyName (group)],AY$4)</f>
        <v>0</v>
      </c>
      <c r="AZ98" s="1164">
        <f>SUMIFS(Table9[Count of EnergyRating],Table9[MainSpaceHeatingFuel],AL98,Table9[EnergyRating (group)],AM98,Table9[CountyName (group)],AZ$4)</f>
        <v>0</v>
      </c>
      <c r="BA98" s="1164">
        <f>SUMIFS(Table9[Count of EnergyRating],Table9[MainSpaceHeatingFuel],AL98,Table9[EnergyRating (group)],AM98,Table9[CountyName (group)],BA$4)</f>
        <v>0</v>
      </c>
      <c r="BB98" s="1164">
        <f>SUMIFS(Table9[Count of EnergyRating],Table9[MainSpaceHeatingFuel],AL98,Table9[EnergyRating (group)],AM98,Table9[CountyName (group)],BB$4)</f>
        <v>0</v>
      </c>
      <c r="BC98" s="1164">
        <f>SUMIFS(Table9[Count of EnergyRating],Table9[MainSpaceHeatingFuel],AL98,Table9[EnergyRating (group)],AM98,Table9[CountyName (group)],BC$4)</f>
        <v>0</v>
      </c>
      <c r="BD98" s="1164">
        <f>SUMIFS(Table9[Count of EnergyRating],Table9[MainSpaceHeatingFuel],AL98,Table9[EnergyRating (group)],AM98,Table9[CountyName (group)],BD$4)</f>
        <v>0</v>
      </c>
      <c r="BE98" s="1164">
        <f>SUMIFS(Table9[Count of EnergyRating],Table9[MainSpaceHeatingFuel],AL98,Table9[EnergyRating (group)],AM98,Table9[CountyName (group)],BE$4)</f>
        <v>1</v>
      </c>
      <c r="BF98" s="1164">
        <f>SUMIFS(Table9[Count of EnergyRating],Table9[MainSpaceHeatingFuel],AL98,Table9[EnergyRating (group)],AM98,Table9[CountyName (group)],BF$4)</f>
        <v>0</v>
      </c>
      <c r="BG98" s="1164">
        <f>SUMIFS(Table9[Count of EnergyRating],Table9[MainSpaceHeatingFuel],AL98,Table9[EnergyRating (group)],AM98,Table9[CountyName (group)],BG$4)</f>
        <v>0</v>
      </c>
      <c r="BH98" s="1164">
        <f>SUMIFS(Table9[Count of EnergyRating],Table9[MainSpaceHeatingFuel],AL98,Table9[EnergyRating (group)],AM98,Table9[CountyName (group)],BH$4)</f>
        <v>0</v>
      </c>
      <c r="BI98" s="1164">
        <f>SUMIFS(Table9[Count of EnergyRating],Table9[MainSpaceHeatingFuel],AL98,Table9[EnergyRating (group)],AM98,Table9[CountyName (group)],BI$4)</f>
        <v>0</v>
      </c>
      <c r="BJ98" s="1164">
        <f>SUMIFS(Table9[Count of EnergyRating],Table9[MainSpaceHeatingFuel],AL98,Table9[EnergyRating (group)],AM98,Table9[CountyName (group)],BJ$4)</f>
        <v>0</v>
      </c>
      <c r="BK98" s="1135">
        <f>SUMIFS(Table9[Count of EnergyRating],Table9[MainSpaceHeatingFuel],AL98,Table9[EnergyRating (group)],AM98,Table9[CountyName (group)],BK$4)</f>
        <v>0</v>
      </c>
      <c r="BL98" s="1164">
        <f>SUMIFS(Table9[Count of EnergyRating],Table9[MainSpaceHeatingFuel],AL98,Table9[EnergyRating (group)],AM98,Table9[CountyName (group)],BL$4)</f>
        <v>0</v>
      </c>
      <c r="BM98" s="1164">
        <f>SUMIFS(Table9[Count of EnergyRating],Table9[MainSpaceHeatingFuel],AL98,Table9[EnergyRating (group)],AM98,Table9[CountyName (group)],BM$4)</f>
        <v>0</v>
      </c>
    </row>
    <row r="99" spans="2:65" ht="15">
      <c r="B99" s="1134" t="s">
        <v>58</v>
      </c>
      <c r="C99" s="1134" t="s">
        <v>1190</v>
      </c>
      <c r="D99" s="1134" t="s">
        <v>1094</v>
      </c>
      <c r="E99" s="1145">
        <f t="shared" ref="E99:AA99" si="283">IFERROR(G213*((SUM(AN$100)/SUM(AN$95:AN$103))/(SUM(G$213)/SUM(G$211:G$216))),G213)</f>
        <v>4.8267900436890787E-4</v>
      </c>
      <c r="F99" s="1145">
        <f t="shared" si="283"/>
        <v>1.0305552676724537E-3</v>
      </c>
      <c r="G99" s="1145">
        <f t="shared" si="283"/>
        <v>2.2921100405739695E-3</v>
      </c>
      <c r="H99" s="1145">
        <f t="shared" si="283"/>
        <v>4.9881925737238963E-4</v>
      </c>
      <c r="I99" s="1145">
        <f t="shared" si="283"/>
        <v>5.4227496094674875E-4</v>
      </c>
      <c r="J99" s="1145">
        <f t="shared" si="283"/>
        <v>3.6972365106065637E-4</v>
      </c>
      <c r="K99" s="1145">
        <f t="shared" si="283"/>
        <v>7.1828116161562505E-4</v>
      </c>
      <c r="L99" s="1145">
        <f t="shared" si="283"/>
        <v>0</v>
      </c>
      <c r="M99" s="1145">
        <f t="shared" si="283"/>
        <v>5.0757587702624028E-4</v>
      </c>
      <c r="N99" s="1145">
        <f t="shared" si="283"/>
        <v>1.2166972176779255E-3</v>
      </c>
      <c r="O99" s="1145">
        <f t="shared" si="283"/>
        <v>1.1159989654454621E-3</v>
      </c>
      <c r="P99" s="1145">
        <f t="shared" si="283"/>
        <v>1.324352369681222E-3</v>
      </c>
      <c r="Q99" s="1145">
        <f t="shared" si="283"/>
        <v>9.632567522920969E-4</v>
      </c>
      <c r="R99" s="1145">
        <f t="shared" si="283"/>
        <v>3.14992149350204E-3</v>
      </c>
      <c r="S99" s="1145">
        <f t="shared" si="283"/>
        <v>1.1908125925233009E-3</v>
      </c>
      <c r="T99" s="1145">
        <f t="shared" si="283"/>
        <v>0</v>
      </c>
      <c r="U99" s="1145">
        <f t="shared" si="283"/>
        <v>1.1223175405021563E-3</v>
      </c>
      <c r="V99" s="1145">
        <f t="shared" si="283"/>
        <v>0</v>
      </c>
      <c r="W99" s="1145">
        <f t="shared" si="283"/>
        <v>4.3782907081053911E-3</v>
      </c>
      <c r="X99" s="1145">
        <f t="shared" si="283"/>
        <v>2.8320574789024927E-4</v>
      </c>
      <c r="Y99" s="1145">
        <f t="shared" si="283"/>
        <v>1.0468285144934837E-3</v>
      </c>
      <c r="Z99" s="1145">
        <f t="shared" si="283"/>
        <v>0</v>
      </c>
      <c r="AA99" s="1145">
        <f t="shared" si="283"/>
        <v>7.8793429252671217E-4</v>
      </c>
      <c r="AB99" s="1145">
        <f>IFERROR(AD213*((SUM(BK$100)/SUM(BK$95:BK$103))/(SUM(AD$213)/SUM(AD$211:AD$216))),AD213)</f>
        <v>0</v>
      </c>
      <c r="AC99" s="1145">
        <f>IFERROR(AE213*((SUM(BL$100)/SUM(BL$95:BL$103))/(SUM(AE$213)/SUM(AE$211:AE$216))),AE213)</f>
        <v>7.7169852092252671E-4</v>
      </c>
      <c r="AD99" s="1145">
        <f>IFERROR(AF213*((SUM(BM$100)/SUM(BM$95:BM$103))/(SUM(AF$213)/SUM(AF$211:AF$216))),AF213)</f>
        <v>3.1267485163983291E-4</v>
      </c>
      <c r="AE99" s="1172">
        <f t="shared" si="216"/>
        <v>2.4106008787839386E-2</v>
      </c>
      <c r="AF99" s="1179"/>
      <c r="AG99" s="1164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SUMIFS(Table9[Count of EnergyRating],Table9[MainSpaceHeatingFuel],AL99,Table9[EnergyRating (group)],AM99,Table9[CountyName (group)],AN$4)</f>
        <v>0</v>
      </c>
      <c r="AO99" s="1164">
        <f>SUMIFS(Table9[Count of EnergyRating],Table9[MainSpaceHeatingFuel],AL99,Table9[EnergyRating (group)],AM99,Table9[CountyName (group)],AO$4)</f>
        <v>27</v>
      </c>
      <c r="AP99" s="1164">
        <f>SUMIFS(Table9[Count of EnergyRating],Table9[MainSpaceHeatingFuel],AL99,Table9[EnergyRating (group)],AM99,Table9[CountyName (group)],AP$4)</f>
        <v>0</v>
      </c>
      <c r="AQ99" s="1164">
        <f>SUMIFS(Table9[Count of EnergyRating],Table9[MainSpaceHeatingFuel],AL99,Table9[EnergyRating (group)],AM99,Table9[CountyName (group)],AQ$4)</f>
        <v>0</v>
      </c>
      <c r="AR99" s="1164">
        <f>SUMIFS(Table9[Count of EnergyRating],Table9[MainSpaceHeatingFuel],AL99,Table9[EnergyRating (group)],AM99,Table9[CountyName (group)],AR$4)</f>
        <v>0</v>
      </c>
      <c r="AS99" s="1164">
        <f>SUMIFS(Table9[Count of EnergyRating],Table9[MainSpaceHeatingFuel],AL99,Table9[EnergyRating (group)],AM99,Table9[CountyName (group)],AS$4)</f>
        <v>0</v>
      </c>
      <c r="AT99" s="1164">
        <f>SUMIFS(Table9[Count of EnergyRating],Table9[MainSpaceHeatingFuel],AL99,Table9[EnergyRating (group)],AM99,Table9[CountyName (group)],AT$4)</f>
        <v>0</v>
      </c>
      <c r="AU99" s="1164">
        <f>SUMIFS(Table9[Count of EnergyRating],Table9[MainSpaceHeatingFuel],AL99,Table9[EnergyRating (group)],AM99,Table9[CountyName (group)],AU$4)</f>
        <v>1</v>
      </c>
      <c r="AV99" s="1164">
        <f>SUMIFS(Table9[Count of EnergyRating],Table9[MainSpaceHeatingFuel],AL99,Table9[EnergyRating (group)],AM99,Table9[CountyName (group)],AV$4)</f>
        <v>0</v>
      </c>
      <c r="AW99" s="1164">
        <f>SUMIFS(Table9[Count of EnergyRating],Table9[MainSpaceHeatingFuel],AL99,Table9[EnergyRating (group)],AM99,Table9[CountyName (group)],AW$4)</f>
        <v>0</v>
      </c>
      <c r="AX99" s="1164">
        <f>SUMIFS(Table9[Count of EnergyRating],Table9[MainSpaceHeatingFuel],AL99,Table9[EnergyRating (group)],AM99,Table9[CountyName (group)],AX$4)</f>
        <v>0</v>
      </c>
      <c r="AY99" s="1164">
        <f>SUMIFS(Table9[Count of EnergyRating],Table9[MainSpaceHeatingFuel],AL99,Table9[EnergyRating (group)],AM99,Table9[CountyName (group)],AY$4)</f>
        <v>0</v>
      </c>
      <c r="AZ99" s="1164">
        <f>SUMIFS(Table9[Count of EnergyRating],Table9[MainSpaceHeatingFuel],AL99,Table9[EnergyRating (group)],AM99,Table9[CountyName (group)],AZ$4)</f>
        <v>0</v>
      </c>
      <c r="BA99" s="1164">
        <f>SUMIFS(Table9[Count of EnergyRating],Table9[MainSpaceHeatingFuel],AL99,Table9[EnergyRating (group)],AM99,Table9[CountyName (group)],BA$4)</f>
        <v>1</v>
      </c>
      <c r="BB99" s="1164">
        <f>SUMIFS(Table9[Count of EnergyRating],Table9[MainSpaceHeatingFuel],AL99,Table9[EnergyRating (group)],AM99,Table9[CountyName (group)],BB$4)</f>
        <v>0</v>
      </c>
      <c r="BC99" s="1164">
        <f>SUMIFS(Table9[Count of EnergyRating],Table9[MainSpaceHeatingFuel],AL99,Table9[EnergyRating (group)],AM99,Table9[CountyName (group)],BC$4)</f>
        <v>0</v>
      </c>
      <c r="BD99" s="1164">
        <f>SUMIFS(Table9[Count of EnergyRating],Table9[MainSpaceHeatingFuel],AL99,Table9[EnergyRating (group)],AM99,Table9[CountyName (group)],BD$4)</f>
        <v>0</v>
      </c>
      <c r="BE99" s="1164">
        <f>SUMIFS(Table9[Count of EnergyRating],Table9[MainSpaceHeatingFuel],AL99,Table9[EnergyRating (group)],AM99,Table9[CountyName (group)],BE$4)</f>
        <v>0</v>
      </c>
      <c r="BF99" s="1164">
        <f>SUMIFS(Table9[Count of EnergyRating],Table9[MainSpaceHeatingFuel],AL99,Table9[EnergyRating (group)],AM99,Table9[CountyName (group)],BF$4)</f>
        <v>0</v>
      </c>
      <c r="BG99" s="1164">
        <f>SUMIFS(Table9[Count of EnergyRating],Table9[MainSpaceHeatingFuel],AL99,Table9[EnergyRating (group)],AM99,Table9[CountyName (group)],BG$4)</f>
        <v>0</v>
      </c>
      <c r="BH99" s="1164">
        <f>SUMIFS(Table9[Count of EnergyRating],Table9[MainSpaceHeatingFuel],AL99,Table9[EnergyRating (group)],AM99,Table9[CountyName (group)],BH$4)</f>
        <v>0</v>
      </c>
      <c r="BI99" s="1164">
        <f>SUMIFS(Table9[Count of EnergyRating],Table9[MainSpaceHeatingFuel],AL99,Table9[EnergyRating (group)],AM99,Table9[CountyName (group)],BI$4)</f>
        <v>1</v>
      </c>
      <c r="BJ99" s="1164">
        <f>SUMIFS(Table9[Count of EnergyRating],Table9[MainSpaceHeatingFuel],AL99,Table9[EnergyRating (group)],AM99,Table9[CountyName (group)],BJ$4)</f>
        <v>0</v>
      </c>
      <c r="BK99" s="1135">
        <f>SUMIFS(Table9[Count of EnergyRating],Table9[MainSpaceHeatingFuel],AL99,Table9[EnergyRating (group)],AM99,Table9[CountyName (group)],BK$4)</f>
        <v>1</v>
      </c>
      <c r="BL99" s="1164">
        <f>SUMIFS(Table9[Count of EnergyRating],Table9[MainSpaceHeatingFuel],AL99,Table9[EnergyRating (group)],AM99,Table9[CountyName (group)],BL$4)</f>
        <v>0</v>
      </c>
      <c r="BM99" s="1164">
        <f>SUMIFS(Table9[Count of EnergyRating],Table9[MainSpaceHeatingFuel],AL99,Table9[EnergyRating (group)],AM99,Table9[CountyName (group)],BM$4)</f>
        <v>0</v>
      </c>
    </row>
    <row r="100" spans="2:65" ht="15">
      <c r="B100" s="1136" t="s">
        <v>60</v>
      </c>
      <c r="C100" s="1136" t="s">
        <v>1190</v>
      </c>
      <c r="D100" s="1136" t="s">
        <v>1094</v>
      </c>
      <c r="E100" s="1146">
        <f t="shared" ref="E100:AA100" si="284">IFERROR(G214*((SUM(AN$101)/SUM(AN$95:AN$103))/(SUM(G$214)/SUM(G$211:G$216))),G214)</f>
        <v>2.4966155398391786E-4</v>
      </c>
      <c r="F100" s="1146">
        <f t="shared" si="284"/>
        <v>2.0611105353449074E-3</v>
      </c>
      <c r="G100" s="1146">
        <f t="shared" si="284"/>
        <v>1.2720483840394652E-3</v>
      </c>
      <c r="H100" s="1146">
        <f t="shared" si="284"/>
        <v>2.3216933177240255E-4</v>
      </c>
      <c r="I100" s="1146">
        <f t="shared" si="284"/>
        <v>2.1101075886212394E-4</v>
      </c>
      <c r="J100" s="1146">
        <f t="shared" si="284"/>
        <v>1.5916354485122429E-4</v>
      </c>
      <c r="K100" s="1146">
        <f t="shared" si="284"/>
        <v>4.1315380800054427E-4</v>
      </c>
      <c r="L100" s="1146">
        <f t="shared" si="284"/>
        <v>0</v>
      </c>
      <c r="M100" s="1146">
        <f t="shared" si="284"/>
        <v>2.8004186318689118E-4</v>
      </c>
      <c r="N100" s="1146">
        <f t="shared" si="284"/>
        <v>5.5488767048644783E-4</v>
      </c>
      <c r="O100" s="1146">
        <f t="shared" si="284"/>
        <v>7.4229288986051359E-4</v>
      </c>
      <c r="P100" s="1146">
        <f t="shared" si="284"/>
        <v>5.8631522385887123E-4</v>
      </c>
      <c r="Q100" s="1146">
        <f t="shared" si="284"/>
        <v>6.3325212419202662E-4</v>
      </c>
      <c r="R100" s="1146">
        <f t="shared" si="284"/>
        <v>3.1499214935020404E-3</v>
      </c>
      <c r="S100" s="1146">
        <f t="shared" si="284"/>
        <v>5.667224892884615E-4</v>
      </c>
      <c r="T100" s="1146">
        <f t="shared" si="284"/>
        <v>0</v>
      </c>
      <c r="U100" s="1146">
        <f t="shared" si="284"/>
        <v>6.3390157380214401E-4</v>
      </c>
      <c r="V100" s="1146">
        <f t="shared" si="284"/>
        <v>0</v>
      </c>
      <c r="W100" s="1146">
        <f t="shared" si="284"/>
        <v>2.4000660898809132E-3</v>
      </c>
      <c r="X100" s="1146">
        <f t="shared" si="284"/>
        <v>9.345789680378226E-5</v>
      </c>
      <c r="Y100" s="1146">
        <f t="shared" si="284"/>
        <v>4.3363151968981903E-4</v>
      </c>
      <c r="Z100" s="1146">
        <f t="shared" si="284"/>
        <v>0</v>
      </c>
      <c r="AA100" s="1146">
        <f t="shared" si="284"/>
        <v>5.2488358590264755E-4</v>
      </c>
      <c r="AB100" s="1146">
        <f>IFERROR(AD214*((SUM(BK$101)/SUM(BK$95:BK$103))/(SUM(AD$214)/SUM(AD$211:AD$216))),AD214)</f>
        <v>0</v>
      </c>
      <c r="AC100" s="1146">
        <f>IFERROR(AE214*((SUM(BL$101)/SUM(BL$95:BL$103))/(SUM(AE$214)/SUM(AE$211:AE$216))),AE214)</f>
        <v>4.5794840358646862E-4</v>
      </c>
      <c r="AD100" s="1146">
        <f>IFERROR(AF214*((SUM(BM$101)/SUM(BM$95:BM$103))/(SUM(AF$214)/SUM(AF$211:AF$216))),AF214)</f>
        <v>2.1512029792820504E-4</v>
      </c>
      <c r="AE100" s="1173">
        <f t="shared" si="216"/>
        <v>1.5870761038823816E-2</v>
      </c>
      <c r="AF100" s="1179"/>
      <c r="AG100" s="58" t="s">
        <v>1163</v>
      </c>
      <c r="AH100" s="1158">
        <f>SUM(E106:AD111)</f>
        <v>13.771329302514589</v>
      </c>
      <c r="AI100" s="1140">
        <f>'SHWLP-Apt'!S24</f>
        <v>13.771329302514584</v>
      </c>
      <c r="AJ100" s="1160">
        <f>IFERROR((AI100-AH100)/AI100,"N/A")</f>
        <v>-3.8696849092321731E-16</v>
      </c>
      <c r="AL100" s="1144" t="s">
        <v>1134</v>
      </c>
      <c r="AM100" s="1144" t="s">
        <v>58</v>
      </c>
      <c r="AN100" s="1135">
        <f>SUMIFS(Table9[Count of EnergyRating],Table9[MainSpaceHeatingFuel],AL100,Table9[EnergyRating (group)],AM100,Table9[CountyName (group)],AN$4)</f>
        <v>0</v>
      </c>
      <c r="AO100" s="1164">
        <f>SUMIFS(Table9[Count of EnergyRating],Table9[MainSpaceHeatingFuel],AL100,Table9[EnergyRating (group)],AM100,Table9[CountyName (group)],AO$4)</f>
        <v>1</v>
      </c>
      <c r="AP100" s="1164">
        <f>SUMIFS(Table9[Count of EnergyRating],Table9[MainSpaceHeatingFuel],AL100,Table9[EnergyRating (group)],AM100,Table9[CountyName (group)],AP$4)</f>
        <v>0</v>
      </c>
      <c r="AQ100" s="1164">
        <f>SUMIFS(Table9[Count of EnergyRating],Table9[MainSpaceHeatingFuel],AL100,Table9[EnergyRating (group)],AM100,Table9[CountyName (group)],AQ$4)</f>
        <v>0</v>
      </c>
      <c r="AR100" s="1164">
        <f>SUMIFS(Table9[Count of EnergyRating],Table9[MainSpaceHeatingFuel],AL100,Table9[EnergyRating (group)],AM100,Table9[CountyName (group)],AR$4)</f>
        <v>0</v>
      </c>
      <c r="AS100" s="1164">
        <f>SUMIFS(Table9[Count of EnergyRating],Table9[MainSpaceHeatingFuel],AL100,Table9[EnergyRating (group)],AM100,Table9[CountyName (group)],AS$4)</f>
        <v>0</v>
      </c>
      <c r="AT100" s="1164">
        <f>SUMIFS(Table9[Count of EnergyRating],Table9[MainSpaceHeatingFuel],AL100,Table9[EnergyRating (group)],AM100,Table9[CountyName (group)],AT$4)</f>
        <v>0</v>
      </c>
      <c r="AU100" s="1164">
        <f>SUMIFS(Table9[Count of EnergyRating],Table9[MainSpaceHeatingFuel],AL100,Table9[EnergyRating (group)],AM100,Table9[CountyName (group)],AU$4)</f>
        <v>0</v>
      </c>
      <c r="AV100" s="1164">
        <f>SUMIFS(Table9[Count of EnergyRating],Table9[MainSpaceHeatingFuel],AL100,Table9[EnergyRating (group)],AM100,Table9[CountyName (group)],AV$4)</f>
        <v>0</v>
      </c>
      <c r="AW100" s="1164">
        <f>SUMIFS(Table9[Count of EnergyRating],Table9[MainSpaceHeatingFuel],AL100,Table9[EnergyRating (group)],AM100,Table9[CountyName (group)],AW$4)</f>
        <v>0</v>
      </c>
      <c r="AX100" s="1164">
        <f>SUMIFS(Table9[Count of EnergyRating],Table9[MainSpaceHeatingFuel],AL100,Table9[EnergyRating (group)],AM100,Table9[CountyName (group)],AX$4)</f>
        <v>0</v>
      </c>
      <c r="AY100" s="1164">
        <f>SUMIFS(Table9[Count of EnergyRating],Table9[MainSpaceHeatingFuel],AL100,Table9[EnergyRating (group)],AM100,Table9[CountyName (group)],AY$4)</f>
        <v>0</v>
      </c>
      <c r="AZ100" s="1164">
        <f>SUMIFS(Table9[Count of EnergyRating],Table9[MainSpaceHeatingFuel],AL100,Table9[EnergyRating (group)],AM100,Table9[CountyName (group)],AZ$4)</f>
        <v>0</v>
      </c>
      <c r="BA100" s="1164">
        <f>SUMIFS(Table9[Count of EnergyRating],Table9[MainSpaceHeatingFuel],AL100,Table9[EnergyRating (group)],AM100,Table9[CountyName (group)],BA$4)</f>
        <v>1</v>
      </c>
      <c r="BB100" s="1164">
        <f>SUMIFS(Table9[Count of EnergyRating],Table9[MainSpaceHeatingFuel],AL100,Table9[EnergyRating (group)],AM100,Table9[CountyName (group)],BB$4)</f>
        <v>0</v>
      </c>
      <c r="BC100" s="1164">
        <f>SUMIFS(Table9[Count of EnergyRating],Table9[MainSpaceHeatingFuel],AL100,Table9[EnergyRating (group)],AM100,Table9[CountyName (group)],BC$4)</f>
        <v>0</v>
      </c>
      <c r="BD100" s="1164">
        <f>SUMIFS(Table9[Count of EnergyRating],Table9[MainSpaceHeatingFuel],AL100,Table9[EnergyRating (group)],AM100,Table9[CountyName (group)],BD$4)</f>
        <v>0</v>
      </c>
      <c r="BE100" s="1164">
        <f>SUMIFS(Table9[Count of EnergyRating],Table9[MainSpaceHeatingFuel],AL100,Table9[EnergyRating (group)],AM100,Table9[CountyName (group)],BE$4)</f>
        <v>0</v>
      </c>
      <c r="BF100" s="1164">
        <f>SUMIFS(Table9[Count of EnergyRating],Table9[MainSpaceHeatingFuel],AL100,Table9[EnergyRating (group)],AM100,Table9[CountyName (group)],BF$4)</f>
        <v>0</v>
      </c>
      <c r="BG100" s="1164">
        <f>SUMIFS(Table9[Count of EnergyRating],Table9[MainSpaceHeatingFuel],AL100,Table9[EnergyRating (group)],AM100,Table9[CountyName (group)],BG$4)</f>
        <v>0</v>
      </c>
      <c r="BH100" s="1164">
        <f>SUMIFS(Table9[Count of EnergyRating],Table9[MainSpaceHeatingFuel],AL100,Table9[EnergyRating (group)],AM100,Table9[CountyName (group)],BH$4)</f>
        <v>0</v>
      </c>
      <c r="BI100" s="1164">
        <f>SUMIFS(Table9[Count of EnergyRating],Table9[MainSpaceHeatingFuel],AL100,Table9[EnergyRating (group)],AM100,Table9[CountyName (group)],BI$4)</f>
        <v>0</v>
      </c>
      <c r="BJ100" s="1164">
        <f>SUMIFS(Table9[Count of EnergyRating],Table9[MainSpaceHeatingFuel],AL100,Table9[EnergyRating (group)],AM100,Table9[CountyName (group)],BJ$4)</f>
        <v>0</v>
      </c>
      <c r="BK100" s="1135">
        <f>SUMIFS(Table9[Count of EnergyRating],Table9[MainSpaceHeatingFuel],AL100,Table9[EnergyRating (group)],AM100,Table9[CountyName (group)],BK$4)</f>
        <v>0</v>
      </c>
      <c r="BL100" s="1164">
        <f>SUMIFS(Table9[Count of EnergyRating],Table9[MainSpaceHeatingFuel],AL100,Table9[EnergyRating (group)],AM100,Table9[CountyName (group)],BL$4)</f>
        <v>0</v>
      </c>
      <c r="BM100" s="1164">
        <f>SUMIFS(Table9[Count of EnergyRating],Table9[MainSpaceHeatingFuel],AL100,Table9[EnergyRating (group)],AM100,Table9[CountyName (group)],BM$4)</f>
        <v>0</v>
      </c>
    </row>
    <row r="101" spans="2:65" ht="15">
      <c r="B101" s="1134" t="s">
        <v>62</v>
      </c>
      <c r="C101" s="1134" t="s">
        <v>1190</v>
      </c>
      <c r="D101" s="1134" t="s">
        <v>1094</v>
      </c>
      <c r="E101" s="1145">
        <f t="shared" ref="E101:AA101" si="285">IFERROR(G215*((SUM(AN$102)/SUM(AN$95:AN$103))/(SUM(G$215)/SUM(G$211:G$216))),G215)</f>
        <v>9.6165931904916487E-5</v>
      </c>
      <c r="F101" s="1145">
        <f t="shared" si="285"/>
        <v>0</v>
      </c>
      <c r="G101" s="1145">
        <f t="shared" si="285"/>
        <v>4.1674728010435814E-4</v>
      </c>
      <c r="H101" s="1145">
        <f t="shared" si="285"/>
        <v>9.8844368972409E-5</v>
      </c>
      <c r="I101" s="1145">
        <f t="shared" si="285"/>
        <v>7.2605852511698564E-5</v>
      </c>
      <c r="J101" s="1145">
        <f t="shared" si="285"/>
        <v>4.1448839805006319E-5</v>
      </c>
      <c r="K101" s="1145">
        <f t="shared" si="285"/>
        <v>1.5730167919286776E-4</v>
      </c>
      <c r="L101" s="1145">
        <f t="shared" si="285"/>
        <v>0</v>
      </c>
      <c r="M101" s="1145">
        <f t="shared" si="285"/>
        <v>1.2908179631270769E-4</v>
      </c>
      <c r="N101" s="1145">
        <f t="shared" si="285"/>
        <v>2.1200027277721431E-4</v>
      </c>
      <c r="O101" s="1145">
        <f t="shared" si="285"/>
        <v>2.2524749761284555E-4</v>
      </c>
      <c r="P101" s="1145">
        <f t="shared" si="285"/>
        <v>2.1086775594924314E-4</v>
      </c>
      <c r="Q101" s="1145">
        <f t="shared" si="285"/>
        <v>1.6946183605138739E-4</v>
      </c>
      <c r="R101" s="1145">
        <f t="shared" si="285"/>
        <v>0</v>
      </c>
      <c r="S101" s="1145">
        <f t="shared" si="285"/>
        <v>1.7210284183913401E-4</v>
      </c>
      <c r="T101" s="1145">
        <f t="shared" si="285"/>
        <v>0</v>
      </c>
      <c r="U101" s="1145">
        <f t="shared" si="285"/>
        <v>2.623936842377727E-4</v>
      </c>
      <c r="V101" s="1145">
        <f t="shared" si="285"/>
        <v>0</v>
      </c>
      <c r="W101" s="1145">
        <f t="shared" si="285"/>
        <v>6.5491370028853172E-4</v>
      </c>
      <c r="X101" s="1145">
        <f t="shared" si="285"/>
        <v>3.5400718486281158E-5</v>
      </c>
      <c r="Y101" s="1145">
        <f t="shared" si="285"/>
        <v>1.6619357803089981E-4</v>
      </c>
      <c r="Z101" s="1145">
        <f t="shared" si="285"/>
        <v>0</v>
      </c>
      <c r="AA101" s="1145">
        <f t="shared" si="285"/>
        <v>9.0119223565651786E-5</v>
      </c>
      <c r="AB101" s="1145">
        <f>IFERROR(AD215*((SUM(BK$102)/SUM(BK$95:BK$103))/(SUM(AD$215)/SUM(AD$211:AD$216))),AD215)</f>
        <v>0</v>
      </c>
      <c r="AC101" s="1145">
        <f>IFERROR(AE215*((SUM(BL$102)/SUM(BL$95:BL$103))/(SUM(AE$215)/SUM(AE$211:AE$216))),AE215)</f>
        <v>1.5687505866802904E-4</v>
      </c>
      <c r="AD101" s="1145">
        <f>IFERROR(AF215*((SUM(BM$102)/SUM(BM$95:BM$103))/(SUM(AF$215)/SUM(AF$211:AF$216))),AF215)</f>
        <v>9.0050357272271873E-5</v>
      </c>
      <c r="AE101" s="1172">
        <f t="shared" si="216"/>
        <v>3.4578222735832265E-3</v>
      </c>
      <c r="AF101" s="1179"/>
      <c r="AG101" s="58" t="s">
        <v>1107</v>
      </c>
      <c r="AH101" s="1158">
        <f>SUM(E113:AD113)</f>
        <v>13.534335067900686</v>
      </c>
      <c r="AI101" s="1140">
        <f>'SHWLP-Apt'!S50</f>
        <v>13.534335067900685</v>
      </c>
      <c r="AJ101" s="1160">
        <f>(AI101-AH101)/AI101</f>
        <v>-1.3124817957353718E-16</v>
      </c>
      <c r="AL101" s="1144" t="s">
        <v>1134</v>
      </c>
      <c r="AM101" s="1144" t="s">
        <v>60</v>
      </c>
      <c r="AN101" s="1135">
        <f>SUMIFS(Table9[Count of EnergyRating],Table9[MainSpaceHeatingFuel],AL101,Table9[EnergyRating (group)],AM101,Table9[CountyName (group)],AN$4)</f>
        <v>0</v>
      </c>
      <c r="AO101" s="1164">
        <f>SUMIFS(Table9[Count of EnergyRating],Table9[MainSpaceHeatingFuel],AL101,Table9[EnergyRating (group)],AM101,Table9[CountyName (group)],AO$4)</f>
        <v>2</v>
      </c>
      <c r="AP101" s="1164">
        <f>SUMIFS(Table9[Count of EnergyRating],Table9[MainSpaceHeatingFuel],AL101,Table9[EnergyRating (group)],AM101,Table9[CountyName (group)],AP$4)</f>
        <v>0</v>
      </c>
      <c r="AQ101" s="1164">
        <f>SUMIFS(Table9[Count of EnergyRating],Table9[MainSpaceHeatingFuel],AL101,Table9[EnergyRating (group)],AM101,Table9[CountyName (group)],AQ$4)</f>
        <v>0</v>
      </c>
      <c r="AR101" s="1164">
        <f>SUMIFS(Table9[Count of EnergyRating],Table9[MainSpaceHeatingFuel],AL101,Table9[EnergyRating (group)],AM101,Table9[CountyName (group)],AR$4)</f>
        <v>0</v>
      </c>
      <c r="AS101" s="1164">
        <f>SUMIFS(Table9[Count of EnergyRating],Table9[MainSpaceHeatingFuel],AL101,Table9[EnergyRating (group)],AM101,Table9[CountyName (group)],AS$4)</f>
        <v>0</v>
      </c>
      <c r="AT101" s="1164">
        <f>SUMIFS(Table9[Count of EnergyRating],Table9[MainSpaceHeatingFuel],AL101,Table9[EnergyRating (group)],AM101,Table9[CountyName (group)],AT$4)</f>
        <v>0</v>
      </c>
      <c r="AU101" s="1164">
        <f>SUMIFS(Table9[Count of EnergyRating],Table9[MainSpaceHeatingFuel],AL101,Table9[EnergyRating (group)],AM101,Table9[CountyName (group)],AU$4)</f>
        <v>0</v>
      </c>
      <c r="AV101" s="1164">
        <f>SUMIFS(Table9[Count of EnergyRating],Table9[MainSpaceHeatingFuel],AL101,Table9[EnergyRating (group)],AM101,Table9[CountyName (group)],AV$4)</f>
        <v>0</v>
      </c>
      <c r="AW101" s="1164">
        <f>SUMIFS(Table9[Count of EnergyRating],Table9[MainSpaceHeatingFuel],AL101,Table9[EnergyRating (group)],AM101,Table9[CountyName (group)],AW$4)</f>
        <v>0</v>
      </c>
      <c r="AX101" s="1164">
        <f>SUMIFS(Table9[Count of EnergyRating],Table9[MainSpaceHeatingFuel],AL101,Table9[EnergyRating (group)],AM101,Table9[CountyName (group)],AX$4)</f>
        <v>0</v>
      </c>
      <c r="AY101" s="1164">
        <f>SUMIFS(Table9[Count of EnergyRating],Table9[MainSpaceHeatingFuel],AL101,Table9[EnergyRating (group)],AM101,Table9[CountyName (group)],AY$4)</f>
        <v>0</v>
      </c>
      <c r="AZ101" s="1164">
        <f>SUMIFS(Table9[Count of EnergyRating],Table9[MainSpaceHeatingFuel],AL101,Table9[EnergyRating (group)],AM101,Table9[CountyName (group)],AZ$4)</f>
        <v>0</v>
      </c>
      <c r="BA101" s="1164">
        <f>SUMIFS(Table9[Count of EnergyRating],Table9[MainSpaceHeatingFuel],AL101,Table9[EnergyRating (group)],AM101,Table9[CountyName (group)],BA$4)</f>
        <v>1</v>
      </c>
      <c r="BB101" s="1164">
        <f>SUMIFS(Table9[Count of EnergyRating],Table9[MainSpaceHeatingFuel],AL101,Table9[EnergyRating (group)],AM101,Table9[CountyName (group)],BB$4)</f>
        <v>0</v>
      </c>
      <c r="BC101" s="1164">
        <f>SUMIFS(Table9[Count of EnergyRating],Table9[MainSpaceHeatingFuel],AL101,Table9[EnergyRating (group)],AM101,Table9[CountyName (group)],BC$4)</f>
        <v>0</v>
      </c>
      <c r="BD101" s="1164">
        <f>SUMIFS(Table9[Count of EnergyRating],Table9[MainSpaceHeatingFuel],AL101,Table9[EnergyRating (group)],AM101,Table9[CountyName (group)],BD$4)</f>
        <v>0</v>
      </c>
      <c r="BE101" s="1164">
        <f>SUMIFS(Table9[Count of EnergyRating],Table9[MainSpaceHeatingFuel],AL101,Table9[EnergyRating (group)],AM101,Table9[CountyName (group)],BE$4)</f>
        <v>0</v>
      </c>
      <c r="BF101" s="1164">
        <f>SUMIFS(Table9[Count of EnergyRating],Table9[MainSpaceHeatingFuel],AL101,Table9[EnergyRating (group)],AM101,Table9[CountyName (group)],BF$4)</f>
        <v>0</v>
      </c>
      <c r="BG101" s="1164">
        <f>SUMIFS(Table9[Count of EnergyRating],Table9[MainSpaceHeatingFuel],AL101,Table9[EnergyRating (group)],AM101,Table9[CountyName (group)],BG$4)</f>
        <v>0</v>
      </c>
      <c r="BH101" s="1164">
        <f>SUMIFS(Table9[Count of EnergyRating],Table9[MainSpaceHeatingFuel],AL101,Table9[EnergyRating (group)],AM101,Table9[CountyName (group)],BH$4)</f>
        <v>0</v>
      </c>
      <c r="BI101" s="1164">
        <f>SUMIFS(Table9[Count of EnergyRating],Table9[MainSpaceHeatingFuel],AL101,Table9[EnergyRating (group)],AM101,Table9[CountyName (group)],BI$4)</f>
        <v>0</v>
      </c>
      <c r="BJ101" s="1164">
        <f>SUMIFS(Table9[Count of EnergyRating],Table9[MainSpaceHeatingFuel],AL101,Table9[EnergyRating (group)],AM101,Table9[CountyName (group)],BJ$4)</f>
        <v>0</v>
      </c>
      <c r="BK101" s="1135">
        <f>SUMIFS(Table9[Count of EnergyRating],Table9[MainSpaceHeatingFuel],AL101,Table9[EnergyRating (group)],AM101,Table9[CountyName (group)],BK$4)</f>
        <v>0</v>
      </c>
      <c r="BL101" s="1164">
        <f>SUMIFS(Table9[Count of EnergyRating],Table9[MainSpaceHeatingFuel],AL101,Table9[EnergyRating (group)],AM101,Table9[CountyName (group)],BL$4)</f>
        <v>0</v>
      </c>
      <c r="BM101" s="1164">
        <f>SUMIFS(Table9[Count of EnergyRating],Table9[MainSpaceHeatingFuel],AL101,Table9[EnergyRating (group)],AM101,Table9[CountyName (group)],BM$4)</f>
        <v>0</v>
      </c>
    </row>
    <row r="102" spans="2:65" ht="15.75" thickBot="1">
      <c r="B102" s="1138" t="s">
        <v>64</v>
      </c>
      <c r="C102" s="1138" t="s">
        <v>1190</v>
      </c>
      <c r="D102" s="1138" t="s">
        <v>1094</v>
      </c>
      <c r="E102" s="1147">
        <f t="shared" ref="E102:AA102" si="286">IFERROR(G216*((SUM(AN$103)/SUM(AN$95:AN$103))/(SUM(G$216)/SUM(G$211:G$216))),G216)</f>
        <v>1.0911134581519373E-4</v>
      </c>
      <c r="F102" s="1147">
        <f t="shared" si="286"/>
        <v>0</v>
      </c>
      <c r="G102" s="1147">
        <f t="shared" si="286"/>
        <v>3.5375059822811793E-4</v>
      </c>
      <c r="H102" s="1147">
        <f t="shared" si="286"/>
        <v>1.5401331909654429E-4</v>
      </c>
      <c r="I102" s="1147">
        <f t="shared" si="286"/>
        <v>1.1117771165853841E-4</v>
      </c>
      <c r="J102" s="1147">
        <f t="shared" si="286"/>
        <v>5.6370422134808592E-5</v>
      </c>
      <c r="K102" s="1147">
        <f t="shared" si="286"/>
        <v>1.8004409064243903E-4</v>
      </c>
      <c r="L102" s="1147">
        <f t="shared" si="286"/>
        <v>0</v>
      </c>
      <c r="M102" s="1147">
        <f t="shared" si="286"/>
        <v>1.3126962336885525E-4</v>
      </c>
      <c r="N102" s="1147">
        <f t="shared" si="286"/>
        <v>1.6591325695608074E-4</v>
      </c>
      <c r="O102" s="1147">
        <f t="shared" si="286"/>
        <v>2.6620158808790838E-4</v>
      </c>
      <c r="P102" s="1147">
        <f t="shared" si="286"/>
        <v>3.6258967791272294E-4</v>
      </c>
      <c r="Q102" s="1147">
        <f t="shared" si="286"/>
        <v>2.5865227607843339E-4</v>
      </c>
      <c r="R102" s="1147">
        <f t="shared" si="286"/>
        <v>3.14992149350204E-3</v>
      </c>
      <c r="S102" s="1147">
        <f t="shared" si="286"/>
        <v>2.6423870666210473E-4</v>
      </c>
      <c r="T102" s="1147">
        <f t="shared" si="286"/>
        <v>1.0350681953875564E-2</v>
      </c>
      <c r="U102" s="1147">
        <f t="shared" si="286"/>
        <v>4.3126090676703238E-4</v>
      </c>
      <c r="V102" s="1147">
        <f t="shared" si="286"/>
        <v>0</v>
      </c>
      <c r="W102" s="1147">
        <f t="shared" si="286"/>
        <v>4.7962797462307175E-4</v>
      </c>
      <c r="X102" s="1147">
        <f t="shared" si="286"/>
        <v>3.3984689746829915E-5</v>
      </c>
      <c r="Y102" s="1147">
        <f t="shared" si="286"/>
        <v>1.8338601713754459E-4</v>
      </c>
      <c r="Z102" s="1147">
        <f t="shared" si="286"/>
        <v>0</v>
      </c>
      <c r="AA102" s="1147">
        <f t="shared" si="286"/>
        <v>6.0891367274089041E-5</v>
      </c>
      <c r="AB102" s="1147">
        <f>IFERROR(AD216*((SUM(BK$103)/SUM(BK$95:BK$103))/(SUM(AD$216)/SUM(AD$211:AD$216))),AD216)</f>
        <v>0</v>
      </c>
      <c r="AC102" s="1147">
        <f>IFERROR(AE216*((SUM(BL$103)/SUM(BL$95:BL$103))/(SUM(AE$216)/SUM(AE$211:AE$216))),AE216)</f>
        <v>1.9015158626427763E-4</v>
      </c>
      <c r="AD102" s="1147">
        <f>IFERROR(AF216*((SUM(BM$103)/SUM(BM$95:BM$103))/(SUM(AF$216)/SUM(AF$211:AF$216))),AF216)</f>
        <v>2.2512589318067974E-4</v>
      </c>
      <c r="AE102" s="1174">
        <f t="shared" si="216"/>
        <v>1.7518364499012878E-2</v>
      </c>
      <c r="AF102" s="1179"/>
      <c r="AG102" s="1164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SUMIFS(Table9[Count of EnergyRating],Table9[MainSpaceHeatingFuel],AL102,Table9[EnergyRating (group)],AM102,Table9[CountyName (group)],AN$4)</f>
        <v>0</v>
      </c>
      <c r="AO102" s="1164">
        <f>SUMIFS(Table9[Count of EnergyRating],Table9[MainSpaceHeatingFuel],AL102,Table9[EnergyRating (group)],AM102,Table9[CountyName (group)],AO$4)</f>
        <v>0</v>
      </c>
      <c r="AP102" s="1164">
        <f>SUMIFS(Table9[Count of EnergyRating],Table9[MainSpaceHeatingFuel],AL102,Table9[EnergyRating (group)],AM102,Table9[CountyName (group)],AP$4)</f>
        <v>0</v>
      </c>
      <c r="AQ102" s="1164">
        <f>SUMIFS(Table9[Count of EnergyRating],Table9[MainSpaceHeatingFuel],AL102,Table9[EnergyRating (group)],AM102,Table9[CountyName (group)],AQ$4)</f>
        <v>0</v>
      </c>
      <c r="AR102" s="1164">
        <f>SUMIFS(Table9[Count of EnergyRating],Table9[MainSpaceHeatingFuel],AL102,Table9[EnergyRating (group)],AM102,Table9[CountyName (group)],AR$4)</f>
        <v>0</v>
      </c>
      <c r="AS102" s="1164">
        <f>SUMIFS(Table9[Count of EnergyRating],Table9[MainSpaceHeatingFuel],AL102,Table9[EnergyRating (group)],AM102,Table9[CountyName (group)],AS$4)</f>
        <v>0</v>
      </c>
      <c r="AT102" s="1164">
        <f>SUMIFS(Table9[Count of EnergyRating],Table9[MainSpaceHeatingFuel],AL102,Table9[EnergyRating (group)],AM102,Table9[CountyName (group)],AT$4)</f>
        <v>0</v>
      </c>
      <c r="AU102" s="1164">
        <f>SUMIFS(Table9[Count of EnergyRating],Table9[MainSpaceHeatingFuel],AL102,Table9[EnergyRating (group)],AM102,Table9[CountyName (group)],AU$4)</f>
        <v>0</v>
      </c>
      <c r="AV102" s="1164">
        <f>SUMIFS(Table9[Count of EnergyRating],Table9[MainSpaceHeatingFuel],AL102,Table9[EnergyRating (group)],AM102,Table9[CountyName (group)],AV$4)</f>
        <v>0</v>
      </c>
      <c r="AW102" s="1164">
        <f>SUMIFS(Table9[Count of EnergyRating],Table9[MainSpaceHeatingFuel],AL102,Table9[EnergyRating (group)],AM102,Table9[CountyName (group)],AW$4)</f>
        <v>0</v>
      </c>
      <c r="AX102" s="1164">
        <f>SUMIFS(Table9[Count of EnergyRating],Table9[MainSpaceHeatingFuel],AL102,Table9[EnergyRating (group)],AM102,Table9[CountyName (group)],AX$4)</f>
        <v>0</v>
      </c>
      <c r="AY102" s="1164">
        <f>SUMIFS(Table9[Count of EnergyRating],Table9[MainSpaceHeatingFuel],AL102,Table9[EnergyRating (group)],AM102,Table9[CountyName (group)],AY$4)</f>
        <v>0</v>
      </c>
      <c r="AZ102" s="1164">
        <f>SUMIFS(Table9[Count of EnergyRating],Table9[MainSpaceHeatingFuel],AL102,Table9[EnergyRating (group)],AM102,Table9[CountyName (group)],AZ$4)</f>
        <v>0</v>
      </c>
      <c r="BA102" s="1164">
        <f>SUMIFS(Table9[Count of EnergyRating],Table9[MainSpaceHeatingFuel],AL102,Table9[EnergyRating (group)],AM102,Table9[CountyName (group)],BA$4)</f>
        <v>0</v>
      </c>
      <c r="BB102" s="1164">
        <f>SUMIFS(Table9[Count of EnergyRating],Table9[MainSpaceHeatingFuel],AL102,Table9[EnergyRating (group)],AM102,Table9[CountyName (group)],BB$4)</f>
        <v>0</v>
      </c>
      <c r="BC102" s="1164">
        <f>SUMIFS(Table9[Count of EnergyRating],Table9[MainSpaceHeatingFuel],AL102,Table9[EnergyRating (group)],AM102,Table9[CountyName (group)],BC$4)</f>
        <v>0</v>
      </c>
      <c r="BD102" s="1164">
        <f>SUMIFS(Table9[Count of EnergyRating],Table9[MainSpaceHeatingFuel],AL102,Table9[EnergyRating (group)],AM102,Table9[CountyName (group)],BD$4)</f>
        <v>0</v>
      </c>
      <c r="BE102" s="1164">
        <f>SUMIFS(Table9[Count of EnergyRating],Table9[MainSpaceHeatingFuel],AL102,Table9[EnergyRating (group)],AM102,Table9[CountyName (group)],BE$4)</f>
        <v>0</v>
      </c>
      <c r="BF102" s="1152">
        <f>SUMIFS(Table9[Count of EnergyRating],Table9[MainSpaceHeatingFuel],AL102,Table9[EnergyRating (group)],AM102,Table9[CountyName (group)],BF$4)</f>
        <v>0</v>
      </c>
      <c r="BG102" s="1164">
        <f>SUMIFS(Table9[Count of EnergyRating],Table9[MainSpaceHeatingFuel],AL102,Table9[EnergyRating (group)],AM102,Table9[CountyName (group)],BG$4)</f>
        <v>0</v>
      </c>
      <c r="BH102" s="1164">
        <f>SUMIFS(Table9[Count of EnergyRating],Table9[MainSpaceHeatingFuel],AL102,Table9[EnergyRating (group)],AM102,Table9[CountyName (group)],BH$4)</f>
        <v>0</v>
      </c>
      <c r="BI102" s="1164">
        <f>SUMIFS(Table9[Count of EnergyRating],Table9[MainSpaceHeatingFuel],AL102,Table9[EnergyRating (group)],AM102,Table9[CountyName (group)],BI$4)</f>
        <v>0</v>
      </c>
      <c r="BJ102" s="1164">
        <f>SUMIFS(Table9[Count of EnergyRating],Table9[MainSpaceHeatingFuel],AL102,Table9[EnergyRating (group)],AM102,Table9[CountyName (group)],BJ$4)</f>
        <v>0</v>
      </c>
      <c r="BK102" s="1135">
        <f>SUMIFS(Table9[Count of EnergyRating],Table9[MainSpaceHeatingFuel],AL102,Table9[EnergyRating (group)],AM102,Table9[CountyName (group)],BK$4)</f>
        <v>0</v>
      </c>
      <c r="BL102" s="1164">
        <f>SUMIFS(Table9[Count of EnergyRating],Table9[MainSpaceHeatingFuel],AL102,Table9[EnergyRating (group)],AM102,Table9[CountyName (group)],BL$4)</f>
        <v>0</v>
      </c>
      <c r="BM102" s="1164">
        <f>SUMIFS(Table9[Count of EnergyRating],Table9[MainSpaceHeatingFuel],AL102,Table9[EnergyRating (group)],AM102,Table9[CountyName (group)],BM$4)</f>
        <v>0</v>
      </c>
    </row>
    <row r="103" spans="2:65" ht="15.75" thickBot="1">
      <c r="B103" s="1138" t="s">
        <v>1075</v>
      </c>
      <c r="C103" s="1138" t="s">
        <v>1190</v>
      </c>
      <c r="D103" s="1138" t="s">
        <v>1094</v>
      </c>
      <c r="E103" s="1147">
        <f>SUM(E97:E102)</f>
        <v>1.7647392279166744E-3</v>
      </c>
      <c r="F103" s="1147">
        <f t="shared" ref="F103" si="287">SUM(F97:F102)</f>
        <v>0.17107217443362732</v>
      </c>
      <c r="G103" s="1147">
        <f t="shared" ref="G103" si="288">SUM(G97:G102)</f>
        <v>1.021565926242487E-2</v>
      </c>
      <c r="H103" s="1147">
        <f t="shared" ref="H103" si="289">SUM(H97:H102)</f>
        <v>2.4296595433590572E-3</v>
      </c>
      <c r="I103" s="1147">
        <f t="shared" ref="I103" si="290">SUM(I97:I102)</f>
        <v>1.9907486023578499E-3</v>
      </c>
      <c r="J103" s="1147">
        <f t="shared" ref="J103" si="291">SUM(J97:J102)</f>
        <v>9.5921095601094624E-4</v>
      </c>
      <c r="K103" s="1147">
        <f t="shared" ref="K103" si="292">SUM(K97:K102)</f>
        <v>4.2156923210669751E-3</v>
      </c>
      <c r="L103" s="1147">
        <f t="shared" ref="L103" si="293">SUM(L97:L102)</f>
        <v>7.5071664649117706E-3</v>
      </c>
      <c r="M103" s="1147">
        <f t="shared" ref="M103" si="294">SUM(M97:M102)</f>
        <v>1.6304632001629615E-3</v>
      </c>
      <c r="N103" s="1147">
        <f t="shared" ref="N103" si="295">SUM(N97:N102)</f>
        <v>4.0078016325589385E-3</v>
      </c>
      <c r="O103" s="1147">
        <f t="shared" ref="O103" si="296">SUM(O97:O102)</f>
        <v>3.7026262468788274E-3</v>
      </c>
      <c r="P103" s="1147">
        <f t="shared" ref="P103" si="297">SUM(P97:P102)</f>
        <v>6.2610667234627273E-3</v>
      </c>
      <c r="Q103" s="1147">
        <f t="shared" ref="Q103" si="298">SUM(Q97:Q102)</f>
        <v>3.4560284453885814E-3</v>
      </c>
      <c r="R103" s="1147">
        <f t="shared" ref="R103" si="299">SUM(R97:R102)</f>
        <v>2.5199371948016323E-2</v>
      </c>
      <c r="S103" s="1147">
        <f t="shared" ref="S103" si="300">SUM(S97:S102)</f>
        <v>4.031540151928424E-3</v>
      </c>
      <c r="T103" s="1147">
        <f t="shared" ref="T103" si="301">SUM(T97:T102)</f>
        <v>1.0350681953875564E-2</v>
      </c>
      <c r="U103" s="1147">
        <f t="shared" ref="U103" si="302">SUM(U97:U102)</f>
        <v>3.3048293821441718E-3</v>
      </c>
      <c r="V103" s="1147">
        <f t="shared" ref="V103" si="303">SUM(V97:V102)</f>
        <v>4.4381521230165196E-3</v>
      </c>
      <c r="W103" s="1147">
        <f t="shared" ref="W103" si="304">SUM(W97:W102)</f>
        <v>1.370854610390668E-2</v>
      </c>
      <c r="X103" s="1147">
        <f t="shared" ref="X103" si="305">SUM(X97:X102)</f>
        <v>7.5332728938806313E-4</v>
      </c>
      <c r="Y103" s="1147">
        <f t="shared" ref="Y103" si="306">SUM(Y97:Y102)</f>
        <v>2.9706089676625343E-3</v>
      </c>
      <c r="Z103" s="1147">
        <f t="shared" ref="Z103" si="307">SUM(Z97:Z102)</f>
        <v>9.3842902045277907E-4</v>
      </c>
      <c r="AA103" s="1147">
        <f t="shared" ref="AA103" si="308">SUM(AA97:AA102)</f>
        <v>2.3252141726057707E-3</v>
      </c>
      <c r="AB103" s="1147">
        <f t="shared" ref="AB103" si="309">SUM(AB97:AB102)</f>
        <v>1.7633077393309608E-3</v>
      </c>
      <c r="AC103" s="1147">
        <f t="shared" ref="AC103" si="310">SUM(AC97:AC102)</f>
        <v>3.3197540820968023E-3</v>
      </c>
      <c r="AD103" s="1147">
        <f t="shared" ref="AD103" si="311">SUM(AD97:AD102)</f>
        <v>1.42548123850688E-3</v>
      </c>
      <c r="AE103" s="1147">
        <f t="shared" ref="AE103" si="312">SUM(AE97:AE102)</f>
        <v>0.29374228123305895</v>
      </c>
      <c r="AF103" s="1179"/>
      <c r="AG103" s="58" t="s">
        <v>1107</v>
      </c>
      <c r="AH103" s="1158">
        <f>SUM(E115:AD115)</f>
        <v>2.1173948952455306</v>
      </c>
      <c r="AI103" s="1140">
        <f>'SHWLP-Apt'!S51</f>
        <v>2.1173948952455297</v>
      </c>
      <c r="AJ103" s="1160">
        <f>(AI103-AH103)/AI103</f>
        <v>-4.1946753611925256E-16</v>
      </c>
      <c r="AL103" s="1144" t="s">
        <v>1134</v>
      </c>
      <c r="AM103" s="1144" t="s">
        <v>64</v>
      </c>
      <c r="AN103" s="1135">
        <f>SUMIFS(Table9[Count of EnergyRating],Table9[MainSpaceHeatingFuel],AL103,Table9[EnergyRating (group)],AM103,Table9[CountyName (group)],AN$4)</f>
        <v>0</v>
      </c>
      <c r="AO103" s="1164">
        <f>SUMIFS(Table9[Count of EnergyRating],Table9[MainSpaceHeatingFuel],AL103,Table9[EnergyRating (group)],AM103,Table9[CountyName (group)],AO$4)</f>
        <v>0</v>
      </c>
      <c r="AP103" s="1164">
        <f>SUMIFS(Table9[Count of EnergyRating],Table9[MainSpaceHeatingFuel],AL103,Table9[EnergyRating (group)],AM103,Table9[CountyName (group)],AP$4)</f>
        <v>0</v>
      </c>
      <c r="AQ103" s="1164">
        <f>SUMIFS(Table9[Count of EnergyRating],Table9[MainSpaceHeatingFuel],AL103,Table9[EnergyRating (group)],AM103,Table9[CountyName (group)],AQ$4)</f>
        <v>0</v>
      </c>
      <c r="AR103" s="1164">
        <f>SUMIFS(Table9[Count of EnergyRating],Table9[MainSpaceHeatingFuel],AL103,Table9[EnergyRating (group)],AM103,Table9[CountyName (group)],AR$4)</f>
        <v>0</v>
      </c>
      <c r="AS103" s="1164">
        <f>SUMIFS(Table9[Count of EnergyRating],Table9[MainSpaceHeatingFuel],AL103,Table9[EnergyRating (group)],AM103,Table9[CountyName (group)],AS$4)</f>
        <v>0</v>
      </c>
      <c r="AT103" s="1164">
        <f>SUMIFS(Table9[Count of EnergyRating],Table9[MainSpaceHeatingFuel],AL103,Table9[EnergyRating (group)],AM103,Table9[CountyName (group)],AT$4)</f>
        <v>0</v>
      </c>
      <c r="AU103" s="1164">
        <f>SUMIFS(Table9[Count of EnergyRating],Table9[MainSpaceHeatingFuel],AL103,Table9[EnergyRating (group)],AM103,Table9[CountyName (group)],AU$4)</f>
        <v>0</v>
      </c>
      <c r="AV103" s="1164">
        <f>SUMIFS(Table9[Count of EnergyRating],Table9[MainSpaceHeatingFuel],AL103,Table9[EnergyRating (group)],AM103,Table9[CountyName (group)],AV$4)</f>
        <v>0</v>
      </c>
      <c r="AW103" s="1164">
        <f>SUMIFS(Table9[Count of EnergyRating],Table9[MainSpaceHeatingFuel],AL103,Table9[EnergyRating (group)],AM103,Table9[CountyName (group)],AW$4)</f>
        <v>0</v>
      </c>
      <c r="AX103" s="1164">
        <f>SUMIFS(Table9[Count of EnergyRating],Table9[MainSpaceHeatingFuel],AL103,Table9[EnergyRating (group)],AM103,Table9[CountyName (group)],AX$4)</f>
        <v>0</v>
      </c>
      <c r="AY103" s="1164">
        <f>SUMIFS(Table9[Count of EnergyRating],Table9[MainSpaceHeatingFuel],AL103,Table9[EnergyRating (group)],AM103,Table9[CountyName (group)],AY$4)</f>
        <v>0</v>
      </c>
      <c r="AZ103" s="1164">
        <f>SUMIFS(Table9[Count of EnergyRating],Table9[MainSpaceHeatingFuel],AL103,Table9[EnergyRating (group)],AM103,Table9[CountyName (group)],AZ$4)</f>
        <v>0</v>
      </c>
      <c r="BA103" s="1164">
        <f>SUMIFS(Table9[Count of EnergyRating],Table9[MainSpaceHeatingFuel],AL103,Table9[EnergyRating (group)],AM103,Table9[CountyName (group)],BA$4)</f>
        <v>1</v>
      </c>
      <c r="BB103" s="1164">
        <f>SUMIFS(Table9[Count of EnergyRating],Table9[MainSpaceHeatingFuel],AL103,Table9[EnergyRating (group)],AM103,Table9[CountyName (group)],BB$4)</f>
        <v>0</v>
      </c>
      <c r="BC103" s="1164">
        <f>SUMIFS(Table9[Count of EnergyRating],Table9[MainSpaceHeatingFuel],AL103,Table9[EnergyRating (group)],AM103,Table9[CountyName (group)],BC$4)</f>
        <v>2</v>
      </c>
      <c r="BD103" s="1164">
        <f>SUMIFS(Table9[Count of EnergyRating],Table9[MainSpaceHeatingFuel],AL103,Table9[EnergyRating (group)],AM103,Table9[CountyName (group)],BD$4)</f>
        <v>0</v>
      </c>
      <c r="BE103" s="1164">
        <f>SUMIFS(Table9[Count of EnergyRating],Table9[MainSpaceHeatingFuel],AL103,Table9[EnergyRating (group)],AM103,Table9[CountyName (group)],BE$4)</f>
        <v>0</v>
      </c>
      <c r="BF103" s="1164">
        <f>SUMIFS(Table9[Count of EnergyRating],Table9[MainSpaceHeatingFuel],AL103,Table9[EnergyRating (group)],AM103,Table9[CountyName (group)],BF$4)</f>
        <v>0</v>
      </c>
      <c r="BG103" s="1164">
        <f>SUMIFS(Table9[Count of EnergyRating],Table9[MainSpaceHeatingFuel],AL103,Table9[EnergyRating (group)],AM103,Table9[CountyName (group)],BG$4)</f>
        <v>0</v>
      </c>
      <c r="BH103" s="1164">
        <f>SUMIFS(Table9[Count of EnergyRating],Table9[MainSpaceHeatingFuel],AL103,Table9[EnergyRating (group)],AM103,Table9[CountyName (group)],BH$4)</f>
        <v>0</v>
      </c>
      <c r="BI103" s="1164">
        <f>SUMIFS(Table9[Count of EnergyRating],Table9[MainSpaceHeatingFuel],AL103,Table9[EnergyRating (group)],AM103,Table9[CountyName (group)],BI$4)</f>
        <v>0</v>
      </c>
      <c r="BJ103" s="1164">
        <f>SUMIFS(Table9[Count of EnergyRating],Table9[MainSpaceHeatingFuel],AL103,Table9[EnergyRating (group)],AM103,Table9[CountyName (group)],BJ$4)</f>
        <v>0</v>
      </c>
      <c r="BK103" s="1135">
        <f>SUMIFS(Table9[Count of EnergyRating],Table9[MainSpaceHeatingFuel],AL103,Table9[EnergyRating (group)],AM103,Table9[CountyName (group)],BK$4)</f>
        <v>0</v>
      </c>
      <c r="BL103" s="1164">
        <f>SUMIFS(Table9[Count of EnergyRating],Table9[MainSpaceHeatingFuel],AL103,Table9[EnergyRating (group)],AM103,Table9[CountyName (group)],BL$4)</f>
        <v>0</v>
      </c>
      <c r="BM103" s="1164">
        <f>SUMIFS(Table9[Count of EnergyRating],Table9[MainSpaceHeatingFuel],AL103,Table9[EnergyRating (group)],AM103,Table9[CountyName (group)],BM$4)</f>
        <v>0</v>
      </c>
    </row>
    <row r="104" spans="2:65" ht="13.5" thickBot="1">
      <c r="B104" s="1165"/>
      <c r="C104" s="1165" t="s">
        <v>1191</v>
      </c>
      <c r="D104" s="1165" t="s">
        <v>1094</v>
      </c>
      <c r="E104" s="1166">
        <f t="shared" ref="E104:AA104" si="313">G217</f>
        <v>1.6783117267439118E-3</v>
      </c>
      <c r="F104" s="1166">
        <f t="shared" si="313"/>
        <v>0.16269397309792974</v>
      </c>
      <c r="G104" s="1166">
        <f t="shared" si="313"/>
        <v>9.715350837861729E-3</v>
      </c>
      <c r="H104" s="1166">
        <f t="shared" si="313"/>
        <v>2.3106677967535388E-3</v>
      </c>
      <c r="I104" s="1166">
        <f t="shared" si="313"/>
        <v>1.8932523692355915E-3</v>
      </c>
      <c r="J104" s="1166">
        <f t="shared" si="313"/>
        <v>9.1223392693258682E-4</v>
      </c>
      <c r="K104" s="1166">
        <f t="shared" si="313"/>
        <v>4.0092302289576782E-3</v>
      </c>
      <c r="L104" s="1166">
        <f t="shared" si="313"/>
        <v>7.1395055503775343E-3</v>
      </c>
      <c r="M104" s="1166">
        <f t="shared" si="313"/>
        <v>1.5506118216051296E-3</v>
      </c>
      <c r="N104" s="1166">
        <f t="shared" si="313"/>
        <v>3.8115209159416148E-3</v>
      </c>
      <c r="O104" s="1166">
        <f t="shared" si="313"/>
        <v>3.5212913905826931E-3</v>
      </c>
      <c r="P104" s="1166">
        <f t="shared" si="313"/>
        <v>5.9544331183245692E-3</v>
      </c>
      <c r="Q104" s="1166">
        <f t="shared" si="313"/>
        <v>3.2867706322274033E-3</v>
      </c>
      <c r="R104" s="1166">
        <f t="shared" si="313"/>
        <v>2.3965241310391655E-2</v>
      </c>
      <c r="S104" s="1166">
        <f t="shared" si="313"/>
        <v>3.834096849429747E-3</v>
      </c>
      <c r="T104" s="1166">
        <f t="shared" si="313"/>
        <v>9.8437608390978589E-3</v>
      </c>
      <c r="U104" s="1166">
        <f t="shared" si="313"/>
        <v>3.1429764914832456E-3</v>
      </c>
      <c r="V104" s="1166">
        <f t="shared" si="313"/>
        <v>4.2207951380586152E-3</v>
      </c>
      <c r="W104" s="1166">
        <f t="shared" si="313"/>
        <v>1.303717473881783E-2</v>
      </c>
      <c r="X104" s="1166">
        <f t="shared" si="313"/>
        <v>7.1643334259008601E-4</v>
      </c>
      <c r="Y104" s="1166">
        <f t="shared" si="313"/>
        <v>2.8251244076918434E-3</v>
      </c>
      <c r="Z104" s="1166">
        <f t="shared" si="313"/>
        <v>8.9246977957304588E-4</v>
      </c>
      <c r="AA104" s="1166">
        <f t="shared" si="313"/>
        <v>2.2113376023733225E-3</v>
      </c>
      <c r="AB104" s="1166">
        <f>AD217</f>
        <v>1.6769503448229466E-3</v>
      </c>
      <c r="AC104" s="1166">
        <f>AE217</f>
        <v>3.1571702593512626E-3</v>
      </c>
      <c r="AD104" s="1166">
        <f>AF217</f>
        <v>1.3556687815365399E-3</v>
      </c>
      <c r="AE104" s="1175">
        <f t="shared" si="216"/>
        <v>0.27935635329869168</v>
      </c>
      <c r="AF104" s="1179"/>
      <c r="AG104" s="1136"/>
    </row>
    <row r="105" spans="2:65" ht="15">
      <c r="B105" s="1137"/>
      <c r="C105" s="1137" t="s">
        <v>1206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</row>
    <row r="106" spans="2:65">
      <c r="B106" s="1134" t="s">
        <v>1259</v>
      </c>
      <c r="C106" s="1134" t="str">
        <f>LEFT(SETUP!$B$3,1)&amp;"-"&amp;SETUP!$B$52&amp;"_"&amp;RIGHT(COMM!$O$30,3)&amp;"_HET"&amp;"_"&amp;SETUP!$B$66</f>
        <v>R-SH_Apt_HET_X0</v>
      </c>
      <c r="D106" s="1134" t="s">
        <v>1094</v>
      </c>
      <c r="E106" s="1145">
        <f t="shared" ref="E106:N111" si="314">G219</f>
        <v>6.8711943434247779E-3</v>
      </c>
      <c r="F106" s="1145">
        <f t="shared" si="314"/>
        <v>2.4161834663408763</v>
      </c>
      <c r="G106" s="1145">
        <f t="shared" si="314"/>
        <v>8.4423693980748879E-2</v>
      </c>
      <c r="H106" s="1145">
        <f t="shared" si="314"/>
        <v>2.0795949358557619E-2</v>
      </c>
      <c r="I106" s="1145">
        <f t="shared" si="314"/>
        <v>1.9082685601400036E-2</v>
      </c>
      <c r="J106" s="1145">
        <f t="shared" si="314"/>
        <v>3.2297195275605962E-3</v>
      </c>
      <c r="K106" s="1145">
        <f t="shared" si="314"/>
        <v>5.0503524364578604E-2</v>
      </c>
      <c r="L106" s="1145">
        <f t="shared" si="314"/>
        <v>8.1790848287282086E-2</v>
      </c>
      <c r="M106" s="1145">
        <f t="shared" si="314"/>
        <v>6.3843132169932237E-3</v>
      </c>
      <c r="N106" s="1145">
        <f t="shared" si="314"/>
        <v>3.0166425509417852E-2</v>
      </c>
      <c r="O106" s="1145">
        <f t="shared" ref="O106:X111" si="315">Q219</f>
        <v>1.5585845308244342E-2</v>
      </c>
      <c r="P106" s="1145">
        <f t="shared" si="315"/>
        <v>7.6162616324192398E-2</v>
      </c>
      <c r="Q106" s="1145">
        <f t="shared" si="315"/>
        <v>1.726468018157894E-2</v>
      </c>
      <c r="R106" s="1145">
        <f t="shared" si="315"/>
        <v>0.33676741948493744</v>
      </c>
      <c r="S106" s="1145">
        <f t="shared" si="315"/>
        <v>2.2664811736928955E-2</v>
      </c>
      <c r="T106" s="1145">
        <f t="shared" si="315"/>
        <v>5.4704763903551119E-2</v>
      </c>
      <c r="U106" s="1145">
        <f t="shared" si="315"/>
        <v>9.3891496803384482E-3</v>
      </c>
      <c r="V106" s="1145">
        <f t="shared" si="315"/>
        <v>2.329178264485491E-2</v>
      </c>
      <c r="W106" s="1145">
        <f t="shared" si="315"/>
        <v>7.3402556719959433E-2</v>
      </c>
      <c r="X106" s="1145">
        <f t="shared" si="315"/>
        <v>1.460508701031656E-3</v>
      </c>
      <c r="Y106" s="1145">
        <f t="shared" ref="Y106:AA111" si="316">AA219</f>
        <v>1.2096778369210213E-2</v>
      </c>
      <c r="Z106" s="1145">
        <f t="shared" si="316"/>
        <v>4.2969193935726135E-3</v>
      </c>
      <c r="AA106" s="1145">
        <f t="shared" si="316"/>
        <v>1.21219559033283E-2</v>
      </c>
      <c r="AB106" s="1145">
        <f t="shared" ref="AB106:AD111" si="317">AD219</f>
        <v>1.1259697239760304E-2</v>
      </c>
      <c r="AC106" s="1145">
        <f t="shared" si="317"/>
        <v>2.3328078543041877E-2</v>
      </c>
      <c r="AD106" s="1145">
        <f t="shared" si="317"/>
        <v>9.2496266910997837E-3</v>
      </c>
      <c r="AE106" s="1172">
        <f t="shared" si="216"/>
        <v>3.4224790113564718</v>
      </c>
    </row>
    <row r="107" spans="2:65" ht="15" customHeight="1">
      <c r="B107" s="1136" t="s">
        <v>56</v>
      </c>
      <c r="C107" s="1136" t="str">
        <f>LEFT(SETUP!$B$3,1)&amp;"-"&amp;SETUP!$B$52&amp;"_"&amp;RIGHT(COMM!$O$30,3)&amp;"_HET"&amp;"_"&amp;SETUP!$B$66</f>
        <v>R-SH_Apt_HET_X0</v>
      </c>
      <c r="D107" s="1136" t="s">
        <v>1094</v>
      </c>
      <c r="E107" s="1146">
        <f t="shared" si="314"/>
        <v>3.1906202674190483E-2</v>
      </c>
      <c r="F107" s="1146">
        <f t="shared" si="314"/>
        <v>2.6667799929287477</v>
      </c>
      <c r="G107" s="1146">
        <f t="shared" si="314"/>
        <v>0.19129156241364706</v>
      </c>
      <c r="H107" s="1146">
        <f t="shared" si="314"/>
        <v>4.698717847190198E-2</v>
      </c>
      <c r="I107" s="1146">
        <f t="shared" si="314"/>
        <v>3.0316280089650309E-2</v>
      </c>
      <c r="J107" s="1146">
        <f t="shared" si="314"/>
        <v>1.2358873709670155E-2</v>
      </c>
      <c r="K107" s="1146">
        <f t="shared" si="314"/>
        <v>7.8278153902924488E-2</v>
      </c>
      <c r="L107" s="1146">
        <f t="shared" si="314"/>
        <v>0.14924360703816619</v>
      </c>
      <c r="M107" s="1146">
        <f t="shared" si="314"/>
        <v>2.0924377964995525E-2</v>
      </c>
      <c r="N107" s="1146">
        <f t="shared" si="314"/>
        <v>5.6955201672054631E-2</v>
      </c>
      <c r="O107" s="1146">
        <f t="shared" si="315"/>
        <v>4.7840601090582822E-2</v>
      </c>
      <c r="P107" s="1146">
        <f t="shared" si="315"/>
        <v>0.10090929730876946</v>
      </c>
      <c r="Q107" s="1146">
        <f t="shared" si="315"/>
        <v>4.9842975644855493E-2</v>
      </c>
      <c r="R107" s="1146">
        <f t="shared" si="315"/>
        <v>0.3786855352221184</v>
      </c>
      <c r="S107" s="1146">
        <f t="shared" si="315"/>
        <v>6.3489178070570557E-2</v>
      </c>
      <c r="T107" s="1146">
        <f t="shared" si="315"/>
        <v>0.21347964532678129</v>
      </c>
      <c r="U107" s="1146">
        <f t="shared" si="315"/>
        <v>3.0693184110105545E-2</v>
      </c>
      <c r="V107" s="1146">
        <f t="shared" si="315"/>
        <v>6.3570138934888512E-2</v>
      </c>
      <c r="W107" s="1146">
        <f t="shared" si="315"/>
        <v>0.19831104103968714</v>
      </c>
      <c r="X107" s="1146">
        <f t="shared" si="315"/>
        <v>1.2945418031871495E-2</v>
      </c>
      <c r="Y107" s="1146">
        <f t="shared" si="316"/>
        <v>4.1375795903360192E-2</v>
      </c>
      <c r="Z107" s="1146">
        <f t="shared" si="316"/>
        <v>1.3815529625759238E-2</v>
      </c>
      <c r="AA107" s="1146">
        <f t="shared" si="316"/>
        <v>2.8261832658984985E-2</v>
      </c>
      <c r="AB107" s="1146">
        <f t="shared" si="317"/>
        <v>2.3924995043388353E-2</v>
      </c>
      <c r="AC107" s="1146">
        <f t="shared" si="317"/>
        <v>5.8391637256160096E-2</v>
      </c>
      <c r="AD107" s="1146">
        <f t="shared" si="317"/>
        <v>1.805980514850344E-2</v>
      </c>
      <c r="AE107" s="1173">
        <f t="shared" si="216"/>
        <v>4.6286380412823362</v>
      </c>
    </row>
    <row r="108" spans="2:65">
      <c r="B108" s="1134" t="s">
        <v>58</v>
      </c>
      <c r="C108" s="1134" t="str">
        <f>LEFT(SETUP!$B$3,1)&amp;"-"&amp;SETUP!$B$52&amp;"_"&amp;RIGHT(COMM!$O$30,3)&amp;"_HET"&amp;"_"&amp;SETUP!$B$66</f>
        <v>R-SH_Apt_HET_X0</v>
      </c>
      <c r="D108" s="1134" t="s">
        <v>1094</v>
      </c>
      <c r="E108" s="1145">
        <f t="shared" si="314"/>
        <v>2.2629127440118794E-2</v>
      </c>
      <c r="F108" s="1145">
        <f t="shared" si="314"/>
        <v>1.6294894832211315</v>
      </c>
      <c r="G108" s="1145">
        <f t="shared" si="314"/>
        <v>0.10745951190220314</v>
      </c>
      <c r="H108" s="1145">
        <f t="shared" si="314"/>
        <v>2.3385820477987915E-2</v>
      </c>
      <c r="I108" s="1145">
        <f t="shared" si="314"/>
        <v>2.5423126110268156E-2</v>
      </c>
      <c r="J108" s="1145">
        <f t="shared" si="314"/>
        <v>1.7333514699726063E-2</v>
      </c>
      <c r="K108" s="1145">
        <f t="shared" si="314"/>
        <v>3.3674710929861948E-2</v>
      </c>
      <c r="L108" s="1145">
        <f t="shared" si="314"/>
        <v>7.3598028775681057E-2</v>
      </c>
      <c r="M108" s="1145">
        <f t="shared" si="314"/>
        <v>2.3796351411171382E-2</v>
      </c>
      <c r="N108" s="1145">
        <f t="shared" si="314"/>
        <v>5.7041628381723913E-2</v>
      </c>
      <c r="O108" s="1145">
        <f t="shared" si="315"/>
        <v>5.2320657380001946E-2</v>
      </c>
      <c r="P108" s="1145">
        <f t="shared" si="315"/>
        <v>6.2088755213878459E-2</v>
      </c>
      <c r="Q108" s="1145">
        <f t="shared" si="315"/>
        <v>4.5159743033929479E-2</v>
      </c>
      <c r="R108" s="1145">
        <f t="shared" si="315"/>
        <v>0.22154105066431751</v>
      </c>
      <c r="S108" s="1145">
        <f t="shared" si="315"/>
        <v>5.5828096249474747E-2</v>
      </c>
      <c r="T108" s="1145">
        <f t="shared" si="315"/>
        <v>0.12674586838297594</v>
      </c>
      <c r="U108" s="1145">
        <f t="shared" si="315"/>
        <v>5.2616887045895212E-2</v>
      </c>
      <c r="V108" s="1145">
        <f t="shared" si="315"/>
        <v>6.5395119000004928E-2</v>
      </c>
      <c r="W108" s="1145">
        <f t="shared" si="315"/>
        <v>0.20526457025647035</v>
      </c>
      <c r="X108" s="1145">
        <f t="shared" si="315"/>
        <v>1.3277351827560509E-2</v>
      </c>
      <c r="Y108" s="1145">
        <f t="shared" si="316"/>
        <v>4.9077783885370971E-2</v>
      </c>
      <c r="Z108" s="1145">
        <f t="shared" si="316"/>
        <v>1.290004272284748E-2</v>
      </c>
      <c r="AA108" s="1145">
        <f t="shared" si="316"/>
        <v>3.69402135966935E-2</v>
      </c>
      <c r="AB108" s="1145">
        <f t="shared" si="317"/>
        <v>2.4933328167822344E-2</v>
      </c>
      <c r="AC108" s="1145">
        <f t="shared" si="317"/>
        <v>3.6179042422073752E-2</v>
      </c>
      <c r="AD108" s="1145">
        <f t="shared" si="317"/>
        <v>1.4658932750408636E-2</v>
      </c>
      <c r="AE108" s="1172">
        <f t="shared" si="216"/>
        <v>3.0887587459495989</v>
      </c>
    </row>
    <row r="109" spans="2:65">
      <c r="B109" s="1136" t="s">
        <v>60</v>
      </c>
      <c r="C109" s="1136" t="str">
        <f>LEFT(SETUP!$B$3,1)&amp;"-"&amp;SETUP!$B$52&amp;"_"&amp;RIGHT(COMM!$O$30,3)&amp;"_HET"&amp;"_"&amp;SETUP!$B$66</f>
        <v>R-SH_Apt_HET_X0</v>
      </c>
      <c r="D109" s="1136" t="s">
        <v>1094</v>
      </c>
      <c r="E109" s="1146">
        <f t="shared" si="314"/>
        <v>1.1704721089716619E-2</v>
      </c>
      <c r="F109" s="1146">
        <f t="shared" si="314"/>
        <v>0.78389094893705757</v>
      </c>
      <c r="G109" s="1146">
        <f t="shared" si="314"/>
        <v>5.9636621298791388E-2</v>
      </c>
      <c r="H109" s="1146">
        <f t="shared" si="314"/>
        <v>1.0884644554270871E-2</v>
      </c>
      <c r="I109" s="1146">
        <f t="shared" si="314"/>
        <v>9.892680871359574E-3</v>
      </c>
      <c r="J109" s="1146">
        <f t="shared" si="314"/>
        <v>7.4619614850838668E-3</v>
      </c>
      <c r="K109" s="1146">
        <f t="shared" si="314"/>
        <v>1.9369622645672574E-2</v>
      </c>
      <c r="L109" s="1146">
        <f t="shared" si="314"/>
        <v>3.0713242302061648E-2</v>
      </c>
      <c r="M109" s="1146">
        <f t="shared" si="314"/>
        <v>1.3129021468232487E-2</v>
      </c>
      <c r="N109" s="1146">
        <f t="shared" si="314"/>
        <v>2.6014439610452873E-2</v>
      </c>
      <c r="O109" s="1146">
        <f t="shared" si="315"/>
        <v>3.4800437248166428E-2</v>
      </c>
      <c r="P109" s="1146">
        <f t="shared" si="315"/>
        <v>2.7487837259736487E-2</v>
      </c>
      <c r="Q109" s="1146">
        <f t="shared" si="315"/>
        <v>2.9688349587120303E-2</v>
      </c>
      <c r="R109" s="1146">
        <f t="shared" si="315"/>
        <v>0.1264744342517512</v>
      </c>
      <c r="S109" s="1146">
        <f t="shared" si="315"/>
        <v>2.6569283762523752E-2</v>
      </c>
      <c r="T109" s="1146">
        <f t="shared" si="315"/>
        <v>5.2040266166283218E-2</v>
      </c>
      <c r="U109" s="1146">
        <f t="shared" si="315"/>
        <v>2.9718797312959337E-2</v>
      </c>
      <c r="V109" s="1146">
        <f t="shared" si="315"/>
        <v>3.4826702909304952E-2</v>
      </c>
      <c r="W109" s="1146">
        <f t="shared" si="315"/>
        <v>0.11252074550794634</v>
      </c>
      <c r="X109" s="1146">
        <f t="shared" si="315"/>
        <v>4.3815261030949676E-3</v>
      </c>
      <c r="Y109" s="1146">
        <f t="shared" si="316"/>
        <v>2.0329665952516809E-2</v>
      </c>
      <c r="Z109" s="1146">
        <f t="shared" si="316"/>
        <v>7.1574430591282798E-3</v>
      </c>
      <c r="AA109" s="1146">
        <f t="shared" si="316"/>
        <v>2.4607777527318235E-2</v>
      </c>
      <c r="AB109" s="1146">
        <f t="shared" si="317"/>
        <v>1.2466664083911172E-2</v>
      </c>
      <c r="AC109" s="1146">
        <f t="shared" si="317"/>
        <v>2.1469698685789143E-2</v>
      </c>
      <c r="AD109" s="1146">
        <f t="shared" si="317"/>
        <v>1.0085345732281141E-2</v>
      </c>
      <c r="AE109" s="1173">
        <f t="shared" si="216"/>
        <v>1.5473228794125313</v>
      </c>
    </row>
    <row r="110" spans="2:65">
      <c r="B110" s="1134" t="s">
        <v>62</v>
      </c>
      <c r="C110" s="1134" t="str">
        <f>LEFT(SETUP!$B$3,1)&amp;"-"&amp;SETUP!$B$52&amp;"_"&amp;RIGHT(COMM!$O$30,3)&amp;"_HET"&amp;"_"&amp;SETUP!$B$66</f>
        <v>R-SH_Apt_HET_X0</v>
      </c>
      <c r="D110" s="1134" t="s">
        <v>1094</v>
      </c>
      <c r="E110" s="1145">
        <f t="shared" si="314"/>
        <v>4.5084851604834377E-3</v>
      </c>
      <c r="F110" s="1145">
        <f t="shared" si="314"/>
        <v>0.26890722619808116</v>
      </c>
      <c r="G110" s="1145">
        <f t="shared" si="314"/>
        <v>1.9538093073127847E-2</v>
      </c>
      <c r="H110" s="1145">
        <f t="shared" si="314"/>
        <v>4.6340565924123511E-3</v>
      </c>
      <c r="I110" s="1145">
        <f t="shared" si="314"/>
        <v>3.4039332030484561E-3</v>
      </c>
      <c r="J110" s="1145">
        <f t="shared" si="314"/>
        <v>1.9432191367405901E-3</v>
      </c>
      <c r="K110" s="1145">
        <f t="shared" si="314"/>
        <v>7.3746728421597418E-3</v>
      </c>
      <c r="L110" s="1145">
        <f t="shared" si="314"/>
        <v>7.9626924486826487E-3</v>
      </c>
      <c r="M110" s="1145">
        <f t="shared" si="314"/>
        <v>6.0516583330134125E-3</v>
      </c>
      <c r="N110" s="1145">
        <f t="shared" si="314"/>
        <v>9.9390716119670455E-3</v>
      </c>
      <c r="O110" s="1145">
        <f t="shared" si="315"/>
        <v>1.0560132682202229E-2</v>
      </c>
      <c r="P110" s="1145">
        <f t="shared" si="315"/>
        <v>9.8859765583262805E-3</v>
      </c>
      <c r="Q110" s="1145">
        <f t="shared" si="315"/>
        <v>7.9447696078209264E-3</v>
      </c>
      <c r="R110" s="1145">
        <f t="shared" si="315"/>
        <v>4.8271075739418377E-2</v>
      </c>
      <c r="S110" s="1145">
        <f t="shared" si="315"/>
        <v>8.0685861732817526E-3</v>
      </c>
      <c r="T110" s="1145">
        <f t="shared" si="315"/>
        <v>1.75104040245041E-2</v>
      </c>
      <c r="U110" s="1145">
        <f t="shared" si="315"/>
        <v>1.2301633313970873E-2</v>
      </c>
      <c r="V110" s="1145">
        <f t="shared" si="315"/>
        <v>9.50510450581467E-3</v>
      </c>
      <c r="W110" s="1145">
        <f t="shared" si="315"/>
        <v>3.070389524293881E-2</v>
      </c>
      <c r="X110" s="1145">
        <f t="shared" si="315"/>
        <v>1.6596689784450637E-3</v>
      </c>
      <c r="Y110" s="1145">
        <f t="shared" si="316"/>
        <v>7.7915459818015953E-3</v>
      </c>
      <c r="Z110" s="1145">
        <f t="shared" si="316"/>
        <v>2.1638781341550609E-3</v>
      </c>
      <c r="AA110" s="1145">
        <f t="shared" si="316"/>
        <v>4.2250012459896747E-3</v>
      </c>
      <c r="AB110" s="1145">
        <f t="shared" si="317"/>
        <v>4.5833323837908731E-3</v>
      </c>
      <c r="AC110" s="1145">
        <f t="shared" si="317"/>
        <v>7.354671868142303E-3</v>
      </c>
      <c r="AD110" s="1145">
        <f t="shared" si="317"/>
        <v>4.2217726321176867E-3</v>
      </c>
      <c r="AE110" s="1172">
        <f t="shared" si="216"/>
        <v>0.52101455767243687</v>
      </c>
    </row>
    <row r="111" spans="2:65" ht="13.5" thickBot="1">
      <c r="B111" s="1138" t="s">
        <v>64</v>
      </c>
      <c r="C111" s="1138" t="str">
        <f>LEFT(SETUP!$B$3,1)&amp;"-"&amp;SETUP!$B$52&amp;"_"&amp;RIGHT(COMM!$O$30,3)&amp;"_HET"&amp;"_"&amp;SETUP!$B$66</f>
        <v>R-SH_Apt_HET_X0</v>
      </c>
      <c r="D111" s="1138" t="s">
        <v>1094</v>
      </c>
      <c r="E111" s="1147">
        <f t="shared" si="314"/>
        <v>5.11539662439467E-3</v>
      </c>
      <c r="F111" s="1147">
        <f t="shared" si="314"/>
        <v>0.25501494258592555</v>
      </c>
      <c r="G111" s="1147">
        <f t="shared" si="314"/>
        <v>1.6584660399282938E-2</v>
      </c>
      <c r="H111" s="1147">
        <f t="shared" si="314"/>
        <v>7.220506783526222E-3</v>
      </c>
      <c r="I111" s="1147">
        <f t="shared" si="314"/>
        <v>5.2122727171679479E-3</v>
      </c>
      <c r="J111" s="1147">
        <f t="shared" si="314"/>
        <v>2.6427780259672025E-3</v>
      </c>
      <c r="K111" s="1147">
        <f t="shared" si="314"/>
        <v>8.4408906024719937E-3</v>
      </c>
      <c r="L111" s="1147">
        <f t="shared" si="314"/>
        <v>8.645208944284017E-3</v>
      </c>
      <c r="M111" s="1147">
        <f t="shared" si="314"/>
        <v>6.1542288132339787E-3</v>
      </c>
      <c r="N111" s="1147">
        <f t="shared" si="314"/>
        <v>7.778403870235079E-3</v>
      </c>
      <c r="O111" s="1147">
        <f t="shared" si="315"/>
        <v>1.2480156806238997E-2</v>
      </c>
      <c r="P111" s="1147">
        <f t="shared" si="315"/>
        <v>1.6999057252731774E-2</v>
      </c>
      <c r="Q111" s="1147">
        <f t="shared" si="315"/>
        <v>1.2126227296147728E-2</v>
      </c>
      <c r="R111" s="1147">
        <f t="shared" si="315"/>
        <v>6.9666334200339616E-2</v>
      </c>
      <c r="S111" s="1147">
        <f t="shared" si="315"/>
        <v>1.238813230645279E-2</v>
      </c>
      <c r="T111" s="1147">
        <f t="shared" si="315"/>
        <v>2.078337673936468E-2</v>
      </c>
      <c r="U111" s="1147">
        <f t="shared" si="315"/>
        <v>2.0218526040783811E-2</v>
      </c>
      <c r="V111" s="1147">
        <f t="shared" si="315"/>
        <v>1.148216624302412E-2</v>
      </c>
      <c r="W111" s="1147">
        <f t="shared" si="315"/>
        <v>2.2486087986740479E-2</v>
      </c>
      <c r="X111" s="1147">
        <f t="shared" si="315"/>
        <v>1.5932822193072611E-3</v>
      </c>
      <c r="Y111" s="1147">
        <f t="shared" si="316"/>
        <v>8.5975679799190022E-3</v>
      </c>
      <c r="Z111" s="1147">
        <f t="shared" si="316"/>
        <v>3.6619476116470265E-3</v>
      </c>
      <c r="AA111" s="1147">
        <f t="shared" si="316"/>
        <v>2.8547305716146447E-3</v>
      </c>
      <c r="AB111" s="1147">
        <f t="shared" si="317"/>
        <v>5.4999988605490468E-3</v>
      </c>
      <c r="AC111" s="1147">
        <f t="shared" si="317"/>
        <v>8.9147537795664263E-3</v>
      </c>
      <c r="AD111" s="1147">
        <f t="shared" si="317"/>
        <v>1.0554431580294218E-2</v>
      </c>
      <c r="AE111" s="1174">
        <f t="shared" si="216"/>
        <v>0.56311606684121118</v>
      </c>
      <c r="AF111" s="1179"/>
    </row>
    <row r="112" spans="2:65" ht="13.5" thickBot="1">
      <c r="B112" s="1138" t="s">
        <v>1075</v>
      </c>
      <c r="C112" s="1138" t="str">
        <f>LEFT(SETUP!$B$3,1)&amp;"-"&amp;SETUP!$B$52&amp;"_"&amp;RIGHT(COMM!$O$30,3)&amp;"_HET"&amp;"_"&amp;SETUP!$B$66</f>
        <v>R-SH_Apt_HET_X0</v>
      </c>
      <c r="D112" s="1138" t="s">
        <v>1094</v>
      </c>
      <c r="E112" s="1147">
        <f>SUM(E106:E111)</f>
        <v>8.2735127332328781E-2</v>
      </c>
      <c r="F112" s="1147">
        <f t="shared" ref="F112" si="318">SUM(F106:F111)</f>
        <v>8.0202660602118208</v>
      </c>
      <c r="G112" s="1147">
        <f t="shared" ref="G112" si="319">SUM(G106:G111)</f>
        <v>0.47893414306780124</v>
      </c>
      <c r="H112" s="1147">
        <f t="shared" ref="H112" si="320">SUM(H106:H111)</f>
        <v>0.11390815623865697</v>
      </c>
      <c r="I112" s="1147">
        <f t="shared" ref="I112" si="321">SUM(I106:I111)</f>
        <v>9.3330978592894479E-2</v>
      </c>
      <c r="J112" s="1147">
        <f t="shared" ref="J112" si="322">SUM(J106:J111)</f>
        <v>4.4970066584748475E-2</v>
      </c>
      <c r="K112" s="1147">
        <f t="shared" ref="K112" si="323">SUM(K106:K111)</f>
        <v>0.19764157528766935</v>
      </c>
      <c r="L112" s="1147">
        <f t="shared" ref="L112" si="324">SUM(L106:L111)</f>
        <v>0.35195362779615758</v>
      </c>
      <c r="M112" s="1147">
        <f t="shared" ref="M112" si="325">SUM(M106:M111)</f>
        <v>7.6439951207640008E-2</v>
      </c>
      <c r="N112" s="1147">
        <f t="shared" ref="N112" si="326">SUM(N106:N111)</f>
        <v>0.1878951706558514</v>
      </c>
      <c r="O112" s="1147">
        <f t="shared" ref="O112" si="327">SUM(O106:O111)</f>
        <v>0.17358783051543675</v>
      </c>
      <c r="P112" s="1147">
        <f t="shared" ref="P112" si="328">SUM(P106:P111)</f>
        <v>0.29353353991763487</v>
      </c>
      <c r="Q112" s="1147">
        <f t="shared" ref="Q112" si="329">SUM(Q106:Q111)</f>
        <v>0.16202674535145287</v>
      </c>
      <c r="R112" s="1147">
        <f t="shared" ref="R112" si="330">SUM(R106:R111)</f>
        <v>1.1814058495628825</v>
      </c>
      <c r="S112" s="1147">
        <f t="shared" ref="S112" si="331">SUM(S106:S111)</f>
        <v>0.1890080882992326</v>
      </c>
      <c r="T112" s="1147">
        <f t="shared" ref="T112" si="332">SUM(T106:T111)</f>
        <v>0.48526432454346036</v>
      </c>
      <c r="U112" s="1147">
        <f t="shared" ref="U112" si="333">SUM(U106:U111)</f>
        <v>0.15493817750405323</v>
      </c>
      <c r="V112" s="1147">
        <f t="shared" ref="V112" si="334">SUM(V106:V111)</f>
        <v>0.20807101423789212</v>
      </c>
      <c r="W112" s="1147">
        <f t="shared" ref="W112" si="335">SUM(W106:W111)</f>
        <v>0.64268889675374252</v>
      </c>
      <c r="X112" s="1147">
        <f t="shared" ref="X112" si="336">SUM(X106:X111)</f>
        <v>3.5317755861310952E-2</v>
      </c>
      <c r="Y112" s="1147">
        <f t="shared" ref="Y112" si="337">SUM(Y106:Y111)</f>
        <v>0.13926913807217878</v>
      </c>
      <c r="Z112" s="1147">
        <f t="shared" ref="Z112" si="338">SUM(Z106:Z111)</f>
        <v>4.39957605471097E-2</v>
      </c>
      <c r="AA112" s="1147">
        <f t="shared" ref="AA112" si="339">SUM(AA106:AA111)</f>
        <v>0.10901151150392935</v>
      </c>
      <c r="AB112" s="1147">
        <f t="shared" ref="AB112" si="340">SUM(AB106:AB111)</f>
        <v>8.2668015779222087E-2</v>
      </c>
      <c r="AC112" s="1147">
        <f t="shared" ref="AC112" si="341">SUM(AC106:AC111)</f>
        <v>0.15563788255477365</v>
      </c>
      <c r="AD112" s="1147">
        <f t="shared" ref="AD112" si="342">SUM(AD106:AD111)</f>
        <v>6.682991453470491E-2</v>
      </c>
      <c r="AE112" s="1147">
        <f t="shared" ref="AE112" si="343">SUM(AE106:AE111)</f>
        <v>13.771329302514587</v>
      </c>
      <c r="AF112" s="1179"/>
    </row>
    <row r="113" spans="1:37" ht="13.5" thickBot="1">
      <c r="B113" s="1165"/>
      <c r="C113" s="1165" t="str">
        <f>LEFT(SETUP!$B$3,1)&amp;"-"&amp;SETUP!$B$54&amp;"_"&amp;RIGHT(COMM!$O$30,3)&amp;"_HET"&amp;"_"&amp;SETUP!$B$66</f>
        <v>R-WH_Apt_HET_X0</v>
      </c>
      <c r="D113" s="1165" t="s">
        <v>1094</v>
      </c>
      <c r="E113" s="1166">
        <f t="shared" ref="E113:AA113" si="344">G225</f>
        <v>8.1311317927507676E-2</v>
      </c>
      <c r="F113" s="1166">
        <f t="shared" si="344"/>
        <v>7.8822433047765372</v>
      </c>
      <c r="G113" s="1166">
        <f t="shared" si="344"/>
        <v>0.47069204615954624</v>
      </c>
      <c r="H113" s="1166">
        <f t="shared" si="344"/>
        <v>0.11194788241823996</v>
      </c>
      <c r="I113" s="1166">
        <f t="shared" si="344"/>
        <v>9.1724822545681942E-2</v>
      </c>
      <c r="J113" s="1166">
        <f t="shared" si="344"/>
        <v>4.4196165512697096E-2</v>
      </c>
      <c r="K113" s="1166">
        <f t="shared" si="344"/>
        <v>0.19424031221173421</v>
      </c>
      <c r="L113" s="1166">
        <f t="shared" si="344"/>
        <v>0.34589677018954268</v>
      </c>
      <c r="M113" s="1166">
        <f t="shared" si="344"/>
        <v>7.512447705605825E-2</v>
      </c>
      <c r="N113" s="1166">
        <f t="shared" si="344"/>
        <v>0.18466163588378692</v>
      </c>
      <c r="O113" s="1166">
        <f t="shared" si="344"/>
        <v>0.1706005143219462</v>
      </c>
      <c r="P113" s="1166">
        <f t="shared" si="344"/>
        <v>0.28848204814816675</v>
      </c>
      <c r="Q113" s="1166">
        <f t="shared" si="344"/>
        <v>0.1592383867509119</v>
      </c>
      <c r="R113" s="1166">
        <f t="shared" si="344"/>
        <v>1.1610747421632204</v>
      </c>
      <c r="S113" s="1166">
        <f t="shared" si="344"/>
        <v>0.18575540105036009</v>
      </c>
      <c r="T113" s="1166">
        <f t="shared" si="344"/>
        <v>0.47691328996616589</v>
      </c>
      <c r="U113" s="1166">
        <f t="shared" si="344"/>
        <v>0.15227180783243841</v>
      </c>
      <c r="V113" s="1166">
        <f t="shared" si="344"/>
        <v>0.20449026835044587</v>
      </c>
      <c r="W113" s="1166">
        <f t="shared" si="344"/>
        <v>0.63162870351929623</v>
      </c>
      <c r="X113" s="1166">
        <f t="shared" si="344"/>
        <v>3.4709963807634359E-2</v>
      </c>
      <c r="Y113" s="1166">
        <f t="shared" si="344"/>
        <v>0.13687242080126674</v>
      </c>
      <c r="Z113" s="1166">
        <f t="shared" si="344"/>
        <v>4.3238626550232966E-2</v>
      </c>
      <c r="AA113" s="1166">
        <f t="shared" si="344"/>
        <v>0.10713550526186959</v>
      </c>
      <c r="AB113" s="1166">
        <f>AD225</f>
        <v>8.1245361313827147E-2</v>
      </c>
      <c r="AC113" s="1166">
        <f>AE225</f>
        <v>0.1529594714847354</v>
      </c>
      <c r="AD113" s="1166">
        <f>AF225</f>
        <v>6.5679821896837867E-2</v>
      </c>
      <c r="AE113" s="1175">
        <f t="shared" si="216"/>
        <v>13.534335067900686</v>
      </c>
    </row>
    <row r="114" spans="1:37" ht="15.75" thickBot="1">
      <c r="B114" s="1137"/>
      <c r="C114" s="1137" t="s">
        <v>1207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</row>
    <row r="115" spans="1:37" ht="13.5" thickBot="1">
      <c r="B115" s="1165"/>
      <c r="C115" s="1165" t="s">
        <v>1195</v>
      </c>
      <c r="D115" s="1165" t="s">
        <v>1094</v>
      </c>
      <c r="E115" s="1166">
        <f t="shared" ref="E115:AA115" si="345">G227</f>
        <v>1.2720844329746312E-2</v>
      </c>
      <c r="F115" s="1166">
        <f t="shared" si="345"/>
        <v>1.2331467820831672</v>
      </c>
      <c r="G115" s="1166">
        <f t="shared" si="345"/>
        <v>7.3637968231969136E-2</v>
      </c>
      <c r="H115" s="1166">
        <f t="shared" si="345"/>
        <v>1.7513817529766173E-2</v>
      </c>
      <c r="I115" s="1166">
        <f t="shared" si="345"/>
        <v>1.4349997251520254E-2</v>
      </c>
      <c r="J115" s="1166">
        <f t="shared" si="345"/>
        <v>6.9143208570294915E-3</v>
      </c>
      <c r="K115" s="1166">
        <f t="shared" si="345"/>
        <v>3.0388153054039788E-2</v>
      </c>
      <c r="L115" s="1166">
        <f t="shared" si="345"/>
        <v>5.41142251766977E-2</v>
      </c>
      <c r="M115" s="1166">
        <f t="shared" si="345"/>
        <v>1.1752936766265591E-2</v>
      </c>
      <c r="N115" s="1166">
        <f t="shared" si="345"/>
        <v>2.8889605821519504E-2</v>
      </c>
      <c r="O115" s="1166">
        <f t="shared" si="345"/>
        <v>2.6689797196485478E-2</v>
      </c>
      <c r="P115" s="1166">
        <f t="shared" si="345"/>
        <v>4.5131911767694211E-2</v>
      </c>
      <c r="Q115" s="1166">
        <f t="shared" si="345"/>
        <v>2.4912235846235253E-2</v>
      </c>
      <c r="R115" s="1166">
        <f t="shared" si="345"/>
        <v>0.18164569738528383</v>
      </c>
      <c r="S115" s="1166">
        <f t="shared" si="345"/>
        <v>2.90607211935478E-2</v>
      </c>
      <c r="T115" s="1166">
        <f t="shared" si="345"/>
        <v>7.4611258002920372E-2</v>
      </c>
      <c r="U115" s="1166">
        <f t="shared" si="345"/>
        <v>2.3822341251096567E-2</v>
      </c>
      <c r="V115" s="1166">
        <f t="shared" si="345"/>
        <v>3.1991719442467099E-2</v>
      </c>
      <c r="W115" s="1166">
        <f t="shared" si="345"/>
        <v>9.8815892011882622E-2</v>
      </c>
      <c r="X115" s="1166">
        <f t="shared" si="345"/>
        <v>5.430240925152585E-3</v>
      </c>
      <c r="Y115" s="1166">
        <f t="shared" si="345"/>
        <v>2.1413166117916518E-2</v>
      </c>
      <c r="Z115" s="1166">
        <f t="shared" si="345"/>
        <v>6.7645175529921298E-3</v>
      </c>
      <c r="AA115" s="1166">
        <f t="shared" si="345"/>
        <v>1.6760939551367246E-2</v>
      </c>
      <c r="AB115" s="1166">
        <f>AD227</f>
        <v>1.2710525670099259E-2</v>
      </c>
      <c r="AC115" s="1166">
        <f>AE227</f>
        <v>2.3929923596273828E-2</v>
      </c>
      <c r="AD115" s="1166">
        <f>AF227</f>
        <v>1.0275356632394301E-2</v>
      </c>
      <c r="AE115" s="1175">
        <f t="shared" si="216"/>
        <v>2.1173948952455306</v>
      </c>
    </row>
    <row r="116" spans="1:37" ht="15.75" thickBot="1">
      <c r="A116" s="1183"/>
      <c r="B116" s="1195"/>
      <c r="C116" s="1184" t="s">
        <v>1264</v>
      </c>
      <c r="D116" s="1185" t="s">
        <v>1094</v>
      </c>
      <c r="E116" s="1185">
        <v>1.272084432974631</v>
      </c>
      <c r="F116" s="1185">
        <v>123.31467820831671</v>
      </c>
      <c r="G116" s="1185">
        <v>7.3637968231969131</v>
      </c>
      <c r="H116" s="1185">
        <v>1.7513817529766174</v>
      </c>
      <c r="I116" s="1185">
        <v>1.4349997251520255</v>
      </c>
      <c r="J116" s="1185">
        <v>0.69143208570294923</v>
      </c>
      <c r="K116" s="1185">
        <v>3.0388153054039786</v>
      </c>
      <c r="L116" s="1185">
        <v>5.4114225176697692</v>
      </c>
      <c r="M116" s="1185">
        <v>1.1752936766265591</v>
      </c>
      <c r="N116" s="1185">
        <v>2.8889605821519497</v>
      </c>
      <c r="O116" s="1185">
        <v>2.6689797196485481</v>
      </c>
      <c r="P116" s="1185">
        <v>4.5131911767694204</v>
      </c>
      <c r="Q116" s="1185">
        <v>2.4912235846235253</v>
      </c>
      <c r="R116" s="1185">
        <v>18.164569738528382</v>
      </c>
      <c r="S116" s="1185">
        <v>2.9060721193547803</v>
      </c>
      <c r="T116" s="1185">
        <v>7.461125800292038</v>
      </c>
      <c r="U116" s="1185">
        <v>2.3822341251096568</v>
      </c>
      <c r="V116" s="1185">
        <v>3.1991719442467104</v>
      </c>
      <c r="W116" s="1185">
        <v>9.8815892011882625</v>
      </c>
      <c r="X116" s="1185">
        <v>0.54302409251525863</v>
      </c>
      <c r="Y116" s="1185">
        <v>2.1413166117916522</v>
      </c>
      <c r="Z116" s="1185">
        <v>0.67645175529921286</v>
      </c>
      <c r="AA116" s="1185">
        <v>1.6760939551367242</v>
      </c>
      <c r="AB116" s="1185">
        <v>1.271052567009926</v>
      </c>
      <c r="AC116" s="1185">
        <v>2.3929923596273825</v>
      </c>
      <c r="AD116" s="1185">
        <v>1.0275356632394301</v>
      </c>
      <c r="AE116" s="1185">
        <v>211.73948952455299</v>
      </c>
      <c r="AF116" s="1136"/>
      <c r="AG116" s="1136"/>
      <c r="AH116" s="1136"/>
      <c r="AI116" s="1167"/>
    </row>
    <row r="117" spans="1:37" ht="13.5" thickBot="1">
      <c r="A117" s="1183"/>
      <c r="B117" s="1195"/>
      <c r="C117" s="1188" t="s">
        <v>1265</v>
      </c>
      <c r="D117" s="1185" t="s">
        <v>1094</v>
      </c>
      <c r="E117" s="1185">
        <v>1.272084432974631</v>
      </c>
      <c r="F117" s="1185">
        <v>123.31467820831671</v>
      </c>
      <c r="G117" s="1185">
        <v>7.3637968231969131</v>
      </c>
      <c r="H117" s="1185">
        <v>1.7513817529766174</v>
      </c>
      <c r="I117" s="1185">
        <v>1.4349997251520255</v>
      </c>
      <c r="J117" s="1185">
        <v>0.69143208570294923</v>
      </c>
      <c r="K117" s="1185">
        <v>3.0388153054039786</v>
      </c>
      <c r="L117" s="1185">
        <v>5.4114225176697692</v>
      </c>
      <c r="M117" s="1185">
        <v>1.1752936766265591</v>
      </c>
      <c r="N117" s="1185">
        <v>2.8889605821519497</v>
      </c>
      <c r="O117" s="1185">
        <v>2.6689797196485481</v>
      </c>
      <c r="P117" s="1185">
        <v>4.5131911767694204</v>
      </c>
      <c r="Q117" s="1185">
        <v>2.4912235846235253</v>
      </c>
      <c r="R117" s="1185">
        <v>18.164569738528382</v>
      </c>
      <c r="S117" s="1185">
        <v>2.9060721193547803</v>
      </c>
      <c r="T117" s="1185">
        <v>7.461125800292038</v>
      </c>
      <c r="U117" s="1185">
        <v>2.3822341251096568</v>
      </c>
      <c r="V117" s="1185">
        <v>3.1991719442467104</v>
      </c>
      <c r="W117" s="1185">
        <v>9.8815892011882625</v>
      </c>
      <c r="X117" s="1185">
        <v>0.54302409251525863</v>
      </c>
      <c r="Y117" s="1185">
        <v>2.1413166117916522</v>
      </c>
      <c r="Z117" s="1185">
        <v>0.67645175529921286</v>
      </c>
      <c r="AA117" s="1185">
        <v>1.6760939551367242</v>
      </c>
      <c r="AB117" s="1185">
        <v>1.271052567009926</v>
      </c>
      <c r="AC117" s="1185">
        <v>2.3929923596273825</v>
      </c>
      <c r="AD117" s="1185">
        <v>1.0275356632394301</v>
      </c>
      <c r="AE117" s="1185">
        <v>211.73948952455299</v>
      </c>
      <c r="AF117" s="1136"/>
      <c r="AG117" s="1136"/>
      <c r="AH117" s="1136"/>
      <c r="AI117" s="1167"/>
    </row>
    <row r="118" spans="1:37">
      <c r="A118" s="1183"/>
      <c r="B118" s="1183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G118" s="1136"/>
      <c r="AH118" s="1136"/>
      <c r="AI118" s="1136"/>
      <c r="AJ118" s="1136"/>
      <c r="AK118" s="1136"/>
    </row>
    <row r="119" spans="1:37">
      <c r="C119" s="1136"/>
      <c r="D119" s="1136"/>
      <c r="E119" s="1136"/>
      <c r="F119" s="1136"/>
      <c r="G119" s="1136"/>
      <c r="H119" s="1136"/>
      <c r="I119" s="1136"/>
      <c r="J119" s="1136"/>
      <c r="K119" s="1136"/>
      <c r="L119" s="1136"/>
      <c r="M119" s="1136"/>
      <c r="N119" s="1136"/>
      <c r="O119" s="1136"/>
      <c r="P119" s="1136"/>
      <c r="Q119" s="1136"/>
      <c r="R119" s="1136"/>
      <c r="S119" s="1136"/>
      <c r="T119" s="1136"/>
      <c r="U119" s="1136"/>
      <c r="V119" s="1136"/>
      <c r="W119" s="1136"/>
      <c r="X119" s="1136"/>
      <c r="Y119" s="1136"/>
      <c r="Z119" s="1136"/>
      <c r="AA119" s="1136"/>
      <c r="AB119" s="1136"/>
      <c r="AC119" s="1136"/>
      <c r="AD119" s="1136"/>
      <c r="AE119" s="1136"/>
      <c r="AF119" s="1136"/>
      <c r="AG119" s="1136"/>
      <c r="AH119" s="1136"/>
      <c r="AI119" s="1136"/>
      <c r="AJ119" s="1136"/>
      <c r="AK119" s="1136"/>
    </row>
    <row r="120" spans="1:37" ht="15">
      <c r="C120" s="1136"/>
      <c r="D120" s="1136"/>
      <c r="E120" s="1136"/>
      <c r="F120" s="1131" t="s">
        <v>192</v>
      </c>
      <c r="G120" s="1131" t="s">
        <v>655</v>
      </c>
      <c r="H120" s="1131" t="s">
        <v>660</v>
      </c>
      <c r="I120" s="1131" t="s">
        <v>663</v>
      </c>
      <c r="J120" s="1131" t="s">
        <v>664</v>
      </c>
      <c r="K120" s="1131" t="s">
        <v>665</v>
      </c>
      <c r="L120" s="1131" t="s">
        <v>668</v>
      </c>
      <c r="M120" s="1131" t="s">
        <v>669</v>
      </c>
      <c r="N120" s="1131" t="s">
        <v>671</v>
      </c>
      <c r="O120" s="1131" t="s">
        <v>673</v>
      </c>
      <c r="P120" s="1131" t="s">
        <v>678</v>
      </c>
      <c r="Q120" s="1131" t="s">
        <v>679</v>
      </c>
      <c r="R120" s="1131" t="s">
        <v>680</v>
      </c>
      <c r="S120" s="1131" t="s">
        <v>657</v>
      </c>
      <c r="T120" s="1131" t="s">
        <v>658</v>
      </c>
      <c r="U120" s="1131" t="s">
        <v>662</v>
      </c>
      <c r="V120" s="1131" t="s">
        <v>667</v>
      </c>
      <c r="W120" s="1131" t="s">
        <v>676</v>
      </c>
      <c r="X120" s="1131" t="s">
        <v>677</v>
      </c>
      <c r="Y120" s="1131" t="s">
        <v>661</v>
      </c>
      <c r="Z120" s="1131" t="s">
        <v>666</v>
      </c>
      <c r="AA120" s="1131" t="s">
        <v>670</v>
      </c>
      <c r="AB120" s="1131" t="s">
        <v>674</v>
      </c>
      <c r="AC120" s="1131" t="s">
        <v>675</v>
      </c>
      <c r="AD120" s="1131" t="s">
        <v>656</v>
      </c>
      <c r="AE120" s="1131" t="s">
        <v>659</v>
      </c>
      <c r="AF120" s="1131" t="s">
        <v>672</v>
      </c>
    </row>
    <row r="121" spans="1:37" ht="15">
      <c r="C121" s="1340" t="s">
        <v>1161</v>
      </c>
      <c r="D121" s="1340"/>
      <c r="E121" s="1137" t="s">
        <v>1157</v>
      </c>
      <c r="F121" s="1158">
        <f>SUM(G121:AF121)</f>
        <v>211.73948952455302</v>
      </c>
      <c r="G121" s="1158">
        <f t="shared" ref="G121:AC121" si="346">SUM(E7:E12,E16:E21,E25:E30,E34:E39,E43:E48,E52:E57,E61:E66,E70:E75,E79:E84,E88:E93,E97:E102,E106:E111)</f>
        <v>1.2720844329746306</v>
      </c>
      <c r="H121" s="1158">
        <f t="shared" si="346"/>
        <v>123.31467820831674</v>
      </c>
      <c r="I121" s="1158">
        <f t="shared" si="346"/>
        <v>7.3637968231969113</v>
      </c>
      <c r="J121" s="1158">
        <f t="shared" si="346"/>
        <v>1.7513817529766176</v>
      </c>
      <c r="K121" s="1158">
        <f t="shared" si="346"/>
        <v>1.4349997251520261</v>
      </c>
      <c r="L121" s="1158">
        <f t="shared" si="346"/>
        <v>0.69143208570294956</v>
      </c>
      <c r="M121" s="1158">
        <f t="shared" si="346"/>
        <v>3.0388153054039786</v>
      </c>
      <c r="N121" s="1158">
        <f t="shared" si="346"/>
        <v>5.4114225176697683</v>
      </c>
      <c r="O121" s="1158">
        <f t="shared" si="346"/>
        <v>1.1752936766265591</v>
      </c>
      <c r="P121" s="1158">
        <f t="shared" si="346"/>
        <v>2.8889605821519502</v>
      </c>
      <c r="Q121" s="1158">
        <f t="shared" si="346"/>
        <v>2.6689797196485476</v>
      </c>
      <c r="R121" s="1158">
        <f t="shared" si="346"/>
        <v>4.5131911767694222</v>
      </c>
      <c r="S121" s="1158">
        <f t="shared" si="346"/>
        <v>2.491223584623524</v>
      </c>
      <c r="T121" s="1158">
        <f t="shared" si="346"/>
        <v>18.164569738528382</v>
      </c>
      <c r="U121" s="1158">
        <f t="shared" si="346"/>
        <v>2.9060721193547789</v>
      </c>
      <c r="V121" s="1158">
        <f t="shared" si="346"/>
        <v>7.4611258002920371</v>
      </c>
      <c r="W121" s="1158">
        <f t="shared" si="346"/>
        <v>2.3822341251096573</v>
      </c>
      <c r="X121" s="1158">
        <f t="shared" si="346"/>
        <v>3.199171944246709</v>
      </c>
      <c r="Y121" s="1158">
        <f t="shared" si="346"/>
        <v>9.8815892011882625</v>
      </c>
      <c r="Z121" s="1158">
        <f t="shared" si="346"/>
        <v>0.54302409251525841</v>
      </c>
      <c r="AA121" s="1158">
        <f t="shared" si="346"/>
        <v>2.1413166117916522</v>
      </c>
      <c r="AB121" s="1158">
        <f t="shared" si="346"/>
        <v>0.67645175529921275</v>
      </c>
      <c r="AC121" s="1158">
        <f t="shared" si="346"/>
        <v>1.6760939551367238</v>
      </c>
      <c r="AD121" s="1158">
        <f>SUM(AB7:AB12,AB16:AB21,AB25:AB30,AB34:AB39,AB43:AB48,AB52:AB57,AB61:AB66,AB70:AB75,AB79:AB84,AB88:AB93,AB97:AB102,AB106:AB111)</f>
        <v>1.2710525670099264</v>
      </c>
      <c r="AE121" s="1158">
        <f>SUM(AC7:AC12,AC16:AC21,AC25:AC30,AC34:AC39,AC43:AC48,AC52:AC57,AC61:AC66,AC70:AC75,AC79:AC84,AC88:AC93,AC97:AC102,AC106:AC111)</f>
        <v>2.3929923596273839</v>
      </c>
      <c r="AF121" s="1158">
        <f>SUM(AD7:AD12,AD16:AD21,AD25:AD30,AD34:AD39,AD43:AD48,AD52:AD57,AD61:AD66,AD70:AD75,AD79:AD84,AD88:AD93,AD97:AD102,AD106:AD111)</f>
        <v>1.0275356632394301</v>
      </c>
    </row>
    <row r="122" spans="1:37">
      <c r="C122" s="1340"/>
      <c r="D122" s="1340"/>
      <c r="E122" s="1136" t="s">
        <v>1158</v>
      </c>
      <c r="F122" s="1136">
        <f>SUM(G122:AF122)</f>
        <v>211.73948952455299</v>
      </c>
      <c r="G122" s="1136">
        <v>1.272084432974631</v>
      </c>
      <c r="H122" s="1136">
        <v>123.31467820831671</v>
      </c>
      <c r="I122" s="1136">
        <v>7.3637968231969131</v>
      </c>
      <c r="J122" s="1136">
        <v>1.7513817529766174</v>
      </c>
      <c r="K122" s="1136">
        <v>1.4349997251520255</v>
      </c>
      <c r="L122" s="1136">
        <v>0.69143208570294923</v>
      </c>
      <c r="M122" s="1136">
        <v>3.0388153054039786</v>
      </c>
      <c r="N122" s="1136">
        <v>5.4114225176697692</v>
      </c>
      <c r="O122" s="1136">
        <v>1.1752936766265591</v>
      </c>
      <c r="P122" s="1136">
        <v>2.8889605821519497</v>
      </c>
      <c r="Q122" s="1136">
        <v>2.6689797196485481</v>
      </c>
      <c r="R122" s="1136">
        <v>4.5131911767694204</v>
      </c>
      <c r="S122" s="1136">
        <v>2.4912235846235253</v>
      </c>
      <c r="T122" s="1136">
        <v>18.164569738528382</v>
      </c>
      <c r="U122" s="1136">
        <v>2.9060721193547803</v>
      </c>
      <c r="V122" s="1136">
        <v>7.461125800292038</v>
      </c>
      <c r="W122" s="1136">
        <v>2.3822341251096568</v>
      </c>
      <c r="X122" s="1136">
        <v>3.1991719442467104</v>
      </c>
      <c r="Y122" s="1136">
        <v>9.8815892011882625</v>
      </c>
      <c r="Z122" s="1136">
        <v>0.54302409251525863</v>
      </c>
      <c r="AA122" s="1136">
        <v>2.1413166117916522</v>
      </c>
      <c r="AB122" s="1136">
        <v>0.67645175529921286</v>
      </c>
      <c r="AC122" s="1136">
        <v>1.6760939551367242</v>
      </c>
      <c r="AD122" s="1136">
        <v>1.271052567009926</v>
      </c>
      <c r="AE122" s="1136">
        <v>2.3929923596273825</v>
      </c>
      <c r="AF122" s="1136">
        <v>1.0275356632394301</v>
      </c>
    </row>
    <row r="123" spans="1:37" ht="15">
      <c r="C123" s="1340"/>
      <c r="D123" s="1340"/>
      <c r="E123" s="1159" t="s">
        <v>1159</v>
      </c>
      <c r="F123" s="1161">
        <f t="shared" ref="F123:AF123" si="347">(F122-F121)/F122</f>
        <v>-1.3422961155816081E-16</v>
      </c>
      <c r="G123" s="1161">
        <f t="shared" si="347"/>
        <v>3.491035644635697E-16</v>
      </c>
      <c r="H123" s="1161">
        <f t="shared" si="347"/>
        <v>-2.3048115474453848E-16</v>
      </c>
      <c r="I123" s="1161">
        <f t="shared" si="347"/>
        <v>2.4122838829617031E-16</v>
      </c>
      <c r="J123" s="1161">
        <f t="shared" si="347"/>
        <v>-1.2678252730887954E-16</v>
      </c>
      <c r="K123" s="1161">
        <f t="shared" si="347"/>
        <v>-4.6420483788212782E-16</v>
      </c>
      <c r="L123" s="1161">
        <f t="shared" si="347"/>
        <v>-4.8170588879879967E-16</v>
      </c>
      <c r="M123" s="1161">
        <f t="shared" si="347"/>
        <v>0</v>
      </c>
      <c r="N123" s="1161">
        <f t="shared" si="347"/>
        <v>1.6413030340912777E-16</v>
      </c>
      <c r="O123" s="1161">
        <f t="shared" si="347"/>
        <v>0</v>
      </c>
      <c r="P123" s="1161">
        <f t="shared" si="347"/>
        <v>-1.537193731869011E-16</v>
      </c>
      <c r="Q123" s="1161">
        <f t="shared" si="347"/>
        <v>1.6638912861748548E-16</v>
      </c>
      <c r="R123" s="1161">
        <f t="shared" si="347"/>
        <v>-3.9359219891761406E-16</v>
      </c>
      <c r="S123" s="1161">
        <f t="shared" si="347"/>
        <v>5.3478444800108965E-16</v>
      </c>
      <c r="T123" s="1161">
        <f t="shared" si="347"/>
        <v>0</v>
      </c>
      <c r="U123" s="1161">
        <f t="shared" si="347"/>
        <v>4.5844272778955811E-16</v>
      </c>
      <c r="V123" s="1161">
        <f t="shared" si="347"/>
        <v>1.1904080476238061E-16</v>
      </c>
      <c r="W123" s="1161">
        <f t="shared" si="347"/>
        <v>-1.8641711373755957E-16</v>
      </c>
      <c r="X123" s="1161">
        <f t="shared" si="347"/>
        <v>4.1644139570118943E-16</v>
      </c>
      <c r="Y123" s="1161">
        <f t="shared" si="347"/>
        <v>0</v>
      </c>
      <c r="Z123" s="1161">
        <f t="shared" si="347"/>
        <v>4.0890378159195948E-16</v>
      </c>
      <c r="AA123" s="1161">
        <f t="shared" si="347"/>
        <v>0</v>
      </c>
      <c r="AB123" s="1161">
        <f t="shared" si="347"/>
        <v>1.6412449460406455E-16</v>
      </c>
      <c r="AC123" s="1161">
        <f t="shared" si="347"/>
        <v>2.6495484247112918E-16</v>
      </c>
      <c r="AD123" s="1161">
        <f t="shared" si="347"/>
        <v>-3.4938697373843125E-16</v>
      </c>
      <c r="AE123" s="1161">
        <f t="shared" si="347"/>
        <v>-5.5673710122402476E-16</v>
      </c>
      <c r="AF123" s="1161">
        <f t="shared" si="347"/>
        <v>0</v>
      </c>
    </row>
    <row r="124" spans="1:37" ht="15">
      <c r="C124" s="1340" t="s">
        <v>1162</v>
      </c>
      <c r="D124" s="1340"/>
      <c r="E124" s="1137" t="s">
        <v>1157</v>
      </c>
      <c r="F124" s="1158">
        <f>SUM(G124:AF124)</f>
        <v>211.73948952455299</v>
      </c>
      <c r="G124" s="1158">
        <f t="shared" ref="G124:AC124" si="348">E115+E113+E104+E95+E86+E77+E68+E59+E50+E41+E32+E23+E14</f>
        <v>1.272084432974631</v>
      </c>
      <c r="H124" s="1158">
        <f t="shared" si="348"/>
        <v>123.31467820831671</v>
      </c>
      <c r="I124" s="1158">
        <f t="shared" si="348"/>
        <v>7.363796823196914</v>
      </c>
      <c r="J124" s="1158">
        <f t="shared" si="348"/>
        <v>1.7513817529766171</v>
      </c>
      <c r="K124" s="1158">
        <f t="shared" si="348"/>
        <v>1.4349997251520255</v>
      </c>
      <c r="L124" s="1158">
        <f t="shared" si="348"/>
        <v>0.69143208570294912</v>
      </c>
      <c r="M124" s="1158">
        <f t="shared" si="348"/>
        <v>3.0388153054039782</v>
      </c>
      <c r="N124" s="1158">
        <f t="shared" si="348"/>
        <v>5.4114225176697692</v>
      </c>
      <c r="O124" s="1158">
        <f t="shared" si="348"/>
        <v>1.1752936766265591</v>
      </c>
      <c r="P124" s="1158">
        <f t="shared" si="348"/>
        <v>2.8889605821519497</v>
      </c>
      <c r="Q124" s="1158">
        <f t="shared" si="348"/>
        <v>2.6689797196485476</v>
      </c>
      <c r="R124" s="1158">
        <f t="shared" si="348"/>
        <v>4.5131911767694213</v>
      </c>
      <c r="S124" s="1158">
        <f t="shared" si="348"/>
        <v>2.4912235846235249</v>
      </c>
      <c r="T124" s="1158">
        <f t="shared" si="348"/>
        <v>18.164569738528382</v>
      </c>
      <c r="U124" s="1158">
        <f t="shared" si="348"/>
        <v>2.9060721193547798</v>
      </c>
      <c r="V124" s="1158">
        <f t="shared" si="348"/>
        <v>7.4611258002920362</v>
      </c>
      <c r="W124" s="1158">
        <f t="shared" si="348"/>
        <v>2.3822341251096568</v>
      </c>
      <c r="X124" s="1158">
        <f t="shared" si="348"/>
        <v>3.1991719442467099</v>
      </c>
      <c r="Y124" s="1158">
        <f t="shared" si="348"/>
        <v>9.8815892011882607</v>
      </c>
      <c r="Z124" s="1158">
        <f t="shared" si="348"/>
        <v>0.54302409251525841</v>
      </c>
      <c r="AA124" s="1158">
        <f t="shared" si="348"/>
        <v>2.1413166117916522</v>
      </c>
      <c r="AB124" s="1158">
        <f t="shared" si="348"/>
        <v>0.67645175529921298</v>
      </c>
      <c r="AC124" s="1158">
        <f t="shared" si="348"/>
        <v>1.6760939551367242</v>
      </c>
      <c r="AD124" s="1158">
        <f>AB115+AB113+AB104+AB95+AB86+AB77+AB68+AB59+AB50+AB41+AB32+AB23+AB14</f>
        <v>1.271052567009926</v>
      </c>
      <c r="AE124" s="1158">
        <f>AC115+AC113+AC104+AC95+AC86+AC77+AC68+AC59+AC50+AC41+AC32+AC23+AC14</f>
        <v>2.3929923596273825</v>
      </c>
      <c r="AF124" s="1158">
        <f>AD115+AD113+AD104+AD95+AD86+AD77+AD68+AD59+AD50+AD41+AD32+AD23+AD14</f>
        <v>1.0275356632394301</v>
      </c>
    </row>
    <row r="125" spans="1:37">
      <c r="C125" s="1340"/>
      <c r="D125" s="1340"/>
      <c r="E125" s="1136" t="s">
        <v>1158</v>
      </c>
      <c r="F125" s="1136">
        <f>SUM(G125:AF125)</f>
        <v>211.73948952455299</v>
      </c>
      <c r="G125" s="1136">
        <v>1.272084432974631</v>
      </c>
      <c r="H125" s="1136">
        <v>123.31467820831671</v>
      </c>
      <c r="I125" s="1136">
        <v>7.3637968231969131</v>
      </c>
      <c r="J125" s="1136">
        <v>1.7513817529766174</v>
      </c>
      <c r="K125" s="1136">
        <v>1.4349997251520255</v>
      </c>
      <c r="L125" s="1136">
        <v>0.69143208570294923</v>
      </c>
      <c r="M125" s="1136">
        <v>3.0388153054039786</v>
      </c>
      <c r="N125" s="1136">
        <v>5.4114225176697692</v>
      </c>
      <c r="O125" s="1136">
        <v>1.1752936766265591</v>
      </c>
      <c r="P125" s="1136">
        <v>2.8889605821519497</v>
      </c>
      <c r="Q125" s="1136">
        <v>2.6689797196485481</v>
      </c>
      <c r="R125" s="1136">
        <v>4.5131911767694204</v>
      </c>
      <c r="S125" s="1136">
        <v>2.4912235846235253</v>
      </c>
      <c r="T125" s="1136">
        <v>18.164569738528382</v>
      </c>
      <c r="U125" s="1136">
        <v>2.9060721193547803</v>
      </c>
      <c r="V125" s="1136">
        <v>7.461125800292038</v>
      </c>
      <c r="W125" s="1136">
        <v>2.3822341251096568</v>
      </c>
      <c r="X125" s="1136">
        <v>3.1991719442467104</v>
      </c>
      <c r="Y125" s="1136">
        <v>9.8815892011882625</v>
      </c>
      <c r="Z125" s="1136">
        <v>0.54302409251525863</v>
      </c>
      <c r="AA125" s="1136">
        <v>2.1413166117916522</v>
      </c>
      <c r="AB125" s="1136">
        <v>0.67645175529921286</v>
      </c>
      <c r="AC125" s="1136">
        <v>1.6760939551367242</v>
      </c>
      <c r="AD125" s="1136">
        <v>1.271052567009926</v>
      </c>
      <c r="AE125" s="1136">
        <v>2.3929923596273825</v>
      </c>
      <c r="AF125" s="1136">
        <v>1.0275356632394301</v>
      </c>
    </row>
    <row r="126" spans="1:37" ht="15">
      <c r="C126" s="1340"/>
      <c r="D126" s="1340"/>
      <c r="E126" s="1159" t="s">
        <v>1159</v>
      </c>
      <c r="F126" s="1161">
        <f t="shared" ref="F126:AF126" si="349">(F125-F124)/F125</f>
        <v>0</v>
      </c>
      <c r="G126" s="1161">
        <f t="shared" si="349"/>
        <v>0</v>
      </c>
      <c r="H126" s="1161">
        <f t="shared" si="349"/>
        <v>0</v>
      </c>
      <c r="I126" s="1161">
        <f t="shared" si="349"/>
        <v>-1.2061419414808516E-16</v>
      </c>
      <c r="J126" s="1161">
        <f t="shared" si="349"/>
        <v>1.2678252730887954E-16</v>
      </c>
      <c r="K126" s="1161">
        <f t="shared" si="349"/>
        <v>0</v>
      </c>
      <c r="L126" s="1161">
        <f t="shared" si="349"/>
        <v>1.6056862959959988E-16</v>
      </c>
      <c r="M126" s="1161">
        <f t="shared" si="349"/>
        <v>1.4613892758152526E-16</v>
      </c>
      <c r="N126" s="1161">
        <f t="shared" si="349"/>
        <v>0</v>
      </c>
      <c r="O126" s="1161">
        <f t="shared" si="349"/>
        <v>0</v>
      </c>
      <c r="P126" s="1161">
        <f t="shared" si="349"/>
        <v>0</v>
      </c>
      <c r="Q126" s="1161">
        <f t="shared" si="349"/>
        <v>1.6638912861748548E-16</v>
      </c>
      <c r="R126" s="1161">
        <f t="shared" si="349"/>
        <v>-1.9679609945880703E-16</v>
      </c>
      <c r="S126" s="1161">
        <f t="shared" si="349"/>
        <v>1.7826148266702987E-16</v>
      </c>
      <c r="T126" s="1161">
        <f t="shared" si="349"/>
        <v>0</v>
      </c>
      <c r="U126" s="1161">
        <f t="shared" si="349"/>
        <v>1.5281424259651939E-16</v>
      </c>
      <c r="V126" s="1161">
        <f t="shared" si="349"/>
        <v>2.3808160952476122E-16</v>
      </c>
      <c r="W126" s="1161">
        <f t="shared" si="349"/>
        <v>0</v>
      </c>
      <c r="X126" s="1161">
        <f t="shared" si="349"/>
        <v>1.3881379856706314E-16</v>
      </c>
      <c r="Y126" s="1161">
        <f t="shared" si="349"/>
        <v>1.7976428722483659E-16</v>
      </c>
      <c r="Z126" s="1161">
        <f t="shared" si="349"/>
        <v>4.0890378159195948E-16</v>
      </c>
      <c r="AA126" s="1161">
        <f t="shared" si="349"/>
        <v>0</v>
      </c>
      <c r="AB126" s="1161">
        <f t="shared" si="349"/>
        <v>-1.6412449460406455E-16</v>
      </c>
      <c r="AC126" s="1161">
        <f t="shared" si="349"/>
        <v>0</v>
      </c>
      <c r="AD126" s="1161">
        <f t="shared" si="349"/>
        <v>0</v>
      </c>
      <c r="AE126" s="1161">
        <f t="shared" si="349"/>
        <v>0</v>
      </c>
      <c r="AF126" s="1161">
        <f t="shared" si="349"/>
        <v>0</v>
      </c>
    </row>
    <row r="128" spans="1:37" ht="15">
      <c r="C128" s="1339" t="s">
        <v>1108</v>
      </c>
      <c r="D128" s="1339"/>
      <c r="E128" s="1339"/>
      <c r="F128" s="1339"/>
      <c r="G128" s="1339"/>
      <c r="H128" s="1339"/>
    </row>
    <row r="129" spans="3:32" ht="15">
      <c r="C129" s="1131" t="s">
        <v>253</v>
      </c>
      <c r="D129" s="1131" t="s">
        <v>277</v>
      </c>
      <c r="E129" s="1131" t="s">
        <v>255</v>
      </c>
      <c r="F129" s="1131" t="s">
        <v>256</v>
      </c>
      <c r="G129" s="1131" t="s">
        <v>655</v>
      </c>
      <c r="H129" s="1131" t="s">
        <v>660</v>
      </c>
      <c r="I129" s="1131" t="s">
        <v>663</v>
      </c>
      <c r="J129" s="1131" t="s">
        <v>664</v>
      </c>
      <c r="K129" s="1131" t="s">
        <v>665</v>
      </c>
      <c r="L129" s="1131" t="s">
        <v>668</v>
      </c>
      <c r="M129" s="1131" t="s">
        <v>669</v>
      </c>
      <c r="N129" s="1131" t="s">
        <v>671</v>
      </c>
      <c r="O129" s="1131" t="s">
        <v>673</v>
      </c>
      <c r="P129" s="1131" t="s">
        <v>678</v>
      </c>
      <c r="Q129" s="1131" t="s">
        <v>679</v>
      </c>
      <c r="R129" s="1131" t="s">
        <v>680</v>
      </c>
      <c r="S129" s="1131" t="s">
        <v>657</v>
      </c>
      <c r="T129" s="1131" t="s">
        <v>658</v>
      </c>
      <c r="U129" s="1131" t="s">
        <v>662</v>
      </c>
      <c r="V129" s="1131" t="s">
        <v>667</v>
      </c>
      <c r="W129" s="1131" t="s">
        <v>676</v>
      </c>
      <c r="X129" s="1131" t="s">
        <v>677</v>
      </c>
      <c r="Y129" s="1131" t="s">
        <v>661</v>
      </c>
      <c r="Z129" s="1131" t="s">
        <v>666</v>
      </c>
      <c r="AA129" s="1131" t="s">
        <v>670</v>
      </c>
      <c r="AB129" s="1131" t="s">
        <v>674</v>
      </c>
      <c r="AC129" s="1131" t="s">
        <v>675</v>
      </c>
      <c r="AD129" s="1131" t="s">
        <v>656</v>
      </c>
      <c r="AE129" s="1131" t="s">
        <v>659</v>
      </c>
      <c r="AF129" s="1131" t="s">
        <v>672</v>
      </c>
    </row>
    <row r="130" spans="3:32" ht="15.75" thickBot="1">
      <c r="C130" s="1139" t="s">
        <v>1209</v>
      </c>
      <c r="D130" s="1139"/>
      <c r="E130" s="1139"/>
      <c r="F130" s="1139"/>
      <c r="G130" s="1139"/>
      <c r="H130" s="1139"/>
      <c r="I130" s="1139"/>
      <c r="J130" s="1139"/>
      <c r="K130" s="1139"/>
      <c r="L130" s="1139"/>
      <c r="M130" s="1139"/>
      <c r="N130" s="1139"/>
      <c r="O130" s="1139"/>
      <c r="P130" s="1139"/>
      <c r="Q130" s="1139"/>
      <c r="R130" s="1139"/>
      <c r="S130" s="1139"/>
      <c r="T130" s="1139"/>
      <c r="U130" s="1139"/>
      <c r="V130" s="1139"/>
      <c r="W130" s="1139"/>
      <c r="X130" s="1139"/>
      <c r="Y130" s="1139"/>
      <c r="Z130" s="1139"/>
      <c r="AA130" s="1139"/>
      <c r="AB130" s="1139"/>
      <c r="AC130" s="1139"/>
      <c r="AD130" s="1139"/>
      <c r="AE130" s="1139"/>
      <c r="AF130" s="1139"/>
    </row>
    <row r="131" spans="3:32">
      <c r="C131" s="1134" t="s">
        <v>1164</v>
      </c>
      <c r="D131" s="1134" t="s">
        <v>1094</v>
      </c>
      <c r="E131" s="1134" t="s">
        <v>834</v>
      </c>
      <c r="F131" s="1134" t="s">
        <v>1165</v>
      </c>
      <c r="G131" s="1134">
        <f>SUMIFS(INDEX(ArchetypeDemand!$I$56:$AH$100,,MATCH(G$129,ArchetypeDemand!$I$4:$AH$4,0)),ArchetypeDemand!$F$56:$F$100,$F131)*'SHWLP-Apt'!$R$14</f>
        <v>3.0746772452669561E-3</v>
      </c>
      <c r="H131" s="1134">
        <f>SUMIFS(INDEX(ArchetypeDemand!$I$56:$AH$100,,MATCH(H$129,ArchetypeDemand!$I$4:$AH$4,0)),ArchetypeDemand!$F$56:$F$100,$F131)*'SHWLP-Apt'!$R$14</f>
        <v>1.0811780242335187</v>
      </c>
      <c r="I131" s="1134">
        <f>SUMIFS(INDEX(ArchetypeDemand!$I$56:$AH$100,,MATCH(I$129,ArchetypeDemand!$I$4:$AH$4,0)),ArchetypeDemand!$F$56:$F$100,$F131)*'SHWLP-Apt'!$R$14</f>
        <v>3.7777364148109713E-2</v>
      </c>
      <c r="J131" s="1134">
        <f>SUMIFS(INDEX(ArchetypeDemand!$I$56:$AH$100,,MATCH(J$129,ArchetypeDemand!$I$4:$AH$4,0)),ArchetypeDemand!$F$56:$F$100,$F131)*'SHWLP-Apt'!$R$14</f>
        <v>9.3056358313700852E-3</v>
      </c>
      <c r="K131" s="1134">
        <f>SUMIFS(INDEX(ArchetypeDemand!$I$56:$AH$100,,MATCH(K$129,ArchetypeDemand!$I$4:$AH$4,0)),ArchetypeDemand!$F$56:$F$100,$F131)*'SHWLP-Apt'!$R$14</f>
        <v>8.5389957356327532E-3</v>
      </c>
      <c r="L131" s="1134">
        <f>SUMIFS(INDEX(ArchetypeDemand!$I$56:$AH$100,,MATCH(L$129,ArchetypeDemand!$I$4:$AH$4,0)),ArchetypeDemand!$F$56:$F$100,$F131)*'SHWLP-Apt'!$R$14</f>
        <v>1.4452138367309476E-3</v>
      </c>
      <c r="M131" s="1134">
        <f>SUMIFS(INDEX(ArchetypeDemand!$I$56:$AH$100,,MATCH(M$129,ArchetypeDemand!$I$4:$AH$4,0)),ArchetypeDemand!$F$56:$F$100,$F131)*'SHWLP-Apt'!$R$14</f>
        <v>2.2598987804521714E-2</v>
      </c>
      <c r="N131" s="1134">
        <f>SUMIFS(INDEX(ArchetypeDemand!$I$56:$AH$100,,MATCH(N$129,ArchetypeDemand!$I$4:$AH$4,0)),ArchetypeDemand!$F$56:$F$100,$F131)*'SHWLP-Apt'!$R$14</f>
        <v>3.6599235523098857E-2</v>
      </c>
      <c r="O131" s="1134">
        <f>SUMIFS(INDEX(ArchetypeDemand!$I$56:$AH$100,,MATCH(O$129,ArchetypeDemand!$I$4:$AH$4,0)),ArchetypeDemand!$F$56:$F$100,$F131)*'SHWLP-Apt'!$R$14</f>
        <v>2.8568108532296588E-3</v>
      </c>
      <c r="P131" s="1134">
        <f>SUMIFS(INDEX(ArchetypeDemand!$I$56:$AH$100,,MATCH(P$129,ArchetypeDemand!$I$4:$AH$4,0)),ArchetypeDemand!$F$56:$F$100,$F131)*'SHWLP-Apt'!$R$14</f>
        <v>1.3498675404750341E-2</v>
      </c>
      <c r="Q131" s="1134">
        <f>SUMIFS(INDEX(ArchetypeDemand!$I$56:$AH$100,,MATCH(Q$129,ArchetypeDemand!$I$4:$AH$4,0)),ArchetypeDemand!$F$56:$F$100,$F131)*'SHWLP-Apt'!$R$14</f>
        <v>6.9742524403151093E-3</v>
      </c>
      <c r="R131" s="1134">
        <f>SUMIFS(INDEX(ArchetypeDemand!$I$56:$AH$100,,MATCH(R$129,ArchetypeDemand!$I$4:$AH$4,0)),ArchetypeDemand!$F$56:$F$100,$F131)*'SHWLP-Apt'!$R$14</f>
        <v>3.4080750979788611E-2</v>
      </c>
      <c r="S131" s="1134">
        <f>SUMIFS(INDEX(ArchetypeDemand!$I$56:$AH$100,,MATCH(S$129,ArchetypeDemand!$I$4:$AH$4,0)),ArchetypeDemand!$F$56:$F$100,$F131)*'SHWLP-Apt'!$R$14</f>
        <v>7.7254865235923554E-3</v>
      </c>
      <c r="T131" s="1134">
        <f>SUMIFS(INDEX(ArchetypeDemand!$I$56:$AH$100,,MATCH(T$129,ArchetypeDemand!$I$4:$AH$4,0)),ArchetypeDemand!$F$56:$F$100,$F131)*'SHWLP-Apt'!$R$14</f>
        <v>0.15069448917981176</v>
      </c>
      <c r="U131" s="1134">
        <f>SUMIFS(INDEX(ArchetypeDemand!$I$56:$AH$100,,MATCH(U$129,ArchetypeDemand!$I$4:$AH$4,0)),ArchetypeDemand!$F$56:$F$100,$F131)*'SHWLP-Apt'!$R$14</f>
        <v>1.0141902183640047E-2</v>
      </c>
      <c r="V131" s="1134">
        <f>SUMIFS(INDEX(ArchetypeDemand!$I$56:$AH$100,,MATCH(V$129,ArchetypeDemand!$I$4:$AH$4,0)),ArchetypeDemand!$F$56:$F$100,$F131)*'SHWLP-Apt'!$R$14</f>
        <v>2.447893108174188E-2</v>
      </c>
      <c r="W131" s="1134">
        <f>SUMIFS(INDEX(ArchetypeDemand!$I$56:$AH$100,,MATCH(W$129,ArchetypeDemand!$I$4:$AH$4,0)),ArchetypeDemand!$F$56:$F$100,$F131)*'SHWLP-Apt'!$R$14</f>
        <v>4.2013954826015439E-3</v>
      </c>
      <c r="X131" s="1134">
        <f>SUMIFS(INDEX(ArchetypeDemand!$I$56:$AH$100,,MATCH(X$129,ArchetypeDemand!$I$4:$AH$4,0)),ArchetypeDemand!$F$56:$F$100,$F131)*'SHWLP-Apt'!$R$14</f>
        <v>1.0422455037728507E-2</v>
      </c>
      <c r="Y131" s="1134">
        <f>SUMIFS(INDEX(ArchetypeDemand!$I$56:$AH$100,,MATCH(Y$129,ArchetypeDemand!$I$4:$AH$4,0)),ArchetypeDemand!$F$56:$F$100,$F131)*'SHWLP-Apt'!$R$14</f>
        <v>3.2845697503410619E-2</v>
      </c>
      <c r="Z131" s="1134">
        <f>SUMIFS(INDEX(ArchetypeDemand!$I$56:$AH$100,,MATCH(Z$129,ArchetypeDemand!$I$4:$AH$4,0)),ArchetypeDemand!$F$56:$F$100,$F131)*'SHWLP-Apt'!$R$14</f>
        <v>6.5353891116085169E-4</v>
      </c>
      <c r="AA131" s="1134">
        <f>SUMIFS(INDEX(ArchetypeDemand!$I$56:$AH$100,,MATCH(AA$129,ArchetypeDemand!$I$4:$AH$4,0)),ArchetypeDemand!$F$56:$F$100,$F131)*'SHWLP-Apt'!$R$14</f>
        <v>5.4129875148182576E-3</v>
      </c>
      <c r="AB131" s="1134">
        <f>SUMIFS(INDEX(ArchetypeDemand!$I$56:$AH$100,,MATCH(AB$129,ArchetypeDemand!$I$4:$AH$4,0)),ArchetypeDemand!$F$56:$F$100,$F131)*'SHWLP-Apt'!$R$14</f>
        <v>1.9227574747331315E-3</v>
      </c>
      <c r="AC131" s="1134">
        <f>SUMIFS(INDEX(ArchetypeDemand!$I$56:$AH$100,,MATCH(AC$129,ArchetypeDemand!$I$4:$AH$4,0)),ArchetypeDemand!$F$56:$F$100,$F131)*'SHWLP-Apt'!$R$14</f>
        <v>5.4242537936303094E-3</v>
      </c>
      <c r="AD131" s="1134">
        <f>SUMIFS(INDEX(ArchetypeDemand!$I$56:$AH$100,,MATCH(AD$129,ArchetypeDemand!$I$4:$AH$4,0)),ArchetypeDemand!$F$56:$F$100,$F131)*'SHWLP-Apt'!$R$14</f>
        <v>5.0384159087007727E-3</v>
      </c>
      <c r="AE131" s="1134">
        <f>SUMIFS(INDEX(ArchetypeDemand!$I$56:$AH$100,,MATCH(AE$129,ArchetypeDemand!$I$4:$AH$4,0)),ArchetypeDemand!$F$56:$F$100,$F131)*'SHWLP-Apt'!$R$14</f>
        <v>1.0438696489603433E-2</v>
      </c>
      <c r="AF131" s="1134">
        <f>SUMIFS(INDEX(ArchetypeDemand!$I$56:$AH$100,,MATCH(AF$129,ArchetypeDemand!$I$4:$AH$4,0)),ArchetypeDemand!$F$56:$F$100,$F131)*'SHWLP-Apt'!$R$14</f>
        <v>4.1389626450535474E-3</v>
      </c>
    </row>
    <row r="132" spans="3:32">
      <c r="C132" s="1136" t="s">
        <v>1164</v>
      </c>
      <c r="D132" s="1136" t="s">
        <v>1094</v>
      </c>
      <c r="E132" s="1136" t="s">
        <v>834</v>
      </c>
      <c r="F132" s="1136" t="s">
        <v>1166</v>
      </c>
      <c r="G132" s="1136">
        <f>SUMIFS(INDEX(ArchetypeDemand!$I$56:$AH$100,,MATCH(G$129,ArchetypeDemand!$I$4:$AH$4,0)),ArchetypeDemand!$F$56:$F$100,$F132)*'SHWLP-Apt'!$R$14</f>
        <v>1.4277179547262379E-2</v>
      </c>
      <c r="H132" s="1136">
        <f>SUMIFS(INDEX(ArchetypeDemand!$I$56:$AH$100,,MATCH(H$129,ArchetypeDemand!$I$4:$AH$4,0)),ArchetypeDemand!$F$56:$F$100,$F132)*'SHWLP-Apt'!$R$14</f>
        <v>1.1933133240857168</v>
      </c>
      <c r="I132" s="1136">
        <f>SUMIFS(INDEX(ArchetypeDemand!$I$56:$AH$100,,MATCH(I$129,ArchetypeDemand!$I$4:$AH$4,0)),ArchetypeDemand!$F$56:$F$100,$F132)*'SHWLP-Apt'!$R$14</f>
        <v>8.5597901146200236E-2</v>
      </c>
      <c r="J132" s="1136">
        <f>SUMIFS(INDEX(ArchetypeDemand!$I$56:$AH$100,,MATCH(J$129,ArchetypeDemand!$I$4:$AH$4,0)),ArchetypeDemand!$F$56:$F$100,$F132)*'SHWLP-Apt'!$R$14</f>
        <v>2.1025516270705084E-2</v>
      </c>
      <c r="K132" s="1136">
        <f>SUMIFS(INDEX(ArchetypeDemand!$I$56:$AH$100,,MATCH(K$129,ArchetypeDemand!$I$4:$AH$4,0)),ArchetypeDemand!$F$56:$F$100,$F132)*'SHWLP-Apt'!$R$14</f>
        <v>1.3565731355275256E-2</v>
      </c>
      <c r="L132" s="1136">
        <f>SUMIFS(INDEX(ArchetypeDemand!$I$56:$AH$100,,MATCH(L$129,ArchetypeDemand!$I$4:$AH$4,0)),ArchetypeDemand!$F$56:$F$100,$F132)*'SHWLP-Apt'!$R$14</f>
        <v>5.5302682289307655E-3</v>
      </c>
      <c r="M132" s="1136">
        <f>SUMIFS(INDEX(ArchetypeDemand!$I$56:$AH$100,,MATCH(M$129,ArchetypeDemand!$I$4:$AH$4,0)),ArchetypeDemand!$F$56:$F$100,$F132)*'SHWLP-Apt'!$R$14</f>
        <v>3.5027397942417333E-2</v>
      </c>
      <c r="N132" s="1136">
        <f>SUMIFS(INDEX(ArchetypeDemand!$I$56:$AH$100,,MATCH(N$129,ArchetypeDemand!$I$4:$AH$4,0)),ArchetypeDemand!$F$56:$F$100,$F132)*'SHWLP-Apt'!$R$14</f>
        <v>6.6782556223420331E-2</v>
      </c>
      <c r="O132" s="1136">
        <f>SUMIFS(INDEX(ArchetypeDemand!$I$56:$AH$100,,MATCH(O$129,ArchetypeDemand!$I$4:$AH$4,0)),ArchetypeDemand!$F$56:$F$100,$F132)*'SHWLP-Apt'!$R$14</f>
        <v>9.3631042268367114E-3</v>
      </c>
      <c r="P132" s="1136">
        <f>SUMIFS(INDEX(ArchetypeDemand!$I$56:$AH$100,,MATCH(P$129,ArchetypeDemand!$I$4:$AH$4,0)),ArchetypeDemand!$F$56:$F$100,$F132)*'SHWLP-Apt'!$R$14</f>
        <v>2.5485942301753203E-2</v>
      </c>
      <c r="Q132" s="1136">
        <f>SUMIFS(INDEX(ArchetypeDemand!$I$56:$AH$100,,MATCH(Q$129,ArchetypeDemand!$I$4:$AH$4,0)),ArchetypeDemand!$F$56:$F$100,$F132)*'SHWLP-Apt'!$R$14</f>
        <v>2.1407400259878685E-2</v>
      </c>
      <c r="R132" s="1136">
        <f>SUMIFS(INDEX(ArchetypeDemand!$I$56:$AH$100,,MATCH(R$129,ArchetypeDemand!$I$4:$AH$4,0)),ArchetypeDemand!$F$56:$F$100,$F132)*'SHWLP-Apt'!$R$14</f>
        <v>4.5154234440778221E-2</v>
      </c>
      <c r="S132" s="1136">
        <f>SUMIFS(INDEX(ArchetypeDemand!$I$56:$AH$100,,MATCH(S$129,ArchetypeDemand!$I$4:$AH$4,0)),ArchetypeDemand!$F$56:$F$100,$F132)*'SHWLP-Apt'!$R$14</f>
        <v>2.230340977013438E-2</v>
      </c>
      <c r="T132" s="1136">
        <f>SUMIFS(INDEX(ArchetypeDemand!$I$56:$AH$100,,MATCH(T$129,ArchetypeDemand!$I$4:$AH$4,0)),ArchetypeDemand!$F$56:$F$100,$F132)*'SHWLP-Apt'!$R$14</f>
        <v>0.16945173430778723</v>
      </c>
      <c r="U132" s="1136">
        <f>SUMIFS(INDEX(ArchetypeDemand!$I$56:$AH$100,,MATCH(U$129,ArchetypeDemand!$I$4:$AH$4,0)),ArchetypeDemand!$F$56:$F$100,$F132)*'SHWLP-Apt'!$R$14</f>
        <v>2.8409723459661036E-2</v>
      </c>
      <c r="V132" s="1136">
        <f>SUMIFS(INDEX(ArchetypeDemand!$I$56:$AH$100,,MATCH(V$129,ArchetypeDemand!$I$4:$AH$4,0)),ArchetypeDemand!$F$56:$F$100,$F132)*'SHWLP-Apt'!$R$14</f>
        <v>9.5526479823994884E-2</v>
      </c>
      <c r="W132" s="1136">
        <f>SUMIFS(INDEX(ArchetypeDemand!$I$56:$AH$100,,MATCH(W$129,ArchetypeDemand!$I$4:$AH$4,0)),ArchetypeDemand!$F$56:$F$100,$F132)*'SHWLP-Apt'!$R$14</f>
        <v>1.3734385908970463E-2</v>
      </c>
      <c r="X132" s="1136">
        <f>SUMIFS(INDEX(ArchetypeDemand!$I$56:$AH$100,,MATCH(X$129,ArchetypeDemand!$I$4:$AH$4,0)),ArchetypeDemand!$F$56:$F$100,$F132)*'SHWLP-Apt'!$R$14</f>
        <v>2.8445951299368961E-2</v>
      </c>
      <c r="Y132" s="1136">
        <f>SUMIFS(INDEX(ArchetypeDemand!$I$56:$AH$100,,MATCH(Y$129,ArchetypeDemand!$I$4:$AH$4,0)),ArchetypeDemand!$F$56:$F$100,$F132)*'SHWLP-Apt'!$R$14</f>
        <v>8.8738931675452576E-2</v>
      </c>
      <c r="Z132" s="1136">
        <f>SUMIFS(INDEX(ArchetypeDemand!$I$56:$AH$100,,MATCH(Z$129,ArchetypeDemand!$I$4:$AH$4,0)),ArchetypeDemand!$F$56:$F$100,$F132)*'SHWLP-Apt'!$R$14</f>
        <v>5.7927312580166399E-3</v>
      </c>
      <c r="AA132" s="1136">
        <f>SUMIFS(INDEX(ArchetypeDemand!$I$56:$AH$100,,MATCH(AA$129,ArchetypeDemand!$I$4:$AH$4,0)),ArchetypeDemand!$F$56:$F$100,$F132)*'SHWLP-Apt'!$R$14</f>
        <v>1.8514571384610705E-2</v>
      </c>
      <c r="AB132" s="1136">
        <f>SUMIFS(INDEX(ArchetypeDemand!$I$56:$AH$100,,MATCH(AB$129,ArchetypeDemand!$I$4:$AH$4,0)),ArchetypeDemand!$F$56:$F$100,$F132)*'SHWLP-Apt'!$R$14</f>
        <v>6.1820831210053035E-3</v>
      </c>
      <c r="AC132" s="1136">
        <f>SUMIFS(INDEX(ArchetypeDemand!$I$56:$AH$100,,MATCH(AC$129,ArchetypeDemand!$I$4:$AH$4,0)),ArchetypeDemand!$F$56:$F$100,$F132)*'SHWLP-Apt'!$R$14</f>
        <v>1.2646420613801541E-2</v>
      </c>
      <c r="AD132" s="1136">
        <f>SUMIFS(INDEX(ArchetypeDemand!$I$56:$AH$100,,MATCH(AD$129,ArchetypeDemand!$I$4:$AH$4,0)),ArchetypeDemand!$F$56:$F$100,$F132)*'SHWLP-Apt'!$R$14</f>
        <v>1.0705800793340084E-2</v>
      </c>
      <c r="AE132" s="1136">
        <f>SUMIFS(INDEX(ArchetypeDemand!$I$56:$AH$100,,MATCH(AE$129,ArchetypeDemand!$I$4:$AH$4,0)),ArchetypeDemand!$F$56:$F$100,$F132)*'SHWLP-Apt'!$R$14</f>
        <v>2.6128709131506337E-2</v>
      </c>
      <c r="AF132" s="1136">
        <f>SUMIFS(INDEX(ArchetypeDemand!$I$56:$AH$100,,MATCH(AF$129,ArchetypeDemand!$I$4:$AH$4,0)),ArchetypeDemand!$F$56:$F$100,$F132)*'SHWLP-Apt'!$R$14</f>
        <v>8.0812838596531298E-3</v>
      </c>
    </row>
    <row r="133" spans="3:32">
      <c r="C133" s="1134" t="s">
        <v>1164</v>
      </c>
      <c r="D133" s="1134" t="s">
        <v>1094</v>
      </c>
      <c r="E133" s="1134" t="s">
        <v>834</v>
      </c>
      <c r="F133" s="1134" t="s">
        <v>1167</v>
      </c>
      <c r="G133" s="1134">
        <f>SUMIFS(INDEX(ArchetypeDemand!$I$56:$AH$100,,MATCH(G$129,ArchetypeDemand!$I$4:$AH$4,0)),ArchetypeDemand!$F$56:$F$100,$F133)*'SHWLP-Apt'!$R$14</f>
        <v>1.0125934407161634E-2</v>
      </c>
      <c r="H133" s="1134">
        <f>SUMIFS(INDEX(ArchetypeDemand!$I$56:$AH$100,,MATCH(H$129,ArchetypeDemand!$I$4:$AH$4,0)),ArchetypeDemand!$F$56:$F$100,$F133)*'SHWLP-Apt'!$R$14</f>
        <v>0.72915332983648906</v>
      </c>
      <c r="I133" s="1134">
        <f>SUMIFS(INDEX(ArchetypeDemand!$I$56:$AH$100,,MATCH(I$129,ArchetypeDemand!$I$4:$AH$4,0)),ArchetypeDemand!$F$56:$F$100,$F133)*'SHWLP-Apt'!$R$14</f>
        <v>4.808528176027637E-2</v>
      </c>
      <c r="J133" s="1134">
        <f>SUMIFS(INDEX(ArchetypeDemand!$I$56:$AH$100,,MATCH(J$129,ArchetypeDemand!$I$4:$AH$4,0)),ArchetypeDemand!$F$56:$F$100,$F133)*'SHWLP-Apt'!$R$14</f>
        <v>1.0464534474181201E-2</v>
      </c>
      <c r="K133" s="1134">
        <f>SUMIFS(INDEX(ArchetypeDemand!$I$56:$AH$100,,MATCH(K$129,ArchetypeDemand!$I$4:$AH$4,0)),ArchetypeDemand!$F$56:$F$100,$F133)*'SHWLP-Apt'!$R$14</f>
        <v>1.1376174715476445E-2</v>
      </c>
      <c r="L133" s="1134">
        <f>SUMIFS(INDEX(ArchetypeDemand!$I$56:$AH$100,,MATCH(L$129,ArchetypeDemand!$I$4:$AH$4,0)),ArchetypeDemand!$F$56:$F$100,$F133)*'SHWLP-Apt'!$R$14</f>
        <v>7.7562881449783679E-3</v>
      </c>
      <c r="M133" s="1134">
        <f>SUMIFS(INDEX(ArchetypeDemand!$I$56:$AH$100,,MATCH(M$129,ArchetypeDemand!$I$4:$AH$4,0)),ArchetypeDemand!$F$56:$F$100,$F133)*'SHWLP-Apt'!$R$14</f>
        <v>1.5068540091005866E-2</v>
      </c>
      <c r="N133" s="1134">
        <f>SUMIFS(INDEX(ArchetypeDemand!$I$56:$AH$100,,MATCH(N$129,ArchetypeDemand!$I$4:$AH$4,0)),ArchetypeDemand!$F$56:$F$100,$F133)*'SHWLP-Apt'!$R$14</f>
        <v>3.2933166064445851E-2</v>
      </c>
      <c r="O133" s="1134">
        <f>SUMIFS(INDEX(ArchetypeDemand!$I$56:$AH$100,,MATCH(O$129,ArchetypeDemand!$I$4:$AH$4,0)),ArchetypeDemand!$F$56:$F$100,$F133)*'SHWLP-Apt'!$R$14</f>
        <v>1.0648236179539789E-2</v>
      </c>
      <c r="P133" s="1134">
        <f>SUMIFS(INDEX(ArchetypeDemand!$I$56:$AH$100,,MATCH(P$129,ArchetypeDemand!$I$4:$AH$4,0)),ArchetypeDemand!$F$56:$F$100,$F133)*'SHWLP-Apt'!$R$14</f>
        <v>2.5524615962302148E-2</v>
      </c>
      <c r="Q133" s="1134">
        <f>SUMIFS(INDEX(ArchetypeDemand!$I$56:$AH$100,,MATCH(Q$129,ArchetypeDemand!$I$4:$AH$4,0)),ArchetypeDemand!$F$56:$F$100,$F133)*'SHWLP-Apt'!$R$14</f>
        <v>2.3412106638730199E-2</v>
      </c>
      <c r="R133" s="1134">
        <f>SUMIFS(INDEX(ArchetypeDemand!$I$56:$AH$100,,MATCH(R$129,ArchetypeDemand!$I$4:$AH$4,0)),ArchetypeDemand!$F$56:$F$100,$F133)*'SHWLP-Apt'!$R$14</f>
        <v>2.7783071370371303E-2</v>
      </c>
      <c r="S133" s="1134">
        <f>SUMIFS(INDEX(ArchetypeDemand!$I$56:$AH$100,,MATCH(S$129,ArchetypeDemand!$I$4:$AH$4,0)),ArchetypeDemand!$F$56:$F$100,$F133)*'SHWLP-Apt'!$R$14</f>
        <v>2.0207787375625112E-2</v>
      </c>
      <c r="T133" s="1134">
        <f>SUMIFS(INDEX(ArchetypeDemand!$I$56:$AH$100,,MATCH(T$129,ArchetypeDemand!$I$4:$AH$4,0)),ArchetypeDemand!$F$56:$F$100,$F133)*'SHWLP-Apt'!$R$14</f>
        <v>9.9133744924845182E-2</v>
      </c>
      <c r="U133" s="1134">
        <f>SUMIFS(INDEX(ArchetypeDemand!$I$56:$AH$100,,MATCH(U$129,ArchetypeDemand!$I$4:$AH$4,0)),ArchetypeDemand!$F$56:$F$100,$F133)*'SHWLP-Apt'!$R$14</f>
        <v>2.4981592515876519E-2</v>
      </c>
      <c r="V133" s="1134">
        <f>SUMIFS(INDEX(ArchetypeDemand!$I$56:$AH$100,,MATCH(V$129,ArchetypeDemand!$I$4:$AH$4,0)),ArchetypeDemand!$F$56:$F$100,$F133)*'SHWLP-Apt'!$R$14</f>
        <v>5.6715414813096228E-2</v>
      </c>
      <c r="W133" s="1134">
        <f>SUMIFS(INDEX(ArchetypeDemand!$I$56:$AH$100,,MATCH(W$129,ArchetypeDemand!$I$4:$AH$4,0)),ArchetypeDemand!$F$56:$F$100,$F133)*'SHWLP-Apt'!$R$14</f>
        <v>2.3544661558235078E-2</v>
      </c>
      <c r="X133" s="1134">
        <f>SUMIFS(INDEX(ArchetypeDemand!$I$56:$AH$100,,MATCH(X$129,ArchetypeDemand!$I$4:$AH$4,0)),ArchetypeDemand!$F$56:$F$100,$F133)*'SHWLP-Apt'!$R$14</f>
        <v>2.9262581480212081E-2</v>
      </c>
      <c r="Y133" s="1134">
        <f>SUMIFS(INDEX(ArchetypeDemand!$I$56:$AH$100,,MATCH(Y$129,ArchetypeDemand!$I$4:$AH$4,0)),ArchetypeDemand!$F$56:$F$100,$F133)*'SHWLP-Apt'!$R$14</f>
        <v>9.1850451593034482E-2</v>
      </c>
      <c r="Z133" s="1134">
        <f>SUMIFS(INDEX(ArchetypeDemand!$I$56:$AH$100,,MATCH(Z$129,ArchetypeDemand!$I$4:$AH$4,0)),ArchetypeDemand!$F$56:$F$100,$F133)*'SHWLP-Apt'!$R$14</f>
        <v>5.9412628287350156E-3</v>
      </c>
      <c r="AA133" s="1134">
        <f>SUMIFS(INDEX(ArchetypeDemand!$I$56:$AH$100,,MATCH(AA$129,ArchetypeDemand!$I$4:$AH$4,0)),ArchetypeDemand!$F$56:$F$100,$F133)*'SHWLP-Apt'!$R$14</f>
        <v>2.1961006750577203E-2</v>
      </c>
      <c r="AB133" s="1134">
        <f>SUMIFS(INDEX(ArchetypeDemand!$I$56:$AH$100,,MATCH(AB$129,ArchetypeDemand!$I$4:$AH$4,0)),ArchetypeDemand!$F$56:$F$100,$F133)*'SHWLP-Apt'!$R$14</f>
        <v>5.7724270105772406E-3</v>
      </c>
      <c r="AC133" s="1134">
        <f>SUMIFS(INDEX(ArchetypeDemand!$I$56:$AH$100,,MATCH(AC$129,ArchetypeDemand!$I$4:$AH$4,0)),ArchetypeDemand!$F$56:$F$100,$F133)*'SHWLP-Apt'!$R$14</f>
        <v>1.6529765933595144E-2</v>
      </c>
      <c r="AD133" s="1134">
        <f>SUMIFS(INDEX(ArchetypeDemand!$I$56:$AH$100,,MATCH(AD$129,ArchetypeDemand!$I$4:$AH$4,0)),ArchetypeDemand!$F$56:$F$100,$F133)*'SHWLP-Apt'!$R$14</f>
        <v>1.1157003125626447E-2</v>
      </c>
      <c r="AE133" s="1134">
        <f>SUMIFS(INDEX(ArchetypeDemand!$I$56:$AH$100,,MATCH(AE$129,ArchetypeDemand!$I$4:$AH$4,0)),ArchetypeDemand!$F$56:$F$100,$F133)*'SHWLP-Apt'!$R$14</f>
        <v>1.6189162019139423E-2</v>
      </c>
      <c r="AF133" s="1134">
        <f>SUMIFS(INDEX(ArchetypeDemand!$I$56:$AH$100,,MATCH(AF$129,ArchetypeDemand!$I$4:$AH$4,0)),ArchetypeDemand!$F$56:$F$100,$F133)*'SHWLP-Apt'!$R$14</f>
        <v>6.5594836523158529E-3</v>
      </c>
    </row>
    <row r="134" spans="3:32">
      <c r="C134" s="1136" t="s">
        <v>1164</v>
      </c>
      <c r="D134" s="1136" t="s">
        <v>1094</v>
      </c>
      <c r="E134" s="1136" t="s">
        <v>834</v>
      </c>
      <c r="F134" s="1136" t="s">
        <v>1168</v>
      </c>
      <c r="G134" s="1136">
        <f>SUMIFS(INDEX(ArchetypeDemand!$I$56:$AH$100,,MATCH(G$129,ArchetypeDemand!$I$4:$AH$4,0)),ArchetypeDemand!$F$56:$F$100,$F134)*'SHWLP-Apt'!$R$14</f>
        <v>5.2375522795663617E-3</v>
      </c>
      <c r="H134" s="1136">
        <f>SUMIFS(INDEX(ArchetypeDemand!$I$56:$AH$100,,MATCH(H$129,ArchetypeDemand!$I$4:$AH$4,0)),ArchetypeDemand!$F$56:$F$100,$F134)*'SHWLP-Apt'!$R$14</f>
        <v>0.3507704109364751</v>
      </c>
      <c r="I134" s="1136">
        <f>SUMIFS(INDEX(ArchetypeDemand!$I$56:$AH$100,,MATCH(I$129,ArchetypeDemand!$I$4:$AH$4,0)),ArchetypeDemand!$F$56:$F$100,$F134)*'SHWLP-Apt'!$R$14</f>
        <v>2.6685806473726318E-2</v>
      </c>
      <c r="J134" s="1136">
        <f>SUMIFS(INDEX(ArchetypeDemand!$I$56:$AH$100,,MATCH(J$129,ArchetypeDemand!$I$4:$AH$4,0)),ArchetypeDemand!$F$56:$F$100,$F134)*'SHWLP-Apt'!$R$14</f>
        <v>4.8705897783055362E-3</v>
      </c>
      <c r="K134" s="1136">
        <f>SUMIFS(INDEX(ArchetypeDemand!$I$56:$AH$100,,MATCH(K$129,ArchetypeDemand!$I$4:$AH$4,0)),ArchetypeDemand!$F$56:$F$100,$F134)*'SHWLP-Apt'!$R$14</f>
        <v>4.4267123369845576E-3</v>
      </c>
      <c r="L134" s="1136">
        <f>SUMIFS(INDEX(ArchetypeDemand!$I$56:$AH$100,,MATCH(L$129,ArchetypeDemand!$I$4:$AH$4,0)),ArchetypeDemand!$F$56:$F$100,$F134)*'SHWLP-Apt'!$R$14</f>
        <v>3.3390298740714054E-3</v>
      </c>
      <c r="M134" s="1136">
        <f>SUMIFS(INDEX(ArchetypeDemand!$I$56:$AH$100,,MATCH(M$129,ArchetypeDemand!$I$4:$AH$4,0)),ArchetypeDemand!$F$56:$F$100,$F134)*'SHWLP-Apt'!$R$14</f>
        <v>8.6673924534017913E-3</v>
      </c>
      <c r="N134" s="1136">
        <f>SUMIFS(INDEX(ArchetypeDemand!$I$56:$AH$100,,MATCH(N$129,ArchetypeDemand!$I$4:$AH$4,0)),ArchetypeDemand!$F$56:$F$100,$F134)*'SHWLP-Apt'!$R$14</f>
        <v>1.374336141792949E-2</v>
      </c>
      <c r="O134" s="1136">
        <f>SUMIFS(INDEX(ArchetypeDemand!$I$56:$AH$100,,MATCH(O$129,ArchetypeDemand!$I$4:$AH$4,0)),ArchetypeDemand!$F$56:$F$100,$F134)*'SHWLP-Apt'!$R$14</f>
        <v>5.8748889266426428E-3</v>
      </c>
      <c r="P134" s="1136">
        <f>SUMIFS(INDEX(ArchetypeDemand!$I$56:$AH$100,,MATCH(P$129,ArchetypeDemand!$I$4:$AH$4,0)),ArchetypeDemand!$F$56:$F$100,$F134)*'SHWLP-Apt'!$R$14</f>
        <v>1.1640771825231737E-2</v>
      </c>
      <c r="Q134" s="1136">
        <f>SUMIFS(INDEX(ArchetypeDemand!$I$56:$AH$100,,MATCH(Q$129,ArchetypeDemand!$I$4:$AH$4,0)),ArchetypeDemand!$F$56:$F$100,$F134)*'SHWLP-Apt'!$R$14</f>
        <v>1.5572272764293019E-2</v>
      </c>
      <c r="R134" s="1136">
        <f>SUMIFS(INDEX(ArchetypeDemand!$I$56:$AH$100,,MATCH(R$129,ArchetypeDemand!$I$4:$AH$4,0)),ArchetypeDemand!$F$56:$F$100,$F134)*'SHWLP-Apt'!$R$14</f>
        <v>1.2300078198921666E-2</v>
      </c>
      <c r="S134" s="1136">
        <f>SUMIFS(INDEX(ArchetypeDemand!$I$56:$AH$100,,MATCH(S$129,ArchetypeDemand!$I$4:$AH$4,0)),ArchetypeDemand!$F$56:$F$100,$F134)*'SHWLP-Apt'!$R$14</f>
        <v>1.3284749108049842E-2</v>
      </c>
      <c r="T134" s="1136">
        <f>SUMIFS(INDEX(ArchetypeDemand!$I$56:$AH$100,,MATCH(T$129,ArchetypeDemand!$I$4:$AH$4,0)),ArchetypeDemand!$F$56:$F$100,$F134)*'SHWLP-Apt'!$R$14</f>
        <v>5.6593955237780311E-2</v>
      </c>
      <c r="U134" s="1136">
        <f>SUMIFS(INDEX(ArchetypeDemand!$I$56:$AH$100,,MATCH(U$129,ArchetypeDemand!$I$4:$AH$4,0)),ArchetypeDemand!$F$56:$F$100,$F134)*'SHWLP-Apt'!$R$14</f>
        <v>1.1889049868869702E-2</v>
      </c>
      <c r="V134" s="1136">
        <f>SUMIFS(INDEX(ArchetypeDemand!$I$56:$AH$100,,MATCH(V$129,ArchetypeDemand!$I$4:$AH$4,0)),ArchetypeDemand!$F$56:$F$100,$F134)*'SHWLP-Apt'!$R$14</f>
        <v>2.3286639006539191E-2</v>
      </c>
      <c r="W134" s="1136">
        <f>SUMIFS(INDEX(ArchetypeDemand!$I$56:$AH$100,,MATCH(W$129,ArchetypeDemand!$I$4:$AH$4,0)),ArchetypeDemand!$F$56:$F$100,$F134)*'SHWLP-Apt'!$R$14</f>
        <v>1.3298373657892036E-2</v>
      </c>
      <c r="X134" s="1136">
        <f>SUMIFS(INDEX(ArchetypeDemand!$I$56:$AH$100,,MATCH(X$129,ArchetypeDemand!$I$4:$AH$4,0)),ArchetypeDemand!$F$56:$F$100,$F134)*'SHWLP-Apt'!$R$14</f>
        <v>1.5584025951089693E-2</v>
      </c>
      <c r="Y134" s="1136">
        <f>SUMIFS(INDEX(ArchetypeDemand!$I$56:$AH$100,,MATCH(Y$129,ArchetypeDemand!$I$4:$AH$4,0)),ArchetypeDemand!$F$56:$F$100,$F134)*'SHWLP-Apt'!$R$14</f>
        <v>5.0350049575416167E-2</v>
      </c>
      <c r="Z134" s="1136">
        <f>SUMIFS(INDEX(ArchetypeDemand!$I$56:$AH$100,,MATCH(Z$129,ArchetypeDemand!$I$4:$AH$4,0)),ArchetypeDemand!$F$56:$F$100,$F134)*'SHWLP-Apt'!$R$14</f>
        <v>1.9606167334825552E-3</v>
      </c>
      <c r="AA134" s="1136">
        <f>SUMIFS(INDEX(ArchetypeDemand!$I$56:$AH$100,,MATCH(AA$129,ArchetypeDemand!$I$4:$AH$4,0)),ArchetypeDemand!$F$56:$F$100,$F134)*'SHWLP-Apt'!$R$14</f>
        <v>9.0969863729580755E-3</v>
      </c>
      <c r="AB134" s="1136">
        <f>SUMIFS(INDEX(ArchetypeDemand!$I$56:$AH$100,,MATCH(AB$129,ArchetypeDemand!$I$4:$AH$4,0)),ArchetypeDemand!$F$56:$F$100,$F134)*'SHWLP-Apt'!$R$14</f>
        <v>3.2027659542557597E-3</v>
      </c>
      <c r="AC134" s="1136">
        <f>SUMIFS(INDEX(ArchetypeDemand!$I$56:$AH$100,,MATCH(AC$129,ArchetypeDemand!$I$4:$AH$4,0)),ArchetypeDemand!$F$56:$F$100,$F134)*'SHWLP-Apt'!$R$14</f>
        <v>1.1011327847572652E-2</v>
      </c>
      <c r="AD134" s="1136">
        <f>SUMIFS(INDEX(ArchetypeDemand!$I$56:$AH$100,,MATCH(AD$129,ArchetypeDemand!$I$4:$AH$4,0)),ArchetypeDemand!$F$56:$F$100,$F134)*'SHWLP-Apt'!$R$14</f>
        <v>5.5785015628132236E-3</v>
      </c>
      <c r="AE134" s="1136">
        <f>SUMIFS(INDEX(ArchetypeDemand!$I$56:$AH$100,,MATCH(AE$129,ArchetypeDemand!$I$4:$AH$4,0)),ArchetypeDemand!$F$56:$F$100,$F134)*'SHWLP-Apt'!$R$14</f>
        <v>9.6071207875385901E-3</v>
      </c>
      <c r="AF134" s="1136">
        <f>SUMIFS(INDEX(ArchetypeDemand!$I$56:$AH$100,,MATCH(AF$129,ArchetypeDemand!$I$4:$AH$4,0)),ArchetypeDemand!$F$56:$F$100,$F134)*'SHWLP-Apt'!$R$14</f>
        <v>4.5129247527933066E-3</v>
      </c>
    </row>
    <row r="135" spans="3:32">
      <c r="C135" s="1134" t="s">
        <v>1164</v>
      </c>
      <c r="D135" s="1134" t="s">
        <v>1094</v>
      </c>
      <c r="E135" s="1134" t="s">
        <v>834</v>
      </c>
      <c r="F135" s="1134" t="s">
        <v>1169</v>
      </c>
      <c r="G135" s="1134">
        <f>SUMIFS(INDEX(ArchetypeDemand!$I$56:$AH$100,,MATCH(G$129,ArchetypeDemand!$I$4:$AH$4,0)),ArchetypeDemand!$F$56:$F$100,$F135)*'SHWLP-Apt'!$R$14</f>
        <v>2.0174275447218575E-3</v>
      </c>
      <c r="H135" s="1134">
        <f>SUMIFS(INDEX(ArchetypeDemand!$I$56:$AH$100,,MATCH(H$129,ArchetypeDemand!$I$4:$AH$4,0)),ArchetypeDemand!$F$56:$F$100,$F135)*'SHWLP-Apt'!$R$14</f>
        <v>0.12032885232976757</v>
      </c>
      <c r="I135" s="1134">
        <f>SUMIFS(INDEX(ArchetypeDemand!$I$56:$AH$100,,MATCH(I$129,ArchetypeDemand!$I$4:$AH$4,0)),ArchetypeDemand!$F$56:$F$100,$F135)*'SHWLP-Apt'!$R$14</f>
        <v>8.7427785018684336E-3</v>
      </c>
      <c r="J135" s="1134">
        <f>SUMIFS(INDEX(ArchetypeDemand!$I$56:$AH$100,,MATCH(J$129,ArchetypeDemand!$I$4:$AH$4,0)),ArchetypeDemand!$F$56:$F$100,$F135)*'SHWLP-Apt'!$R$14</f>
        <v>2.0736174303677031E-3</v>
      </c>
      <c r="K135" s="1134">
        <f>SUMIFS(INDEX(ArchetypeDemand!$I$56:$AH$100,,MATCH(K$129,ArchetypeDemand!$I$4:$AH$4,0)),ArchetypeDemand!$F$56:$F$100,$F135)*'SHWLP-Apt'!$R$14</f>
        <v>1.5231698363817833E-3</v>
      </c>
      <c r="L135" s="1134">
        <f>SUMIFS(INDEX(ArchetypeDemand!$I$56:$AH$100,,MATCH(L$129,ArchetypeDemand!$I$4:$AH$4,0)),ArchetypeDemand!$F$56:$F$100,$F135)*'SHWLP-Apt'!$R$14</f>
        <v>8.6953902970609502E-4</v>
      </c>
      <c r="M135" s="1134">
        <f>SUMIFS(INDEX(ArchetypeDemand!$I$56:$AH$100,,MATCH(M$129,ArchetypeDemand!$I$4:$AH$4,0)),ArchetypeDemand!$F$56:$F$100,$F135)*'SHWLP-Apt'!$R$14</f>
        <v>3.299970521249306E-3</v>
      </c>
      <c r="N135" s="1134">
        <f>SUMIFS(INDEX(ArchetypeDemand!$I$56:$AH$100,,MATCH(N$129,ArchetypeDemand!$I$4:$AH$4,0)),ArchetypeDemand!$F$56:$F$100,$F135)*'SHWLP-Apt'!$R$14</f>
        <v>3.5630937009446823E-3</v>
      </c>
      <c r="O135" s="1134">
        <f>SUMIFS(INDEX(ArchetypeDemand!$I$56:$AH$100,,MATCH(O$129,ArchetypeDemand!$I$4:$AH$4,0)),ArchetypeDemand!$F$56:$F$100,$F135)*'SHWLP-Apt'!$R$14</f>
        <v>2.7079566146243433E-3</v>
      </c>
      <c r="P135" s="1134">
        <f>SUMIFS(INDEX(ArchetypeDemand!$I$56:$AH$100,,MATCH(P$129,ArchetypeDemand!$I$4:$AH$4,0)),ArchetypeDemand!$F$56:$F$100,$F135)*'SHWLP-Apt'!$R$14</f>
        <v>4.4474709631284045E-3</v>
      </c>
      <c r="Q135" s="1134">
        <f>SUMIFS(INDEX(ArchetypeDemand!$I$56:$AH$100,,MATCH(Q$129,ArchetypeDemand!$I$4:$AH$4,0)),ArchetypeDemand!$F$56:$F$100,$F135)*'SHWLP-Apt'!$R$14</f>
        <v>4.725379321578572E-3</v>
      </c>
      <c r="R135" s="1134">
        <f>SUMIFS(INDEX(ArchetypeDemand!$I$56:$AH$100,,MATCH(R$129,ArchetypeDemand!$I$4:$AH$4,0)),ArchetypeDemand!$F$56:$F$100,$F135)*'SHWLP-Apt'!$R$14</f>
        <v>4.4237123346998978E-3</v>
      </c>
      <c r="S135" s="1134">
        <f>SUMIFS(INDEX(ArchetypeDemand!$I$56:$AH$100,,MATCH(S$129,ArchetypeDemand!$I$4:$AH$4,0)),ArchetypeDemand!$F$56:$F$100,$F135)*'SHWLP-Apt'!$R$14</f>
        <v>3.5550737049710839E-3</v>
      </c>
      <c r="T135" s="1134">
        <f>SUMIFS(INDEX(ArchetypeDemand!$I$56:$AH$100,,MATCH(T$129,ArchetypeDemand!$I$4:$AH$4,0)),ArchetypeDemand!$F$56:$F$100,$F135)*'SHWLP-Apt'!$R$14</f>
        <v>2.1600026249086152E-2</v>
      </c>
      <c r="U135" s="1134">
        <f>SUMIFS(INDEX(ArchetypeDemand!$I$56:$AH$100,,MATCH(U$129,ArchetypeDemand!$I$4:$AH$4,0)),ArchetypeDemand!$F$56:$F$100,$F135)*'SHWLP-Apt'!$R$14</f>
        <v>3.6104783344113509E-3</v>
      </c>
      <c r="V135" s="1134">
        <f>SUMIFS(INDEX(ArchetypeDemand!$I$56:$AH$100,,MATCH(V$129,ArchetypeDemand!$I$4:$AH$4,0)),ArchetypeDemand!$F$56:$F$100,$F135)*'SHWLP-Apt'!$R$14</f>
        <v>7.8354414267285937E-3</v>
      </c>
      <c r="W135" s="1134">
        <f>SUMIFS(INDEX(ArchetypeDemand!$I$56:$AH$100,,MATCH(W$129,ArchetypeDemand!$I$4:$AH$4,0)),ArchetypeDemand!$F$56:$F$100,$F135)*'SHWLP-Apt'!$R$14</f>
        <v>5.5046546698651463E-3</v>
      </c>
      <c r="X135" s="1134">
        <f>SUMIFS(INDEX(ArchetypeDemand!$I$56:$AH$100,,MATCH(X$129,ArchetypeDemand!$I$4:$AH$4,0)),ArchetypeDemand!$F$56:$F$100,$F135)*'SHWLP-Apt'!$R$14</f>
        <v>4.2532821918912916E-3</v>
      </c>
      <c r="Y135" s="1134">
        <f>SUMIFS(INDEX(ArchetypeDemand!$I$56:$AH$100,,MATCH(Y$129,ArchetypeDemand!$I$4:$AH$4,0)),ArchetypeDemand!$F$56:$F$100,$F135)*'SHWLP-Apt'!$R$14</f>
        <v>1.3739178856855133E-2</v>
      </c>
      <c r="Z135" s="1134">
        <f>SUMIFS(INDEX(ArchetypeDemand!$I$56:$AH$100,,MATCH(Z$129,ArchetypeDemand!$I$4:$AH$4,0)),ArchetypeDemand!$F$56:$F$100,$F135)*'SHWLP-Apt'!$R$14</f>
        <v>7.4265785359187695E-4</v>
      </c>
      <c r="AA135" s="1134">
        <f>SUMIFS(INDEX(ArchetypeDemand!$I$56:$AH$100,,MATCH(AA$129,ArchetypeDemand!$I$4:$AH$4,0)),ArchetypeDemand!$F$56:$F$100,$F135)*'SHWLP-Apt'!$R$14</f>
        <v>3.4865101958033149E-3</v>
      </c>
      <c r="AB135" s="1134">
        <f>SUMIFS(INDEX(ArchetypeDemand!$I$56:$AH$100,,MATCH(AB$129,ArchetypeDemand!$I$4:$AH$4,0)),ArchetypeDemand!$F$56:$F$100,$F135)*'SHWLP-Apt'!$R$14</f>
        <v>9.6827807919360159E-4</v>
      </c>
      <c r="AC135" s="1134">
        <f>SUMIFS(INDEX(ArchetypeDemand!$I$56:$AH$100,,MATCH(AC$129,ArchetypeDemand!$I$4:$AH$4,0)),ArchetypeDemand!$F$56:$F$100,$F135)*'SHWLP-Apt'!$R$14</f>
        <v>1.8905760109521493E-3</v>
      </c>
      <c r="AD135" s="1134">
        <f>SUMIFS(INDEX(ArchetypeDemand!$I$56:$AH$100,,MATCH(AD$129,ArchetypeDemand!$I$4:$AH$4,0)),ArchetypeDemand!$F$56:$F$100,$F135)*'SHWLP-Apt'!$R$14</f>
        <v>2.0509196922107445E-3</v>
      </c>
      <c r="AE135" s="1134">
        <f>SUMIFS(INDEX(ArchetypeDemand!$I$56:$AH$100,,MATCH(AE$129,ArchetypeDemand!$I$4:$AH$4,0)),ArchetypeDemand!$F$56:$F$100,$F135)*'SHWLP-Apt'!$R$14</f>
        <v>3.2910206158004167E-3</v>
      </c>
      <c r="AF135" s="1134">
        <f>SUMIFS(INDEX(ArchetypeDemand!$I$56:$AH$100,,MATCH(AF$129,ArchetypeDemand!$I$4:$AH$4,0)),ArchetypeDemand!$F$56:$F$100,$F135)*'SHWLP-Apt'!$R$14</f>
        <v>1.8891312918669653E-3</v>
      </c>
    </row>
    <row r="136" spans="3:32" ht="13.5" thickBot="1">
      <c r="C136" s="1138" t="s">
        <v>1164</v>
      </c>
      <c r="D136" s="1138" t="s">
        <v>1094</v>
      </c>
      <c r="E136" s="1138" t="s">
        <v>834</v>
      </c>
      <c r="F136" s="1138" t="s">
        <v>1170</v>
      </c>
      <c r="G136" s="1138">
        <f>SUMIFS(INDEX(ArchetypeDemand!$I$56:$AH$100,,MATCH(G$129,ArchetypeDemand!$I$4:$AH$4,0)),ArchetypeDemand!$F$56:$F$100,$F136)*'SHWLP-Apt'!$R$14</f>
        <v>2.2890043295882619E-3</v>
      </c>
      <c r="H136" s="1138">
        <f>SUMIFS(INDEX(ArchetypeDemand!$I$56:$AH$100,,MATCH(H$129,ArchetypeDemand!$I$4:$AH$4,0)),ArchetypeDemand!$F$56:$F$100,$F136)*'SHWLP-Apt'!$R$14</f>
        <v>0.11411242383535829</v>
      </c>
      <c r="I136" s="1138">
        <f>SUMIFS(INDEX(ArchetypeDemand!$I$56:$AH$100,,MATCH(I$129,ArchetypeDemand!$I$4:$AH$4,0)),ArchetypeDemand!$F$56:$F$100,$F136)*'SHWLP-Apt'!$R$14</f>
        <v>7.4211957050743663E-3</v>
      </c>
      <c r="J136" s="1138">
        <f>SUMIFS(INDEX(ArchetypeDemand!$I$56:$AH$100,,MATCH(J$129,ArchetypeDemand!$I$4:$AH$4,0)),ArchetypeDemand!$F$56:$F$100,$F136)*'SHWLP-Apt'!$R$14</f>
        <v>3.2309852984799101E-3</v>
      </c>
      <c r="K136" s="1138">
        <f>SUMIFS(INDEX(ArchetypeDemand!$I$56:$AH$100,,MATCH(K$129,ArchetypeDemand!$I$4:$AH$4,0)),ArchetypeDemand!$F$56:$F$100,$F136)*'SHWLP-Apt'!$R$14</f>
        <v>2.3323538119596051E-3</v>
      </c>
      <c r="L136" s="1138">
        <f>SUMIFS(INDEX(ArchetypeDemand!$I$56:$AH$100,,MATCH(L$129,ArchetypeDemand!$I$4:$AH$4,0)),ArchetypeDemand!$F$56:$F$100,$F136)*'SHWLP-Apt'!$R$14</f>
        <v>1.1825730804002892E-3</v>
      </c>
      <c r="M136" s="1138">
        <f>SUMIFS(INDEX(ArchetypeDemand!$I$56:$AH$100,,MATCH(M$129,ArchetypeDemand!$I$4:$AH$4,0)),ArchetypeDemand!$F$56:$F$100,$F136)*'SHWLP-Apt'!$R$14</f>
        <v>3.7770746929961939E-3</v>
      </c>
      <c r="N136" s="1138">
        <f>SUMIFS(INDEX(ArchetypeDemand!$I$56:$AH$100,,MATCH(N$129,ArchetypeDemand!$I$4:$AH$4,0)),ArchetypeDemand!$F$56:$F$100,$F136)*'SHWLP-Apt'!$R$14</f>
        <v>3.8685017324542261E-3</v>
      </c>
      <c r="O136" s="1138">
        <f>SUMIFS(INDEX(ArchetypeDemand!$I$56:$AH$100,,MATCH(O$129,ArchetypeDemand!$I$4:$AH$4,0)),ArchetypeDemand!$F$56:$F$100,$F136)*'SHWLP-Apt'!$R$14</f>
        <v>2.7538541843637387E-3</v>
      </c>
      <c r="P136" s="1138">
        <f>SUMIFS(INDEX(ArchetypeDemand!$I$56:$AH$100,,MATCH(P$129,ArchetypeDemand!$I$4:$AH$4,0)),ArchetypeDemand!$F$56:$F$100,$F136)*'SHWLP-Apt'!$R$14</f>
        <v>3.4806294494048383E-3</v>
      </c>
      <c r="Q136" s="1138">
        <f>SUMIFS(INDEX(ArchetypeDemand!$I$56:$AH$100,,MATCH(Q$129,ArchetypeDemand!$I$4:$AH$4,0)),ArchetypeDemand!$F$56:$F$100,$F136)*'SHWLP-Apt'!$R$14</f>
        <v>5.5845391982292216E-3</v>
      </c>
      <c r="R136" s="1138">
        <f>SUMIFS(INDEX(ArchetypeDemand!$I$56:$AH$100,,MATCH(R$129,ArchetypeDemand!$I$4:$AH$4,0)),ArchetypeDemand!$F$56:$F$100,$F136)*'SHWLP-Apt'!$R$14</f>
        <v>7.6066273072278711E-3</v>
      </c>
      <c r="S136" s="1138">
        <f>SUMIFS(INDEX(ArchetypeDemand!$I$56:$AH$100,,MATCH(S$129,ArchetypeDemand!$I$4:$AH$4,0)),ArchetypeDemand!$F$56:$F$100,$F136)*'SHWLP-Apt'!$R$14</f>
        <v>5.4261651286400753E-3</v>
      </c>
      <c r="T136" s="1138">
        <f>SUMIFS(INDEX(ArchetypeDemand!$I$56:$AH$100,,MATCH(T$129,ArchetypeDemand!$I$4:$AH$4,0)),ArchetypeDemand!$F$56:$F$100,$F136)*'SHWLP-Apt'!$R$14</f>
        <v>3.1173837010143986E-2</v>
      </c>
      <c r="U136" s="1138">
        <f>SUMIFS(INDEX(ArchetypeDemand!$I$56:$AH$100,,MATCH(U$129,ArchetypeDemand!$I$4:$AH$4,0)),ArchetypeDemand!$F$56:$F$100,$F136)*'SHWLP-Apt'!$R$14</f>
        <v>5.5433606750558114E-3</v>
      </c>
      <c r="V136" s="1138">
        <f>SUMIFS(INDEX(ArchetypeDemand!$I$56:$AH$100,,MATCH(V$129,ArchetypeDemand!$I$4:$AH$4,0)),ArchetypeDemand!$F$56:$F$100,$F136)*'SHWLP-Apt'!$R$14</f>
        <v>9.3000099177059023E-3</v>
      </c>
      <c r="W136" s="1138">
        <f>SUMIFS(INDEX(ArchetypeDemand!$I$56:$AH$100,,MATCH(W$129,ArchetypeDemand!$I$4:$AH$4,0)),ArchetypeDemand!$F$56:$F$100,$F136)*'SHWLP-Apt'!$R$14</f>
        <v>9.0472542098773683E-3</v>
      </c>
      <c r="X136" s="1138">
        <f>SUMIFS(INDEX(ArchetypeDemand!$I$56:$AH$100,,MATCH(X$129,ArchetypeDemand!$I$4:$AH$4,0)),ArchetypeDemand!$F$56:$F$100,$F136)*'SHWLP-Apt'!$R$14</f>
        <v>5.1379648878046797E-3</v>
      </c>
      <c r="Y136" s="1138">
        <f>SUMIFS(INDEX(ArchetypeDemand!$I$56:$AH$100,,MATCH(Y$129,ArchetypeDemand!$I$4:$AH$4,0)),ArchetypeDemand!$F$56:$F$100,$F136)*'SHWLP-Apt'!$R$14</f>
        <v>1.0061928045167435E-2</v>
      </c>
      <c r="Z136" s="1138">
        <f>SUMIFS(INDEX(ArchetypeDemand!$I$56:$AH$100,,MATCH(Z$129,ArchetypeDemand!$I$4:$AH$4,0)),ArchetypeDemand!$F$56:$F$100,$F136)*'SHWLP-Apt'!$R$14</f>
        <v>7.1295153944820179E-4</v>
      </c>
      <c r="AA136" s="1138">
        <f>SUMIFS(INDEX(ArchetypeDemand!$I$56:$AH$100,,MATCH(AA$129,ArchetypeDemand!$I$4:$AH$4,0)),ArchetypeDemand!$F$56:$F$100,$F136)*'SHWLP-Apt'!$R$14</f>
        <v>3.847183664334692E-3</v>
      </c>
      <c r="AB136" s="1138">
        <f>SUMIFS(INDEX(ArchetypeDemand!$I$56:$AH$100,,MATCH(AB$129,ArchetypeDemand!$I$4:$AH$4,0)),ArchetypeDemand!$F$56:$F$100,$F136)*'SHWLP-Apt'!$R$14</f>
        <v>1.6386244417122488E-3</v>
      </c>
      <c r="AC136" s="1138">
        <f>SUMIFS(INDEX(ArchetypeDemand!$I$56:$AH$100,,MATCH(AC$129,ArchetypeDemand!$I$4:$AH$4,0)),ArchetypeDemand!$F$56:$F$100,$F136)*'SHWLP-Apt'!$R$14</f>
        <v>1.2774162236163171E-3</v>
      </c>
      <c r="AD136" s="1138">
        <f>SUMIFS(INDEX(ArchetypeDemand!$I$56:$AH$100,,MATCH(AD$129,ArchetypeDemand!$I$4:$AH$4,0)),ArchetypeDemand!$F$56:$F$100,$F136)*'SHWLP-Apt'!$R$14</f>
        <v>2.4611036306528928E-3</v>
      </c>
      <c r="AE136" s="1138">
        <f>SUMIFS(INDEX(ArchetypeDemand!$I$56:$AH$100,,MATCH(AE$129,ArchetypeDemand!$I$4:$AH$4,0)),ArchetypeDemand!$F$56:$F$100,$F136)*'SHWLP-Apt'!$R$14</f>
        <v>3.9891158979398992E-3</v>
      </c>
      <c r="AF136" s="1138">
        <f>SUMIFS(INDEX(ArchetypeDemand!$I$56:$AH$100,,MATCH(AF$129,ArchetypeDemand!$I$4:$AH$4,0)),ArchetypeDemand!$F$56:$F$100,$F136)*'SHWLP-Apt'!$R$14</f>
        <v>4.7228282296674145E-3</v>
      </c>
    </row>
    <row r="137" spans="3:32" ht="13.5" thickBot="1">
      <c r="C137" s="1141" t="s">
        <v>1171</v>
      </c>
      <c r="D137" s="1141" t="s">
        <v>1094</v>
      </c>
      <c r="E137" s="1141" t="s">
        <v>834</v>
      </c>
      <c r="F137" s="1141" t="s">
        <v>934</v>
      </c>
      <c r="G137" s="1141">
        <f>SUM(ArchetypeDemand!$I$56:$I$100)*'SHWLP-Apt'!$R$40</f>
        <v>3.4271179642894438E-2</v>
      </c>
      <c r="H137" s="1141">
        <f>SUM(ArchetypeDemand!J56:J100)*'SHWLP-Apt'!$R$40</f>
        <v>3.3222161830882357</v>
      </c>
      <c r="I137" s="1141">
        <f>SUM(ArchetypeDemand!K56:K100)*'SHWLP-Apt'!$R$40</f>
        <v>0.19838777776049527</v>
      </c>
      <c r="J137" s="1141">
        <f>SUM(ArchetypeDemand!L56:L100)*'SHWLP-Apt'!$R$40</f>
        <v>4.7183911007537667E-2</v>
      </c>
      <c r="K137" s="1141">
        <f>SUM(ArchetypeDemand!M56:M100)*'SHWLP-Apt'!$R$40</f>
        <v>3.8660274501739748E-2</v>
      </c>
      <c r="L137" s="1141">
        <f>SUM(ArchetypeDemand!N56:N100)*'SHWLP-Apt'!$R$40</f>
        <v>1.8627846238614819E-2</v>
      </c>
      <c r="M137" s="1141">
        <f>SUM(ArchetypeDemand!O56:O100)*'SHWLP-Apt'!$R$40</f>
        <v>8.1868610709705747E-2</v>
      </c>
      <c r="N137" s="1141">
        <f>SUM(ArchetypeDemand!P56:P100)*'SHWLP-Apt'!$R$40</f>
        <v>0.14578893383122099</v>
      </c>
      <c r="O137" s="1141">
        <f>SUM(ArchetypeDemand!Q56:Q100)*'SHWLP-Apt'!$R$40</f>
        <v>3.1663543457283984E-2</v>
      </c>
      <c r="P137" s="1141">
        <f>SUM(ArchetypeDemand!R56:R100)*'SHWLP-Apt'!$R$40</f>
        <v>7.7831380155050492E-2</v>
      </c>
      <c r="Q137" s="1141">
        <f>SUM(ArchetypeDemand!S56:S100)*'SHWLP-Apt'!$R$40</f>
        <v>7.1904883877422263E-2</v>
      </c>
      <c r="R137" s="1141">
        <f>SUM(ArchetypeDemand!T56:T100)*'SHWLP-Apt'!$R$40</f>
        <v>0.12158971650970242</v>
      </c>
      <c r="S137" s="1141">
        <f>SUM(ArchetypeDemand!U56:U100)*'SHWLP-Apt'!$R$40</f>
        <v>6.711596242051561E-2</v>
      </c>
      <c r="T137" s="1141">
        <f>SUM(ArchetypeDemand!V56:V100)*'SHWLP-Apt'!$R$40</f>
        <v>0.48937100125444655</v>
      </c>
      <c r="U137" s="1141">
        <f>SUM(ArchetypeDemand!W56:W100)*'SHWLP-Apt'!$R$40</f>
        <v>7.8292381445721843E-2</v>
      </c>
      <c r="V137" s="1141">
        <f>SUM(ArchetypeDemand!X56:X100)*'SHWLP-Apt'!$R$40</f>
        <v>0.2010099141313384</v>
      </c>
      <c r="W137" s="1141">
        <f>SUM(ArchetypeDemand!Y56:Y100)*'SHWLP-Apt'!$R$40</f>
        <v>6.417968142425548E-2</v>
      </c>
      <c r="X137" s="1141">
        <f>SUM(ArchetypeDemand!Z56:Z100)*'SHWLP-Apt'!$R$40</f>
        <v>8.6188772983729581E-2</v>
      </c>
      <c r="Y137" s="1141">
        <f>SUM(ArchetypeDemand!AA56:AA100)*'SHWLP-Apt'!$R$40</f>
        <v>0.26621952906011415</v>
      </c>
      <c r="Z137" s="1141">
        <f>SUM(ArchetypeDemand!AB56:AB100)*'SHWLP-Apt'!$R$40</f>
        <v>1.4629591985095291E-2</v>
      </c>
      <c r="AA137" s="1141">
        <f>SUM(ArchetypeDemand!AC56:AC100)*'SHWLP-Apt'!$R$40</f>
        <v>5.7689131611666569E-2</v>
      </c>
      <c r="AB137" s="1141">
        <f>SUM(ArchetypeDemand!AD56:AD100)*'SHWLP-Apt'!$R$40</f>
        <v>1.8224261711465281E-2</v>
      </c>
      <c r="AC137" s="1141">
        <f>SUM(ArchetypeDemand!AE56:AE100)*'SHWLP-Apt'!$R$40</f>
        <v>4.5155585231507721E-2</v>
      </c>
      <c r="AD137" s="1141">
        <f>SUM(ArchetypeDemand!AF56:AF100)*'SHWLP-Apt'!$R$40</f>
        <v>3.4243380180117335E-2</v>
      </c>
      <c r="AE137" s="1141">
        <f>SUM(ArchetypeDemand!AG56:AG100)*'SHWLP-Apt'!$R$40</f>
        <v>6.4469518622353408E-2</v>
      </c>
      <c r="AF137" s="1141">
        <f>SUM(ArchetypeDemand!AH56:AH100)*'SHWLP-Apt'!$R$40</f>
        <v>2.7682800285522766E-2</v>
      </c>
    </row>
    <row r="138" spans="3:32" ht="15">
      <c r="C138" s="1137" t="s">
        <v>1196</v>
      </c>
      <c r="D138" s="1137"/>
      <c r="E138" s="1137"/>
      <c r="F138" s="1137"/>
      <c r="G138" s="1137"/>
      <c r="H138" s="1137"/>
      <c r="I138" s="1137"/>
      <c r="J138" s="1137"/>
      <c r="K138" s="1137"/>
      <c r="L138" s="1137"/>
      <c r="M138" s="1137"/>
      <c r="N138" s="1137"/>
      <c r="O138" s="1137"/>
      <c r="P138" s="1137"/>
      <c r="Q138" s="1137"/>
      <c r="R138" s="1137"/>
      <c r="S138" s="1137"/>
      <c r="T138" s="1137"/>
      <c r="U138" s="1137"/>
      <c r="V138" s="1137"/>
      <c r="W138" s="1137"/>
      <c r="X138" s="1137"/>
      <c r="Y138" s="1137"/>
      <c r="Z138" s="1137"/>
      <c r="AA138" s="1137"/>
      <c r="AB138" s="1137"/>
      <c r="AC138" s="1137"/>
      <c r="AD138" s="1137"/>
      <c r="AE138" s="1137"/>
      <c r="AF138" s="1137"/>
    </row>
    <row r="139" spans="3:32">
      <c r="C139" s="1145" t="s">
        <v>1172</v>
      </c>
      <c r="D139" s="1134" t="s">
        <v>1094</v>
      </c>
      <c r="E139" s="1134" t="s">
        <v>833</v>
      </c>
      <c r="F139" s="1134" t="s">
        <v>1165</v>
      </c>
      <c r="G139" s="1134">
        <f>SUMIFS(INDEX(ArchetypeDemand!$I$56:$AH$100,,MATCH(G$129,ArchetypeDemand!$I$4:$AH$4,0)),ArchetypeDemand!$F$56:$F$100,$F139)*'SHWLP-Apt'!$R$16</f>
        <v>4.3039995137352766E-2</v>
      </c>
      <c r="H139" s="1134">
        <f>SUMIFS(INDEX(ArchetypeDemand!$I$56:$AH$100,,MATCH(H$129,ArchetypeDemand!$I$4:$AH$4,0)),ArchetypeDemand!$F$56:$F$100,$F139)*'SHWLP-Apt'!$R$16</f>
        <v>15.134563140653501</v>
      </c>
      <c r="I139" s="1134">
        <f>SUMIFS(INDEX(ArchetypeDemand!$I$56:$AH$100,,MATCH(I$129,ArchetypeDemand!$I$4:$AH$4,0)),ArchetypeDemand!$F$56:$F$100,$F139)*'SHWLP-Apt'!$R$16</f>
        <v>0.52881569008244833</v>
      </c>
      <c r="J139" s="1134">
        <f>SUMIFS(INDEX(ArchetypeDemand!$I$56:$AH$100,,MATCH(J$129,ArchetypeDemand!$I$4:$AH$4,0)),ArchetypeDemand!$F$56:$F$100,$F139)*'SHWLP-Apt'!$R$16</f>
        <v>0.13026229713986445</v>
      </c>
      <c r="K139" s="1134">
        <f>SUMIFS(INDEX(ArchetypeDemand!$I$56:$AH$100,,MATCH(K$129,ArchetypeDemand!$I$4:$AH$4,0)),ArchetypeDemand!$F$56:$F$100,$F139)*'SHWLP-Apt'!$R$16</f>
        <v>0.11953070375280975</v>
      </c>
      <c r="L139" s="1134">
        <f>SUMIFS(INDEX(ArchetypeDemand!$I$56:$AH$100,,MATCH(L$129,ArchetypeDemand!$I$4:$AH$4,0)),ArchetypeDemand!$F$56:$F$100,$F139)*'SHWLP-Apt'!$R$16</f>
        <v>2.0230414948784092E-2</v>
      </c>
      <c r="M139" s="1134">
        <f>SUMIFS(INDEX(ArchetypeDemand!$I$56:$AH$100,,MATCH(M$129,ArchetypeDemand!$I$4:$AH$4,0)),ArchetypeDemand!$F$56:$F$100,$F139)*'SHWLP-Apt'!$R$16</f>
        <v>0.31634550478850626</v>
      </c>
      <c r="N139" s="1134">
        <f>SUMIFS(INDEX(ArchetypeDemand!$I$56:$AH$100,,MATCH(N$129,ArchetypeDemand!$I$4:$AH$4,0)),ArchetypeDemand!$F$56:$F$100,$F139)*'SHWLP-Apt'!$R$16</f>
        <v>0.51232399152459185</v>
      </c>
      <c r="O139" s="1134">
        <f>SUMIFS(INDEX(ArchetypeDemand!$I$56:$AH$100,,MATCH(O$129,ArchetypeDemand!$I$4:$AH$4,0)),ArchetypeDemand!$F$56:$F$100,$F139)*'SHWLP-Apt'!$R$16</f>
        <v>3.9990254398446778E-2</v>
      </c>
      <c r="P139" s="1134">
        <f>SUMIFS(INDEX(ArchetypeDemand!$I$56:$AH$100,,MATCH(P$129,ArchetypeDemand!$I$4:$AH$4,0)),ArchetypeDemand!$F$56:$F$100,$F139)*'SHWLP-Apt'!$R$16</f>
        <v>0.18895736932242288</v>
      </c>
      <c r="Q139" s="1134">
        <f>SUMIFS(INDEX(ArchetypeDemand!$I$56:$AH$100,,MATCH(Q$129,ArchetypeDemand!$I$4:$AH$4,0)),ArchetypeDemand!$F$56:$F$100,$F139)*'SHWLP-Apt'!$R$16</f>
        <v>9.7627089666047467E-2</v>
      </c>
      <c r="R139" s="1134">
        <f>SUMIFS(INDEX(ArchetypeDemand!$I$56:$AH$100,,MATCH(R$129,ArchetypeDemand!$I$4:$AH$4,0)),ArchetypeDemand!$F$56:$F$100,$F139)*'SHWLP-Apt'!$R$16</f>
        <v>0.47706970177290131</v>
      </c>
      <c r="S139" s="1134">
        <f>SUMIFS(INDEX(ArchetypeDemand!$I$56:$AH$100,,MATCH(S$129,ArchetypeDemand!$I$4:$AH$4,0)),ArchetypeDemand!$F$56:$F$100,$F139)*'SHWLP-Apt'!$R$16</f>
        <v>0.10814302636835947</v>
      </c>
      <c r="T139" s="1134">
        <f>SUMIFS(INDEX(ArchetypeDemand!$I$56:$AH$100,,MATCH(T$129,ArchetypeDemand!$I$4:$AH$4,0)),ArchetypeDemand!$F$56:$F$100,$F139)*'SHWLP-Apt'!$R$16</f>
        <v>2.1094539569995829</v>
      </c>
      <c r="U139" s="1134">
        <f>SUMIFS(INDEX(ArchetypeDemand!$I$56:$AH$100,,MATCH(U$129,ArchetypeDemand!$I$4:$AH$4,0)),ArchetypeDemand!$F$56:$F$100,$F139)*'SHWLP-Apt'!$R$16</f>
        <v>0.14196853388085476</v>
      </c>
      <c r="V139" s="1134">
        <f>SUMIFS(INDEX(ArchetypeDemand!$I$56:$AH$100,,MATCH(V$129,ArchetypeDemand!$I$4:$AH$4,0)),ArchetypeDemand!$F$56:$F$100,$F139)*'SHWLP-Apt'!$R$16</f>
        <v>0.34266135619522187</v>
      </c>
      <c r="W139" s="1134">
        <f>SUMIFS(INDEX(ArchetypeDemand!$I$56:$AH$100,,MATCH(W$129,ArchetypeDemand!$I$4:$AH$4,0)),ArchetypeDemand!$F$56:$F$100,$F139)*'SHWLP-Apt'!$R$16</f>
        <v>5.8812040001800611E-2</v>
      </c>
      <c r="X139" s="1134">
        <f>SUMIFS(INDEX(ArchetypeDemand!$I$56:$AH$100,,MATCH(X$129,ArchetypeDemand!$I$4:$AH$4,0)),ArchetypeDemand!$F$56:$F$100,$F139)*'SHWLP-Apt'!$R$16</f>
        <v>0.14589577323396916</v>
      </c>
      <c r="Y139" s="1134">
        <f>SUMIFS(INDEX(ArchetypeDemand!$I$56:$AH$100,,MATCH(Y$129,ArchetypeDemand!$I$4:$AH$4,0)),ArchetypeDemand!$F$56:$F$100,$F139)*'SHWLP-Apt'!$R$16</f>
        <v>0.45978115686969007</v>
      </c>
      <c r="Z139" s="1134">
        <f>SUMIFS(INDEX(ArchetypeDemand!$I$56:$AH$100,,MATCH(Z$129,ArchetypeDemand!$I$4:$AH$4,0)),ArchetypeDemand!$F$56:$F$100,$F139)*'SHWLP-Apt'!$R$16</f>
        <v>9.1483786149370808E-3</v>
      </c>
      <c r="AA139" s="1134">
        <f>SUMIFS(INDEX(ArchetypeDemand!$I$56:$AH$100,,MATCH(AA$129,ArchetypeDemand!$I$4:$AH$4,0)),ArchetypeDemand!$F$56:$F$100,$F139)*'SHWLP-Apt'!$R$16</f>
        <v>7.5772166550151579E-2</v>
      </c>
      <c r="AB139" s="1134">
        <f>SUMIFS(INDEX(ArchetypeDemand!$I$56:$AH$100,,MATCH(AB$129,ArchetypeDemand!$I$4:$AH$4,0)),ArchetypeDemand!$F$56:$F$100,$F139)*'SHWLP-Apt'!$R$16</f>
        <v>2.6915173776438928E-2</v>
      </c>
      <c r="AC139" s="1134">
        <f>SUMIFS(INDEX(ArchetypeDemand!$I$56:$AH$100,,MATCH(AC$129,ArchetypeDemand!$I$4:$AH$4,0)),ArchetypeDemand!$F$56:$F$100,$F139)*'SHWLP-Apt'!$R$16</f>
        <v>7.5929874350550208E-2</v>
      </c>
      <c r="AD139" s="1134">
        <f>SUMIFS(INDEX(ArchetypeDemand!$I$56:$AH$100,,MATCH(AD$129,ArchetypeDemand!$I$4:$AH$4,0)),ArchetypeDemand!$F$56:$F$100,$F139)*'SHWLP-Apt'!$R$16</f>
        <v>7.0528832430869978E-2</v>
      </c>
      <c r="AE139" s="1134">
        <f>SUMIFS(INDEX(ArchetypeDemand!$I$56:$AH$100,,MATCH(AE$129,ArchetypeDemand!$I$4:$AH$4,0)),ArchetypeDemand!$F$56:$F$100,$F139)*'SHWLP-Apt'!$R$16</f>
        <v>0.14612312457980436</v>
      </c>
      <c r="AF139" s="1134">
        <f>SUMIFS(INDEX(ArchetypeDemand!$I$56:$AH$100,,MATCH(AF$129,ArchetypeDemand!$I$4:$AH$4,0)),ArchetypeDemand!$F$56:$F$100,$F139)*'SHWLP-Apt'!$R$16</f>
        <v>5.793809167808197E-2</v>
      </c>
    </row>
    <row r="140" spans="3:32">
      <c r="C140" s="1136" t="s">
        <v>1172</v>
      </c>
      <c r="D140" s="1136" t="s">
        <v>1094</v>
      </c>
      <c r="E140" s="1136" t="s">
        <v>833</v>
      </c>
      <c r="F140" s="1136" t="s">
        <v>1166</v>
      </c>
      <c r="G140" s="1136">
        <f>SUMIFS(INDEX(ArchetypeDemand!$I$56:$AH$100,,MATCH(G$129,ArchetypeDemand!$I$4:$AH$4,0)),ArchetypeDemand!$F$56:$F$100,$F140)*'SHWLP-Apt'!$R$16</f>
        <v>0.19985503819472689</v>
      </c>
      <c r="H140" s="1136">
        <f>SUMIFS(INDEX(ArchetypeDemand!$I$56:$AH$100,,MATCH(H$129,ArchetypeDemand!$I$4:$AH$4,0)),ArchetypeDemand!$F$56:$F$100,$F140)*'SHWLP-Apt'!$R$16</f>
        <v>16.70425725010633</v>
      </c>
      <c r="I140" s="1136">
        <f>SUMIFS(INDEX(ArchetypeDemand!$I$56:$AH$100,,MATCH(I$129,ArchetypeDemand!$I$4:$AH$4,0)),ArchetypeDemand!$F$56:$F$100,$F140)*'SHWLP-Apt'!$R$16</f>
        <v>1.1982178795420817</v>
      </c>
      <c r="J140" s="1136">
        <f>SUMIFS(INDEX(ArchetypeDemand!$I$56:$AH$100,,MATCH(J$129,ArchetypeDemand!$I$4:$AH$4,0)),ArchetypeDemand!$F$56:$F$100,$F140)*'SHWLP-Apt'!$R$16</f>
        <v>0.29431971093697928</v>
      </c>
      <c r="K140" s="1136">
        <f>SUMIFS(INDEX(ArchetypeDemand!$I$56:$AH$100,,MATCH(K$129,ArchetypeDemand!$I$4:$AH$4,0)),ArchetypeDemand!$F$56:$F$100,$F140)*'SHWLP-Apt'!$R$16</f>
        <v>0.18989603297857272</v>
      </c>
      <c r="L140" s="1136">
        <f>SUMIFS(INDEX(ArchetypeDemand!$I$56:$AH$100,,MATCH(L$129,ArchetypeDemand!$I$4:$AH$4,0)),ArchetypeDemand!$F$56:$F$100,$F140)*'SHWLP-Apt'!$R$16</f>
        <v>7.7413887278035429E-2</v>
      </c>
      <c r="M140" s="1136">
        <f>SUMIFS(INDEX(ArchetypeDemand!$I$56:$AH$100,,MATCH(M$129,ArchetypeDemand!$I$4:$AH$4,0)),ArchetypeDemand!$F$56:$F$100,$F140)*'SHWLP-Apt'!$R$16</f>
        <v>0.49032107010141418</v>
      </c>
      <c r="N140" s="1136">
        <f>SUMIFS(INDEX(ArchetypeDemand!$I$56:$AH$100,,MATCH(N$129,ArchetypeDemand!$I$4:$AH$4,0)),ArchetypeDemand!$F$56:$F$100,$F140)*'SHWLP-Apt'!$R$16</f>
        <v>0.93483662375965526</v>
      </c>
      <c r="O140" s="1136">
        <f>SUMIFS(INDEX(ArchetypeDemand!$I$56:$AH$100,,MATCH(O$129,ArchetypeDemand!$I$4:$AH$4,0)),ArchetypeDemand!$F$56:$F$100,$F140)*'SHWLP-Apt'!$R$16</f>
        <v>0.13106675213273974</v>
      </c>
      <c r="P140" s="1136">
        <f>SUMIFS(INDEX(ArchetypeDemand!$I$56:$AH$100,,MATCH(P$129,ArchetypeDemand!$I$4:$AH$4,0)),ArchetypeDemand!$F$56:$F$100,$F140)*'SHWLP-Apt'!$R$16</f>
        <v>0.35675771641620624</v>
      </c>
      <c r="Q140" s="1136">
        <f>SUMIFS(INDEX(ArchetypeDemand!$I$56:$AH$100,,MATCH(Q$129,ArchetypeDemand!$I$4:$AH$4,0)),ArchetypeDemand!$F$56:$F$100,$F140)*'SHWLP-Apt'!$R$16</f>
        <v>0.29966540537120517</v>
      </c>
      <c r="R140" s="1136">
        <f>SUMIFS(INDEX(ArchetypeDemand!$I$56:$AH$100,,MATCH(R$129,ArchetypeDemand!$I$4:$AH$4,0)),ArchetypeDemand!$F$56:$F$100,$F140)*'SHWLP-Apt'!$R$16</f>
        <v>0.63207871127079684</v>
      </c>
      <c r="S140" s="1136">
        <f>SUMIFS(INDEX(ArchetypeDemand!$I$56:$AH$100,,MATCH(S$129,ArchetypeDemand!$I$4:$AH$4,0)),ArchetypeDemand!$F$56:$F$100,$F140)*'SHWLP-Apt'!$R$16</f>
        <v>0.31220793972136873</v>
      </c>
      <c r="T140" s="1136">
        <f>SUMIFS(INDEX(ArchetypeDemand!$I$56:$AH$100,,MATCH(T$129,ArchetypeDemand!$I$4:$AH$4,0)),ArchetypeDemand!$F$56:$F$100,$F140)*'SHWLP-Apt'!$R$16</f>
        <v>2.3720219193250411</v>
      </c>
      <c r="U140" s="1136">
        <f>SUMIFS(INDEX(ArchetypeDemand!$I$56:$AH$100,,MATCH(U$129,ArchetypeDemand!$I$4:$AH$4,0)),ArchetypeDemand!$F$56:$F$100,$F140)*'SHWLP-Apt'!$R$16</f>
        <v>0.39768543558177055</v>
      </c>
      <c r="V140" s="1136">
        <f>SUMIFS(INDEX(ArchetypeDemand!$I$56:$AH$100,,MATCH(V$129,ArchetypeDemand!$I$4:$AH$4,0)),ArchetypeDemand!$F$56:$F$100,$F140)*'SHWLP-Apt'!$R$16</f>
        <v>1.3372002649846237</v>
      </c>
      <c r="W140" s="1136">
        <f>SUMIFS(INDEX(ArchetypeDemand!$I$56:$AH$100,,MATCH(W$129,ArchetypeDemand!$I$4:$AH$4,0)),ArchetypeDemand!$F$56:$F$100,$F140)*'SHWLP-Apt'!$R$16</f>
        <v>0.19225689579176983</v>
      </c>
      <c r="X140" s="1136">
        <f>SUMIFS(INDEX(ArchetypeDemand!$I$56:$AH$100,,MATCH(X$129,ArchetypeDemand!$I$4:$AH$4,0)),ArchetypeDemand!$F$56:$F$100,$F140)*'SHWLP-Apt'!$R$16</f>
        <v>0.39819256069458231</v>
      </c>
      <c r="Y140" s="1136">
        <f>SUMIFS(INDEX(ArchetypeDemand!$I$56:$AH$100,,MATCH(Y$129,ArchetypeDemand!$I$4:$AH$4,0)),ArchetypeDemand!$F$56:$F$100,$F140)*'SHWLP-Apt'!$R$16</f>
        <v>1.2421867022578328</v>
      </c>
      <c r="Z140" s="1136">
        <f>SUMIFS(INDEX(ArchetypeDemand!$I$56:$AH$100,,MATCH(Z$129,ArchetypeDemand!$I$4:$AH$4,0)),ArchetypeDemand!$F$56:$F$100,$F140)*'SHWLP-Apt'!$R$16</f>
        <v>8.108790135966959E-2</v>
      </c>
      <c r="AA140" s="1136">
        <f>SUMIFS(INDEX(ArchetypeDemand!$I$56:$AH$100,,MATCH(AA$129,ArchetypeDemand!$I$4:$AH$4,0)),ArchetypeDemand!$F$56:$F$100,$F140)*'SHWLP-Apt'!$R$16</f>
        <v>0.25917096293293318</v>
      </c>
      <c r="AB140" s="1136">
        <f>SUMIFS(INDEX(ArchetypeDemand!$I$56:$AH$100,,MATCH(AB$129,ArchetypeDemand!$I$4:$AH$4,0)),ArchetypeDemand!$F$56:$F$100,$F140)*'SHWLP-Apt'!$R$16</f>
        <v>8.6538132702015366E-2</v>
      </c>
      <c r="AC140" s="1136">
        <f>SUMIFS(INDEX(ArchetypeDemand!$I$56:$AH$100,,MATCH(AC$129,ArchetypeDemand!$I$4:$AH$4,0)),ArchetypeDemand!$F$56:$F$100,$F140)*'SHWLP-Apt'!$R$16</f>
        <v>0.17702732296887883</v>
      </c>
      <c r="AD140" s="1136">
        <f>SUMIFS(INDEX(ArchetypeDemand!$I$56:$AH$100,,MATCH(AD$129,ArchetypeDemand!$I$4:$AH$4,0)),ArchetypeDemand!$F$56:$F$100,$F140)*'SHWLP-Apt'!$R$16</f>
        <v>0.14986210822489696</v>
      </c>
      <c r="AE140" s="1136">
        <f>SUMIFS(INDEX(ArchetypeDemand!$I$56:$AH$100,,MATCH(AE$129,ArchetypeDemand!$I$4:$AH$4,0)),ArchetypeDemand!$F$56:$F$100,$F140)*'SHWLP-Apt'!$R$16</f>
        <v>0.36575530511258492</v>
      </c>
      <c r="AF140" s="1136">
        <f>SUMIFS(INDEX(ArchetypeDemand!$I$56:$AH$100,,MATCH(AF$129,ArchetypeDemand!$I$4:$AH$4,0)),ArchetypeDemand!$F$56:$F$100,$F140)*'SHWLP-Apt'!$R$16</f>
        <v>0.11312355420669173</v>
      </c>
    </row>
    <row r="141" spans="3:32">
      <c r="C141" s="1134" t="s">
        <v>1172</v>
      </c>
      <c r="D141" s="1134" t="s">
        <v>1094</v>
      </c>
      <c r="E141" s="1134" t="s">
        <v>833</v>
      </c>
      <c r="F141" s="1134" t="s">
        <v>1167</v>
      </c>
      <c r="G141" s="1134">
        <f>SUMIFS(INDEX(ArchetypeDemand!$I$56:$AH$100,,MATCH(G$129,ArchetypeDemand!$I$4:$AH$4,0)),ArchetypeDemand!$F$56:$F$100,$F141)*'SHWLP-Apt'!$R$16</f>
        <v>0.14174501350223837</v>
      </c>
      <c r="H141" s="1134">
        <f>SUMIFS(INDEX(ArchetypeDemand!$I$56:$AH$100,,MATCH(H$129,ArchetypeDemand!$I$4:$AH$4,0)),ArchetypeDemand!$F$56:$F$100,$F141)*'SHWLP-Apt'!$R$16</f>
        <v>10.206845553905378</v>
      </c>
      <c r="I141" s="1134">
        <f>SUMIFS(INDEX(ArchetypeDemand!$I$56:$AH$100,,MATCH(I$129,ArchetypeDemand!$I$4:$AH$4,0)),ArchetypeDemand!$F$56:$F$100,$F141)*'SHWLP-Apt'!$R$16</f>
        <v>0.67310814373325956</v>
      </c>
      <c r="J141" s="1134">
        <f>SUMIFS(INDEX(ArchetypeDemand!$I$56:$AH$100,,MATCH(J$129,ArchetypeDemand!$I$4:$AH$4,0)),ArchetypeDemand!$F$56:$F$100,$F141)*'SHWLP-Apt'!$R$16</f>
        <v>0.14648481025991861</v>
      </c>
      <c r="K141" s="1134">
        <f>SUMIFS(INDEX(ArchetypeDemand!$I$56:$AH$100,,MATCH(K$129,ArchetypeDemand!$I$4:$AH$4,0)),ArchetypeDemand!$F$56:$F$100,$F141)*'SHWLP-Apt'!$R$16</f>
        <v>0.159246146953961</v>
      </c>
      <c r="L141" s="1134">
        <f>SUMIFS(INDEX(ArchetypeDemand!$I$56:$AH$100,,MATCH(L$129,ArchetypeDemand!$I$4:$AH$4,0)),ArchetypeDemand!$F$56:$F$100,$F141)*'SHWLP-Apt'!$R$16</f>
        <v>0.10857419410693017</v>
      </c>
      <c r="M141" s="1134">
        <f>SUMIFS(INDEX(ArchetypeDemand!$I$56:$AH$100,,MATCH(M$129,ArchetypeDemand!$I$4:$AH$4,0)),ArchetypeDemand!$F$56:$F$100,$F141)*'SHWLP-Apt'!$R$16</f>
        <v>0.21093267374396818</v>
      </c>
      <c r="N141" s="1134">
        <f>SUMIFS(INDEX(ArchetypeDemand!$I$56:$AH$100,,MATCH(N$129,ArchetypeDemand!$I$4:$AH$4,0)),ArchetypeDemand!$F$56:$F$100,$F141)*'SHWLP-Apt'!$R$16</f>
        <v>0.46100556064976905</v>
      </c>
      <c r="O141" s="1134">
        <f>SUMIFS(INDEX(ArchetypeDemand!$I$56:$AH$100,,MATCH(O$129,ArchetypeDemand!$I$4:$AH$4,0)),ArchetypeDemand!$F$56:$F$100,$F141)*'SHWLP-Apt'!$R$16</f>
        <v>0.14905630634703737</v>
      </c>
      <c r="P141" s="1134">
        <f>SUMIFS(INDEX(ArchetypeDemand!$I$56:$AH$100,,MATCH(P$129,ArchetypeDemand!$I$4:$AH$4,0)),ArchetypeDemand!$F$56:$F$100,$F141)*'SHWLP-Apt'!$R$16</f>
        <v>0.35729907865659505</v>
      </c>
      <c r="Q141" s="1134">
        <f>SUMIFS(INDEX(ArchetypeDemand!$I$56:$AH$100,,MATCH(Q$129,ArchetypeDemand!$I$4:$AH$4,0)),ArchetypeDemand!$F$56:$F$100,$F141)*'SHWLP-Apt'!$R$16</f>
        <v>0.3277277175798799</v>
      </c>
      <c r="R141" s="1134">
        <f>SUMIFS(INDEX(ArchetypeDemand!$I$56:$AH$100,,MATCH(R$129,ArchetypeDemand!$I$4:$AH$4,0)),ArchetypeDemand!$F$56:$F$100,$F141)*'SHWLP-Apt'!$R$16</f>
        <v>0.38891342449756311</v>
      </c>
      <c r="S141" s="1134">
        <f>SUMIFS(INDEX(ArchetypeDemand!$I$56:$AH$100,,MATCH(S$129,ArchetypeDemand!$I$4:$AH$4,0)),ArchetypeDemand!$F$56:$F$100,$F141)*'SHWLP-Apt'!$R$16</f>
        <v>0.28287296551936097</v>
      </c>
      <c r="T141" s="1134">
        <f>SUMIFS(INDEX(ArchetypeDemand!$I$56:$AH$100,,MATCH(T$129,ArchetypeDemand!$I$4:$AH$4,0)),ArchetypeDemand!$F$56:$F$100,$F141)*'SHWLP-Apt'!$R$16</f>
        <v>1.3876955397776889</v>
      </c>
      <c r="U141" s="1134">
        <f>SUMIFS(INDEX(ArchetypeDemand!$I$56:$AH$100,,MATCH(U$129,ArchetypeDemand!$I$4:$AH$4,0)),ArchetypeDemand!$F$56:$F$100,$F141)*'SHWLP-Apt'!$R$16</f>
        <v>0.34969771934982385</v>
      </c>
      <c r="V141" s="1134">
        <f>SUMIFS(INDEX(ArchetypeDemand!$I$56:$AH$100,,MATCH(V$129,ArchetypeDemand!$I$4:$AH$4,0)),ArchetypeDemand!$F$56:$F$100,$F141)*'SHWLP-Apt'!$R$16</f>
        <v>0.79391460730593411</v>
      </c>
      <c r="W141" s="1134">
        <f>SUMIFS(INDEX(ArchetypeDemand!$I$56:$AH$100,,MATCH(W$129,ArchetypeDemand!$I$4:$AH$4,0)),ArchetypeDemand!$F$56:$F$100,$F141)*'SHWLP-Apt'!$R$16</f>
        <v>0.32958324992874821</v>
      </c>
      <c r="X141" s="1134">
        <f>SUMIFS(INDEX(ArchetypeDemand!$I$56:$AH$100,,MATCH(X$129,ArchetypeDemand!$I$4:$AH$4,0)),ArchetypeDemand!$F$56:$F$100,$F141)*'SHWLP-Apt'!$R$16</f>
        <v>0.40962392607337411</v>
      </c>
      <c r="Y141" s="1134">
        <f>SUMIFS(INDEX(ArchetypeDemand!$I$56:$AH$100,,MATCH(Y$129,ArchetypeDemand!$I$4:$AH$4,0)),ArchetypeDemand!$F$56:$F$100,$F141)*'SHWLP-Apt'!$R$16</f>
        <v>1.28574242906742</v>
      </c>
      <c r="Z141" s="1134">
        <f>SUMIFS(INDEX(ArchetypeDemand!$I$56:$AH$100,,MATCH(Z$129,ArchetypeDemand!$I$4:$AH$4,0)),ArchetypeDemand!$F$56:$F$100,$F141)*'SHWLP-Apt'!$R$16</f>
        <v>8.3167078317609833E-2</v>
      </c>
      <c r="AA141" s="1134">
        <f>SUMIFS(INDEX(ArchetypeDemand!$I$56:$AH$100,,MATCH(AA$129,ArchetypeDemand!$I$4:$AH$4,0)),ArchetypeDemand!$F$56:$F$100,$F141)*'SHWLP-Apt'!$R$16</f>
        <v>0.30741490841395541</v>
      </c>
      <c r="AB141" s="1134">
        <f>SUMIFS(INDEX(ArchetypeDemand!$I$56:$AH$100,,MATCH(AB$129,ArchetypeDemand!$I$4:$AH$4,0)),ArchetypeDemand!$F$56:$F$100,$F141)*'SHWLP-Apt'!$R$16</f>
        <v>8.0803678125375783E-2</v>
      </c>
      <c r="AC141" s="1134">
        <f>SUMIFS(INDEX(ArchetypeDemand!$I$56:$AH$100,,MATCH(AC$129,ArchetypeDemand!$I$4:$AH$4,0)),ArchetypeDemand!$F$56:$F$100,$F141)*'SHWLP-Apt'!$R$16</f>
        <v>0.23138722820376684</v>
      </c>
      <c r="AD141" s="1134">
        <f>SUMIFS(INDEX(ArchetypeDemand!$I$56:$AH$100,,MATCH(AD$129,ArchetypeDemand!$I$4:$AH$4,0)),ArchetypeDemand!$F$56:$F$100,$F141)*'SHWLP-Apt'!$R$16</f>
        <v>0.15617813577460524</v>
      </c>
      <c r="AE141" s="1134">
        <f>SUMIFS(INDEX(ArchetypeDemand!$I$56:$AH$100,,MATCH(AE$129,ArchetypeDemand!$I$4:$AH$4,0)),ArchetypeDemand!$F$56:$F$100,$F141)*'SHWLP-Apt'!$R$16</f>
        <v>0.22661938115754307</v>
      </c>
      <c r="AF141" s="1134">
        <f>SUMIFS(INDEX(ArchetypeDemand!$I$56:$AH$100,,MATCH(AF$129,ArchetypeDemand!$I$4:$AH$4,0)),ArchetypeDemand!$F$56:$F$100,$F141)*'SHWLP-Apt'!$R$16</f>
        <v>9.1821066726210834E-2</v>
      </c>
    </row>
    <row r="142" spans="3:32">
      <c r="C142" s="1136" t="s">
        <v>1172</v>
      </c>
      <c r="D142" s="1136" t="s">
        <v>1094</v>
      </c>
      <c r="E142" s="1136" t="s">
        <v>833</v>
      </c>
      <c r="F142" s="1136" t="s">
        <v>1168</v>
      </c>
      <c r="G142" s="1136">
        <f>SUMIFS(INDEX(ArchetypeDemand!$I$56:$AH$100,,MATCH(G$129,ArchetypeDemand!$I$4:$AH$4,0)),ArchetypeDemand!$F$56:$F$100,$F142)*'SHWLP-Apt'!$R$16</f>
        <v>7.3316386294261224E-2</v>
      </c>
      <c r="H142" s="1136">
        <f>SUMIFS(INDEX(ArchetypeDemand!$I$56:$AH$100,,MATCH(H$129,ArchetypeDemand!$I$4:$AH$4,0)),ArchetypeDemand!$F$56:$F$100,$F142)*'SHWLP-Apt'!$R$16</f>
        <v>4.9101598563794369</v>
      </c>
      <c r="I142" s="1136">
        <f>SUMIFS(INDEX(ArchetypeDemand!$I$56:$AH$100,,MATCH(I$129,ArchetypeDemand!$I$4:$AH$4,0)),ArchetypeDemand!$F$56:$F$100,$F142)*'SHWLP-Apt'!$R$16</f>
        <v>0.37355367384773919</v>
      </c>
      <c r="J142" s="1136">
        <f>SUMIFS(INDEX(ArchetypeDemand!$I$56:$AH$100,,MATCH(J$129,ArchetypeDemand!$I$4:$AH$4,0)),ArchetypeDemand!$F$56:$F$100,$F142)*'SHWLP-Apt'!$R$16</f>
        <v>6.8179566065676392E-2</v>
      </c>
      <c r="K142" s="1136">
        <f>SUMIFS(INDEX(ArchetypeDemand!$I$56:$AH$100,,MATCH(K$129,ArchetypeDemand!$I$4:$AH$4,0)),ArchetypeDemand!$F$56:$F$100,$F142)*'SHWLP-Apt'!$R$16</f>
        <v>6.1966073919323725E-2</v>
      </c>
      <c r="L142" s="1136">
        <f>SUMIFS(INDEX(ArchetypeDemand!$I$56:$AH$100,,MATCH(L$129,ArchetypeDemand!$I$4:$AH$4,0)),ArchetypeDemand!$F$56:$F$100,$F142)*'SHWLP-Apt'!$R$16</f>
        <v>4.6740460243342143E-2</v>
      </c>
      <c r="M142" s="1136">
        <f>SUMIFS(INDEX(ArchetypeDemand!$I$56:$AH$100,,MATCH(M$129,ArchetypeDemand!$I$4:$AH$4,0)),ArchetypeDemand!$F$56:$F$100,$F142)*'SHWLP-Apt'!$R$16</f>
        <v>0.12132802869705822</v>
      </c>
      <c r="N142" s="1136">
        <f>SUMIFS(INDEX(ArchetypeDemand!$I$56:$AH$100,,MATCH(N$129,ArchetypeDemand!$I$4:$AH$4,0)),ArchetypeDemand!$F$56:$F$100,$F142)*'SHWLP-Apt'!$R$16</f>
        <v>0.19238253690175836</v>
      </c>
      <c r="O142" s="1136">
        <f>SUMIFS(INDEX(ArchetypeDemand!$I$56:$AH$100,,MATCH(O$129,ArchetypeDemand!$I$4:$AH$4,0)),ArchetypeDemand!$F$56:$F$100,$F142)*'SHWLP-Apt'!$R$16</f>
        <v>8.2237962122503366E-2</v>
      </c>
      <c r="P142" s="1136">
        <f>SUMIFS(INDEX(ArchetypeDemand!$I$56:$AH$100,,MATCH(P$129,ArchetypeDemand!$I$4:$AH$4,0)),ArchetypeDemand!$F$56:$F$100,$F142)*'SHWLP-Apt'!$R$16</f>
        <v>0.1629500343570229</v>
      </c>
      <c r="Q142" s="1136">
        <f>SUMIFS(INDEX(ArchetypeDemand!$I$56:$AH$100,,MATCH(Q$129,ArchetypeDemand!$I$4:$AH$4,0)),ArchetypeDemand!$F$56:$F$100,$F142)*'SHWLP-Apt'!$R$16</f>
        <v>0.21798403233524119</v>
      </c>
      <c r="R142" s="1136">
        <f>SUMIFS(INDEX(ArchetypeDemand!$I$56:$AH$100,,MATCH(R$129,ArchetypeDemand!$I$4:$AH$4,0)),ArchetypeDemand!$F$56:$F$100,$F142)*'SHWLP-Apt'!$R$16</f>
        <v>0.17217914715620272</v>
      </c>
      <c r="S142" s="1136">
        <f>SUMIFS(INDEX(ArchetypeDemand!$I$56:$AH$100,,MATCH(S$129,ArchetypeDemand!$I$4:$AH$4,0)),ArchetypeDemand!$F$56:$F$100,$F142)*'SHWLP-Apt'!$R$16</f>
        <v>0.18596278288772802</v>
      </c>
      <c r="T142" s="1136">
        <f>SUMIFS(INDEX(ArchetypeDemand!$I$56:$AH$100,,MATCH(T$129,ArchetypeDemand!$I$4:$AH$4,0)),ArchetypeDemand!$F$56:$F$100,$F142)*'SHWLP-Apt'!$R$16</f>
        <v>0.79221438997774818</v>
      </c>
      <c r="U142" s="1136">
        <f>SUMIFS(INDEX(ArchetypeDemand!$I$56:$AH$100,,MATCH(U$129,ArchetypeDemand!$I$4:$AH$4,0)),ArchetypeDemand!$F$56:$F$100,$F142)*'SHWLP-Apt'!$R$16</f>
        <v>0.16642548395334686</v>
      </c>
      <c r="V142" s="1136">
        <f>SUMIFS(INDEX(ArchetypeDemand!$I$56:$AH$100,,MATCH(V$129,ArchetypeDemand!$I$4:$AH$4,0)),ArchetypeDemand!$F$56:$F$100,$F142)*'SHWLP-Apt'!$R$16</f>
        <v>0.3259713946072138</v>
      </c>
      <c r="W142" s="1136">
        <f>SUMIFS(INDEX(ArchetypeDemand!$I$56:$AH$100,,MATCH(W$129,ArchetypeDemand!$I$4:$AH$4,0)),ArchetypeDemand!$F$56:$F$100,$F142)*'SHWLP-Apt'!$R$16</f>
        <v>0.18615350227457078</v>
      </c>
      <c r="X142" s="1136">
        <f>SUMIFS(INDEX(ArchetypeDemand!$I$56:$AH$100,,MATCH(X$129,ArchetypeDemand!$I$4:$AH$4,0)),ArchetypeDemand!$F$56:$F$100,$F142)*'SHWLP-Apt'!$R$16</f>
        <v>0.21814855597861088</v>
      </c>
      <c r="Y142" s="1136">
        <f>SUMIFS(INDEX(ArchetypeDemand!$I$56:$AH$100,,MATCH(Y$129,ArchetypeDemand!$I$4:$AH$4,0)),ArchetypeDemand!$F$56:$F$100,$F142)*'SHWLP-Apt'!$R$16</f>
        <v>0.70481085200968108</v>
      </c>
      <c r="Z142" s="1136">
        <f>SUMIFS(INDEX(ArchetypeDemand!$I$56:$AH$100,,MATCH(Z$129,ArchetypeDemand!$I$4:$AH$4,0)),ArchetypeDemand!$F$56:$F$100,$F142)*'SHWLP-Apt'!$R$16</f>
        <v>2.7445135844811244E-2</v>
      </c>
      <c r="AA142" s="1136">
        <f>SUMIFS(INDEX(ArchetypeDemand!$I$56:$AH$100,,MATCH(AA$129,ArchetypeDemand!$I$4:$AH$4,0)),ArchetypeDemand!$F$56:$F$100,$F142)*'SHWLP-Apt'!$R$16</f>
        <v>0.12734157702548884</v>
      </c>
      <c r="AB142" s="1136">
        <f>SUMIFS(INDEX(ArchetypeDemand!$I$56:$AH$100,,MATCH(AB$129,ArchetypeDemand!$I$4:$AH$4,0)),ArchetypeDemand!$F$56:$F$100,$F142)*'SHWLP-Apt'!$R$16</f>
        <v>4.4833008508273015E-2</v>
      </c>
      <c r="AC142" s="1136">
        <f>SUMIFS(INDEX(ArchetypeDemand!$I$56:$AH$100,,MATCH(AC$129,ArchetypeDemand!$I$4:$AH$4,0)),ArchetypeDemand!$F$56:$F$100,$F142)*'SHWLP-Apt'!$R$16</f>
        <v>0.154138941817347</v>
      </c>
      <c r="AD142" s="1136">
        <f>SUMIFS(INDEX(ArchetypeDemand!$I$56:$AH$100,,MATCH(AD$129,ArchetypeDemand!$I$4:$AH$4,0)),ArchetypeDemand!$F$56:$F$100,$F142)*'SHWLP-Apt'!$R$16</f>
        <v>7.8089067887302618E-2</v>
      </c>
      <c r="AE142" s="1136">
        <f>SUMIFS(INDEX(ArchetypeDemand!$I$56:$AH$100,,MATCH(AE$129,ArchetypeDemand!$I$4:$AH$4,0)),ArchetypeDemand!$F$56:$F$100,$F142)*'SHWLP-Apt'!$R$16</f>
        <v>0.13448254857193007</v>
      </c>
      <c r="AF142" s="1136">
        <f>SUMIFS(INDEX(ArchetypeDemand!$I$56:$AH$100,,MATCH(AF$129,ArchetypeDemand!$I$4:$AH$4,0)),ArchetypeDemand!$F$56:$F$100,$F142)*'SHWLP-Apt'!$R$16</f>
        <v>6.3172893907633046E-2</v>
      </c>
    </row>
    <row r="143" spans="3:32">
      <c r="C143" s="1134" t="s">
        <v>1172</v>
      </c>
      <c r="D143" s="1134" t="s">
        <v>1094</v>
      </c>
      <c r="E143" s="1134" t="s">
        <v>833</v>
      </c>
      <c r="F143" s="1134" t="s">
        <v>1169</v>
      </c>
      <c r="G143" s="1134">
        <f>SUMIFS(INDEX(ArchetypeDemand!$I$56:$AH$100,,MATCH(G$129,ArchetypeDemand!$I$4:$AH$4,0)),ArchetypeDemand!$F$56:$F$100,$F143)*'SHWLP-Apt'!$R$16</f>
        <v>2.8240385831863578E-2</v>
      </c>
      <c r="H143" s="1134">
        <f>SUMIFS(INDEX(ArchetypeDemand!$I$56:$AH$100,,MATCH(H$129,ArchetypeDemand!$I$4:$AH$4,0)),ArchetypeDemand!$F$56:$F$100,$F143)*'SHWLP-Apt'!$R$16</f>
        <v>1.6843892239839884</v>
      </c>
      <c r="I143" s="1134">
        <f>SUMIFS(INDEX(ArchetypeDemand!$I$56:$AH$100,,MATCH(I$129,ArchetypeDemand!$I$4:$AH$4,0)),ArchetypeDemand!$F$56:$F$100,$F143)*'SHWLP-Apt'!$R$16</f>
        <v>0.12238329886059265</v>
      </c>
      <c r="J143" s="1134">
        <f>SUMIFS(INDEX(ArchetypeDemand!$I$56:$AH$100,,MATCH(J$129,ArchetypeDemand!$I$4:$AH$4,0)),ArchetypeDemand!$F$56:$F$100,$F143)*'SHWLP-Apt'!$R$16</f>
        <v>2.9026943968555294E-2</v>
      </c>
      <c r="K143" s="1134">
        <f>SUMIFS(INDEX(ArchetypeDemand!$I$56:$AH$100,,MATCH(K$129,ArchetypeDemand!$I$4:$AH$4,0)),ArchetypeDemand!$F$56:$F$100,$F143)*'SHWLP-Apt'!$R$16</f>
        <v>2.1321659843208163E-2</v>
      </c>
      <c r="L143" s="1134">
        <f>SUMIFS(INDEX(ArchetypeDemand!$I$56:$AH$100,,MATCH(L$129,ArchetypeDemand!$I$4:$AH$4,0)),ArchetypeDemand!$F$56:$F$100,$F143)*'SHWLP-Apt'!$R$16</f>
        <v>1.2171994855037015E-2</v>
      </c>
      <c r="M143" s="1134">
        <f>SUMIFS(INDEX(ArchetypeDemand!$I$56:$AH$100,,MATCH(M$129,ArchetypeDemand!$I$4:$AH$4,0)),ArchetypeDemand!$F$56:$F$100,$F143)*'SHWLP-Apt'!$R$16</f>
        <v>4.619369899933868E-2</v>
      </c>
      <c r="N143" s="1134">
        <f>SUMIFS(INDEX(ArchetypeDemand!$I$56:$AH$100,,MATCH(N$129,ArchetypeDemand!$I$4:$AH$4,0)),ArchetypeDemand!$F$56:$F$100,$F143)*'SHWLP-Apt'!$R$16</f>
        <v>4.9876954011566971E-2</v>
      </c>
      <c r="O143" s="1134">
        <f>SUMIFS(INDEX(ArchetypeDemand!$I$56:$AH$100,,MATCH(O$129,ArchetypeDemand!$I$4:$AH$4,0)),ArchetypeDemand!$F$56:$F$100,$F143)*'SHWLP-Apt'!$R$16</f>
        <v>3.7906560665841402E-2</v>
      </c>
      <c r="P143" s="1134">
        <f>SUMIFS(INDEX(ArchetypeDemand!$I$56:$AH$100,,MATCH(P$129,ArchetypeDemand!$I$4:$AH$4,0)),ArchetypeDemand!$F$56:$F$100,$F143)*'SHWLP-Apt'!$R$16</f>
        <v>6.2256657644709751E-2</v>
      </c>
      <c r="Q143" s="1134">
        <f>SUMIFS(INDEX(ArchetypeDemand!$I$56:$AH$100,,MATCH(Q$129,ArchetypeDemand!$I$4:$AH$4,0)),ArchetypeDemand!$F$56:$F$100,$F143)*'SHWLP-Apt'!$R$16</f>
        <v>6.6146878777590443E-2</v>
      </c>
      <c r="R143" s="1134">
        <f>SUMIFS(INDEX(ArchetypeDemand!$I$56:$AH$100,,MATCH(R$129,ArchetypeDemand!$I$4:$AH$4,0)),ArchetypeDemand!$F$56:$F$100,$F143)*'SHWLP-Apt'!$R$16</f>
        <v>6.1924079240388702E-2</v>
      </c>
      <c r="S143" s="1134">
        <f>SUMIFS(INDEX(ArchetypeDemand!$I$56:$AH$100,,MATCH(S$129,ArchetypeDemand!$I$4:$AH$4,0)),ArchetypeDemand!$F$56:$F$100,$F143)*'SHWLP-Apt'!$R$16</f>
        <v>4.9764688378406086E-2</v>
      </c>
      <c r="T143" s="1134">
        <f>SUMIFS(INDEX(ArchetypeDemand!$I$56:$AH$100,,MATCH(T$129,ArchetypeDemand!$I$4:$AH$4,0)),ArchetypeDemand!$F$56:$F$100,$F143)*'SHWLP-Apt'!$R$16</f>
        <v>0.30236182550817386</v>
      </c>
      <c r="U143" s="1134">
        <f>SUMIFS(INDEX(ArchetypeDemand!$I$56:$AH$100,,MATCH(U$129,ArchetypeDemand!$I$4:$AH$4,0)),ArchetypeDemand!$F$56:$F$100,$F143)*'SHWLP-Apt'!$R$16</f>
        <v>5.0540254329390605E-2</v>
      </c>
      <c r="V143" s="1134">
        <f>SUMIFS(INDEX(ArchetypeDemand!$I$56:$AH$100,,MATCH(V$129,ArchetypeDemand!$I$4:$AH$4,0)),ArchetypeDemand!$F$56:$F$100,$F143)*'SHWLP-Apt'!$R$16</f>
        <v>0.10968219881437695</v>
      </c>
      <c r="W143" s="1134">
        <f>SUMIFS(INDEX(ArchetypeDemand!$I$56:$AH$100,,MATCH(W$129,ArchetypeDemand!$I$4:$AH$4,0)),ArchetypeDemand!$F$56:$F$100,$F143)*'SHWLP-Apt'!$R$16</f>
        <v>7.7055343154637912E-2</v>
      </c>
      <c r="X143" s="1134">
        <f>SUMIFS(INDEX(ArchetypeDemand!$I$56:$AH$100,,MATCH(X$129,ArchetypeDemand!$I$4:$AH$4,0)),ArchetypeDemand!$F$56:$F$100,$F143)*'SHWLP-Apt'!$R$16</f>
        <v>5.9538361347874151E-2</v>
      </c>
      <c r="Y143" s="1134">
        <f>SUMIFS(INDEX(ArchetypeDemand!$I$56:$AH$100,,MATCH(Y$129,ArchetypeDemand!$I$4:$AH$4,0)),ArchetypeDemand!$F$56:$F$100,$F143)*'SHWLP-Apt'!$R$16</f>
        <v>0.19232398850986482</v>
      </c>
      <c r="Z143" s="1134">
        <f>SUMIFS(INDEX(ArchetypeDemand!$I$56:$AH$100,,MATCH(Z$129,ArchetypeDemand!$I$4:$AH$4,0)),ArchetypeDemand!$F$56:$F$100,$F143)*'SHWLP-Apt'!$R$16</f>
        <v>1.0395884789701229E-2</v>
      </c>
      <c r="AA143" s="1134">
        <f>SUMIFS(INDEX(ArchetypeDemand!$I$56:$AH$100,,MATCH(AA$129,ArchetypeDemand!$I$4:$AH$4,0)),ArchetypeDemand!$F$56:$F$100,$F143)*'SHWLP-Apt'!$R$16</f>
        <v>4.8804921591266641E-2</v>
      </c>
      <c r="AB143" s="1134">
        <f>SUMIFS(INDEX(ArchetypeDemand!$I$56:$AH$100,,MATCH(AB$129,ArchetypeDemand!$I$4:$AH$4,0)),ArchetypeDemand!$F$56:$F$100,$F143)*'SHWLP-Apt'!$R$16</f>
        <v>1.3554165362966259E-2</v>
      </c>
      <c r="AC143" s="1134">
        <f>SUMIFS(INDEX(ArchetypeDemand!$I$56:$AH$100,,MATCH(AC$129,ArchetypeDemand!$I$4:$AH$4,0)),ArchetypeDemand!$F$56:$F$100,$F143)*'SHWLP-Apt'!$R$16</f>
        <v>2.6464690706458651E-2</v>
      </c>
      <c r="AD143" s="1134">
        <f>SUMIFS(INDEX(ArchetypeDemand!$I$56:$AH$100,,MATCH(AD$129,ArchetypeDemand!$I$4:$AH$4,0)),ArchetypeDemand!$F$56:$F$100,$F143)*'SHWLP-Apt'!$R$16</f>
        <v>2.8709216135037734E-2</v>
      </c>
      <c r="AE143" s="1134">
        <f>SUMIFS(INDEX(ArchetypeDemand!$I$56:$AH$100,,MATCH(AE$129,ArchetypeDemand!$I$4:$AH$4,0)),ArchetypeDemand!$F$56:$F$100,$F143)*'SHWLP-Apt'!$R$16</f>
        <v>4.6068416292806502E-2</v>
      </c>
      <c r="AF143" s="1134">
        <f>SUMIFS(INDEX(ArchetypeDemand!$I$56:$AH$100,,MATCH(AF$129,ArchetypeDemand!$I$4:$AH$4,0)),ArchetypeDemand!$F$56:$F$100,$F143)*'SHWLP-Apt'!$R$16</f>
        <v>2.6444467217148715E-2</v>
      </c>
    </row>
    <row r="144" spans="3:32" ht="13.5" thickBot="1">
      <c r="C144" s="1138" t="s">
        <v>1172</v>
      </c>
      <c r="D144" s="1138" t="s">
        <v>1094</v>
      </c>
      <c r="E144" s="1138" t="s">
        <v>833</v>
      </c>
      <c r="F144" s="1138" t="s">
        <v>1170</v>
      </c>
      <c r="G144" s="1138">
        <f>SUMIFS(INDEX(ArchetypeDemand!$I$56:$AH$100,,MATCH(G$129,ArchetypeDemand!$I$4:$AH$4,0)),ArchetypeDemand!$F$56:$F$100,$F144)*'SHWLP-Apt'!$R$16</f>
        <v>3.2041976232306757E-2</v>
      </c>
      <c r="H144" s="1138">
        <f>SUMIFS(INDEX(ArchetypeDemand!$I$56:$AH$100,,MATCH(H$129,ArchetypeDemand!$I$4:$AH$4,0)),ArchetypeDemand!$F$56:$F$100,$F144)*'SHWLP-Apt'!$R$16</f>
        <v>1.5973703173384401</v>
      </c>
      <c r="I144" s="1138">
        <f>SUMIFS(INDEX(ArchetypeDemand!$I$56:$AH$100,,MATCH(I$129,ArchetypeDemand!$I$4:$AH$4,0)),ArchetypeDemand!$F$56:$F$100,$F144)*'SHWLP-Apt'!$R$16</f>
        <v>0.10388349787003795</v>
      </c>
      <c r="J144" s="1138">
        <f>SUMIFS(INDEX(ArchetypeDemand!$I$56:$AH$100,,MATCH(J$129,ArchetypeDemand!$I$4:$AH$4,0)),ArchetypeDemand!$F$56:$F$100,$F144)*'SHWLP-Apt'!$R$16</f>
        <v>4.5228028974260585E-2</v>
      </c>
      <c r="K144" s="1138">
        <f>SUMIFS(INDEX(ArchetypeDemand!$I$56:$AH$100,,MATCH(K$129,ArchetypeDemand!$I$4:$AH$4,0)),ArchetypeDemand!$F$56:$F$100,$F144)*'SHWLP-Apt'!$R$16</f>
        <v>3.2648791634912494E-2</v>
      </c>
      <c r="L144" s="1138">
        <f>SUMIFS(INDEX(ArchetypeDemand!$I$56:$AH$100,,MATCH(L$129,ArchetypeDemand!$I$4:$AH$4,0)),ArchetypeDemand!$F$56:$F$100,$F144)*'SHWLP-Apt'!$R$16</f>
        <v>1.6553913002850341E-2</v>
      </c>
      <c r="M144" s="1138">
        <f>SUMIFS(INDEX(ArchetypeDemand!$I$56:$AH$100,,MATCH(M$129,ArchetypeDemand!$I$4:$AH$4,0)),ArchetypeDemand!$F$56:$F$100,$F144)*'SHWLP-Apt'!$R$16</f>
        <v>5.2872306083580421E-2</v>
      </c>
      <c r="N144" s="1138">
        <f>SUMIFS(INDEX(ArchetypeDemand!$I$56:$AH$100,,MATCH(N$129,ArchetypeDemand!$I$4:$AH$4,0)),ArchetypeDemand!$F$56:$F$100,$F144)*'SHWLP-Apt'!$R$16</f>
        <v>5.4152121498272712E-2</v>
      </c>
      <c r="O144" s="1138">
        <f>SUMIFS(INDEX(ArchetypeDemand!$I$56:$AH$100,,MATCH(O$129,ArchetypeDemand!$I$4:$AH$4,0)),ArchetypeDemand!$F$56:$F$100,$F144)*'SHWLP-Apt'!$R$16</f>
        <v>3.8549044744923454E-2</v>
      </c>
      <c r="P144" s="1138">
        <f>SUMIFS(INDEX(ArchetypeDemand!$I$56:$AH$100,,MATCH(P$129,ArchetypeDemand!$I$4:$AH$4,0)),ArchetypeDemand!$F$56:$F$100,$F144)*'SHWLP-Apt'!$R$16</f>
        <v>4.8722601634990238E-2</v>
      </c>
      <c r="Q144" s="1138">
        <f>SUMIFS(INDEX(ArchetypeDemand!$I$56:$AH$100,,MATCH(Q$129,ArchetypeDemand!$I$4:$AH$4,0)),ArchetypeDemand!$F$56:$F$100,$F144)*'SHWLP-Apt'!$R$16</f>
        <v>7.8173584009879615E-2</v>
      </c>
      <c r="R144" s="1138">
        <f>SUMIFS(INDEX(ArchetypeDemand!$I$56:$AH$100,,MATCH(R$129,ArchetypeDemand!$I$4:$AH$4,0)),ArchetypeDemand!$F$56:$F$100,$F144)*'SHWLP-Apt'!$R$16</f>
        <v>0.10647920942554641</v>
      </c>
      <c r="S144" s="1138">
        <f>SUMIFS(INDEX(ArchetypeDemand!$I$56:$AH$100,,MATCH(S$129,ArchetypeDemand!$I$4:$AH$4,0)),ArchetypeDemand!$F$56:$F$100,$F144)*'SHWLP-Apt'!$R$16</f>
        <v>7.5956629630198766E-2</v>
      </c>
      <c r="T144" s="1138">
        <f>SUMIFS(INDEX(ArchetypeDemand!$I$56:$AH$100,,MATCH(T$129,ArchetypeDemand!$I$4:$AH$4,0)),ArchetypeDemand!$F$56:$F$100,$F144)*'SHWLP-Apt'!$R$16</f>
        <v>0.43637809314607623</v>
      </c>
      <c r="U144" s="1138">
        <f>SUMIFS(INDEX(ArchetypeDemand!$I$56:$AH$100,,MATCH(U$129,ArchetypeDemand!$I$4:$AH$4,0)),ArchetypeDemand!$F$56:$F$100,$F144)*'SHWLP-Apt'!$R$16</f>
        <v>7.7597158162296689E-2</v>
      </c>
      <c r="V144" s="1138">
        <f>SUMIFS(INDEX(ArchetypeDemand!$I$56:$AH$100,,MATCH(V$129,ArchetypeDemand!$I$4:$AH$4,0)),ArchetypeDemand!$F$56:$F$100,$F144)*'SHWLP-Apt'!$R$16</f>
        <v>0.13018354438715771</v>
      </c>
      <c r="W144" s="1138">
        <f>SUMIFS(INDEX(ArchetypeDemand!$I$56:$AH$100,,MATCH(W$129,ArchetypeDemand!$I$4:$AH$4,0)),ArchetypeDemand!$F$56:$F$100,$F144)*'SHWLP-Apt'!$R$16</f>
        <v>0.12664541548188013</v>
      </c>
      <c r="X144" s="1138">
        <f>SUMIFS(INDEX(ArchetypeDemand!$I$56:$AH$100,,MATCH(X$129,ArchetypeDemand!$I$4:$AH$4,0)),ArchetypeDemand!$F$56:$F$100,$F144)*'SHWLP-Apt'!$R$16</f>
        <v>7.1922340508231972E-2</v>
      </c>
      <c r="Y144" s="1138">
        <f>SUMIFS(INDEX(ArchetypeDemand!$I$56:$AH$100,,MATCH(Y$129,ArchetypeDemand!$I$4:$AH$4,0)),ArchetypeDemand!$F$56:$F$100,$F144)*'SHWLP-Apt'!$R$16</f>
        <v>0.14084903864398921</v>
      </c>
      <c r="Z144" s="1138">
        <f>SUMIFS(INDEX(ArchetypeDemand!$I$56:$AH$100,,MATCH(Z$129,ArchetypeDemand!$I$4:$AH$4,0)),ArchetypeDemand!$F$56:$F$100,$F144)*'SHWLP-Apt'!$R$16</f>
        <v>9.9800493981131791E-3</v>
      </c>
      <c r="AA144" s="1138">
        <f>SUMIFS(INDEX(ArchetypeDemand!$I$56:$AH$100,,MATCH(AA$129,ArchetypeDemand!$I$4:$AH$4,0)),ArchetypeDemand!$F$56:$F$100,$F144)*'SHWLP-Apt'!$R$16</f>
        <v>5.3853706583466637E-2</v>
      </c>
      <c r="AB144" s="1138">
        <f>SUMIFS(INDEX(ArchetypeDemand!$I$56:$AH$100,,MATCH(AB$129,ArchetypeDemand!$I$4:$AH$4,0)),ArchetypeDemand!$F$56:$F$100,$F144)*'SHWLP-Apt'!$R$16</f>
        <v>2.2937818306558284E-2</v>
      </c>
      <c r="AC144" s="1138">
        <f>SUMIFS(INDEX(ArchetypeDemand!$I$56:$AH$100,,MATCH(AC$129,ArchetypeDemand!$I$4:$AH$4,0)),ArchetypeDemand!$F$56:$F$100,$F144)*'SHWLP-Apt'!$R$16</f>
        <v>1.7881547774634222E-2</v>
      </c>
      <c r="AD144" s="1138">
        <f>SUMIFS(INDEX(ArchetypeDemand!$I$56:$AH$100,,MATCH(AD$129,ArchetypeDemand!$I$4:$AH$4,0)),ArchetypeDemand!$F$56:$F$100,$F144)*'SHWLP-Apt'!$R$16</f>
        <v>3.4451059362045275E-2</v>
      </c>
      <c r="AE144" s="1138">
        <f>SUMIFS(INDEX(ArchetypeDemand!$I$56:$AH$100,,MATCH(AE$129,ArchetypeDemand!$I$4:$AH$4,0)),ArchetypeDemand!$F$56:$F$100,$F144)*'SHWLP-Apt'!$R$16</f>
        <v>5.5840504597341203E-2</v>
      </c>
      <c r="AF144" s="1138">
        <f>SUMIFS(INDEX(ArchetypeDemand!$I$56:$AH$100,,MATCH(AF$129,ArchetypeDemand!$I$4:$AH$4,0)),ArchetypeDemand!$F$56:$F$100,$F144)*'SHWLP-Apt'!$R$16</f>
        <v>6.6111168042871801E-2</v>
      </c>
    </row>
    <row r="145" spans="3:32" ht="13.5" thickBot="1">
      <c r="C145" s="1141" t="s">
        <v>1173</v>
      </c>
      <c r="D145" s="1141" t="s">
        <v>1094</v>
      </c>
      <c r="E145" s="1141" t="s">
        <v>833</v>
      </c>
      <c r="F145" s="1141" t="s">
        <v>934</v>
      </c>
      <c r="G145" s="1141">
        <f>SUM(ArchetypeDemand!I56:I100)*'SHWLP-Apt'!$R$42</f>
        <v>0.51494155457978208</v>
      </c>
      <c r="H145" s="1141">
        <f>SUM(ArchetypeDemand!J56:J100)*'SHWLP-Apt'!$R$42</f>
        <v>49.917953913333164</v>
      </c>
      <c r="I145" s="1141">
        <f>SUM(ArchetypeDemand!K56:K100)*'SHWLP-Apt'!$R$42</f>
        <v>2.9808752355216512</v>
      </c>
      <c r="J145" s="1141">
        <f>SUM(ArchetypeDemand!L56:L100)*'SHWLP-Apt'!$R$42</f>
        <v>0.70896177892181533</v>
      </c>
      <c r="K145" s="1141">
        <f>SUM(ArchetypeDemand!M56:M100)*'SHWLP-Apt'!$R$42</f>
        <v>0.58088989231902699</v>
      </c>
      <c r="L145" s="1141">
        <f>SUM(ArchetypeDemand!N56:N100)*'SHWLP-Apt'!$R$42</f>
        <v>0.2798926736849065</v>
      </c>
      <c r="M145" s="1141">
        <f>SUM(ArchetypeDemand!O56:O100)*'SHWLP-Apt'!$R$42</f>
        <v>1.2301166784868334</v>
      </c>
      <c r="N145" s="1141">
        <f>SUM(ArchetypeDemand!P56:P100)*'SHWLP-Apt'!$R$42</f>
        <v>2.1905513906972569</v>
      </c>
      <c r="O145" s="1141">
        <f>SUM(ArchetypeDemand!Q56:Q100)*'SHWLP-Apt'!$R$42</f>
        <v>0.47576052126874629</v>
      </c>
      <c r="P145" s="1141">
        <f>SUM(ArchetypeDemand!R56:R100)*'SHWLP-Apt'!$R$42</f>
        <v>1.1694552772840239</v>
      </c>
      <c r="Q145" s="1141">
        <f>SUM(ArchetypeDemand!S56:S100)*'SHWLP-Apt'!$R$42</f>
        <v>1.080406717000634</v>
      </c>
      <c r="R145" s="1141">
        <f>SUM(ArchetypeDemand!T56:T100)*'SHWLP-Apt'!$R$42</f>
        <v>1.826946089770874</v>
      </c>
      <c r="S145" s="1141">
        <f>SUM(ArchetypeDemand!U56:U100)*'SHWLP-Apt'!$R$42</f>
        <v>1.0084507853555651</v>
      </c>
      <c r="T145" s="1141">
        <f>SUM(ArchetypeDemand!V56:V100)*'SHWLP-Apt'!$R$42</f>
        <v>7.353043191919328</v>
      </c>
      <c r="U145" s="1141">
        <f>SUM(ArchetypeDemand!W56:W100)*'SHWLP-Apt'!$R$42</f>
        <v>1.1763820514352257</v>
      </c>
      <c r="V145" s="1141">
        <f>SUM(ArchetypeDemand!X56:X100)*'SHWLP-Apt'!$R$42</f>
        <v>3.0202741413425684</v>
      </c>
      <c r="W145" s="1141">
        <f>SUM(ArchetypeDemand!Y56:Y100)*'SHWLP-Apt'!$R$42</f>
        <v>0.96433169997092305</v>
      </c>
      <c r="X145" s="1141">
        <f>SUM(ArchetypeDemand!Z56:Z100)*'SHWLP-Apt'!$R$42</f>
        <v>1.2950292697837598</v>
      </c>
      <c r="Y145" s="1141">
        <f>SUM(ArchetypeDemand!AA56:AA100)*'SHWLP-Apt'!$R$42</f>
        <v>4.000081105528432</v>
      </c>
      <c r="Z145" s="1141">
        <f>SUM(ArchetypeDemand!AB56:AB100)*'SHWLP-Apt'!$R$42</f>
        <v>0.21981691083209659</v>
      </c>
      <c r="AA145" s="1141">
        <f>SUM(ArchetypeDemand!AC56:AC100)*'SHWLP-Apt'!$R$42</f>
        <v>0.86680795420557977</v>
      </c>
      <c r="AB145" s="1141">
        <f>SUM(ArchetypeDemand!AD56:AD100)*'SHWLP-Apt'!$R$42</f>
        <v>0.27382861502161454</v>
      </c>
      <c r="AC145" s="1141">
        <f>SUM(ArchetypeDemand!AE56:AE100)*'SHWLP-Apt'!$R$42</f>
        <v>0.67848517323778368</v>
      </c>
      <c r="AD145" s="1141">
        <f>SUM(ArchetypeDemand!AF56:AF100)*'SHWLP-Apt'!$R$42</f>
        <v>0.51452385379655596</v>
      </c>
      <c r="AE145" s="1141">
        <f>SUM(ArchetypeDemand!AG56:AG100)*'SHWLP-Apt'!$R$42</f>
        <v>0.96868664832457696</v>
      </c>
      <c r="AF145" s="1141">
        <f>SUM(ArchetypeDemand!AH56:AH100)*'SHWLP-Apt'!$R$42</f>
        <v>0.41594787114671949</v>
      </c>
    </row>
    <row r="146" spans="3:32" ht="15">
      <c r="C146" s="1137" t="s">
        <v>1197</v>
      </c>
      <c r="D146" s="1137"/>
      <c r="E146" s="1137"/>
      <c r="F146" s="1137"/>
      <c r="G146" s="1137"/>
      <c r="H146" s="1137"/>
      <c r="I146" s="1137"/>
      <c r="J146" s="1137"/>
      <c r="K146" s="1137"/>
      <c r="L146" s="1137"/>
      <c r="M146" s="1137"/>
      <c r="N146" s="1137"/>
      <c r="O146" s="1137"/>
      <c r="P146" s="1137"/>
      <c r="Q146" s="1137"/>
      <c r="R146" s="1137"/>
      <c r="S146" s="1137"/>
      <c r="T146" s="1137"/>
      <c r="U146" s="1137"/>
      <c r="V146" s="1137"/>
      <c r="W146" s="1137"/>
      <c r="X146" s="1137"/>
      <c r="Y146" s="1137"/>
      <c r="Z146" s="1137"/>
      <c r="AA146" s="1137"/>
      <c r="AB146" s="1137"/>
      <c r="AC146" s="1137"/>
      <c r="AD146" s="1137"/>
      <c r="AE146" s="1137"/>
      <c r="AF146" s="1137"/>
    </row>
    <row r="147" spans="3:32">
      <c r="C147" s="1145" t="s">
        <v>1174</v>
      </c>
      <c r="D147" s="1134" t="s">
        <v>1094</v>
      </c>
      <c r="E147" s="1134" t="s">
        <v>831</v>
      </c>
      <c r="F147" s="1134" t="s">
        <v>1165</v>
      </c>
      <c r="G147" s="1134">
        <f>SUMIFS(INDEX(ArchetypeDemand!$I$56:$AH$100,,MATCH(G$129,ArchetypeDemand!$I$4:$AH$4,0)),ArchetypeDemand!$F$56:$F$100,$F147)*'SHWLP-Apt'!$R$7</f>
        <v>2.2807317827496415E-4</v>
      </c>
      <c r="H147" s="1134">
        <f>SUMIFS(INDEX(ArchetypeDemand!$I$56:$AH$100,,MATCH(H$129,ArchetypeDemand!$I$4:$AH$4,0)),ArchetypeDemand!$F$56:$F$100,$F147)*'SHWLP-Apt'!$R$7</f>
        <v>8.0199542455252099E-2</v>
      </c>
      <c r="I147" s="1134">
        <f>SUMIFS(INDEX(ArchetypeDemand!$I$56:$AH$100,,MATCH(I$129,ArchetypeDemand!$I$4:$AH$4,0)),ArchetypeDemand!$F$56:$F$100,$F147)*'SHWLP-Apt'!$R$7</f>
        <v>2.8022464866428566E-3</v>
      </c>
      <c r="J147" s="1134">
        <f>SUMIFS(INDEX(ArchetypeDemand!$I$56:$AH$100,,MATCH(J$129,ArchetypeDemand!$I$4:$AH$4,0)),ArchetypeDemand!$F$56:$F$100,$F147)*'SHWLP-Apt'!$R$7</f>
        <v>6.9027275731039898E-4</v>
      </c>
      <c r="K147" s="1134">
        <f>SUMIFS(INDEX(ArchetypeDemand!$I$56:$AH$100,,MATCH(K$129,ArchetypeDemand!$I$4:$AH$4,0)),ArchetypeDemand!$F$56:$F$100,$F147)*'SHWLP-Apt'!$R$7</f>
        <v>6.3340498574283237E-4</v>
      </c>
      <c r="L147" s="1134">
        <f>SUMIFS(INDEX(ArchetypeDemand!$I$56:$AH$100,,MATCH(L$129,ArchetypeDemand!$I$4:$AH$4,0)),ArchetypeDemand!$F$56:$F$100,$F147)*'SHWLP-Apt'!$R$7</f>
        <v>1.0720296367287939E-4</v>
      </c>
      <c r="M147" s="1134">
        <f>SUMIFS(INDEX(ArchetypeDemand!$I$56:$AH$100,,MATCH(M$129,ArchetypeDemand!$I$4:$AH$4,0)),ArchetypeDemand!$F$56:$F$100,$F147)*'SHWLP-Apt'!$R$7</f>
        <v>1.6763460237358705E-3</v>
      </c>
      <c r="N147" s="1134">
        <f>SUMIFS(INDEX(ArchetypeDemand!$I$56:$AH$100,,MATCH(N$129,ArchetypeDemand!$I$4:$AH$4,0)),ArchetypeDemand!$F$56:$F$100,$F147)*'SHWLP-Apt'!$R$7</f>
        <v>2.7148553497888779E-3</v>
      </c>
      <c r="O147" s="1134">
        <f>SUMIFS(INDEX(ArchetypeDemand!$I$56:$AH$100,,MATCH(O$129,ArchetypeDemand!$I$4:$AH$4,0)),ArchetypeDemand!$F$56:$F$100,$F147)*'SHWLP-Apt'!$R$7</f>
        <v>2.1191230137390538E-4</v>
      </c>
      <c r="P147" s="1134">
        <f>SUMIFS(INDEX(ArchetypeDemand!$I$56:$AH$100,,MATCH(P$129,ArchetypeDemand!$I$4:$AH$4,0)),ArchetypeDemand!$F$56:$F$100,$F147)*'SHWLP-Apt'!$R$7</f>
        <v>1.0013037325471194E-3</v>
      </c>
      <c r="Q147" s="1134">
        <f>SUMIFS(INDEX(ArchetypeDemand!$I$56:$AH$100,,MATCH(Q$129,ArchetypeDemand!$I$4:$AH$4,0)),ArchetypeDemand!$F$56:$F$100,$F147)*'SHWLP-Apt'!$R$7</f>
        <v>5.1733557484876294E-4</v>
      </c>
      <c r="R147" s="1134">
        <f>SUMIFS(INDEX(ArchetypeDemand!$I$56:$AH$100,,MATCH(R$129,ArchetypeDemand!$I$4:$AH$4,0)),ArchetypeDemand!$F$56:$F$100,$F147)*'SHWLP-Apt'!$R$7</f>
        <v>2.5280393920771062E-3</v>
      </c>
      <c r="S147" s="1134">
        <f>SUMIFS(INDEX(ArchetypeDemand!$I$56:$AH$100,,MATCH(S$129,ArchetypeDemand!$I$4:$AH$4,0)),ArchetypeDemand!$F$56:$F$100,$F147)*'SHWLP-Apt'!$R$7</f>
        <v>5.7306056037863262E-4</v>
      </c>
      <c r="T147" s="1134">
        <f>SUMIFS(INDEX(ArchetypeDemand!$I$56:$AH$100,,MATCH(T$129,ArchetypeDemand!$I$4:$AH$4,0)),ArchetypeDemand!$F$56:$F$100,$F147)*'SHWLP-Apt'!$R$7</f>
        <v>1.1178204524936331E-2</v>
      </c>
      <c r="U147" s="1134">
        <f>SUMIFS(INDEX(ArchetypeDemand!$I$56:$AH$100,,MATCH(U$129,ArchetypeDemand!$I$4:$AH$4,0)),ArchetypeDemand!$F$56:$F$100,$F147)*'SHWLP-Apt'!$R$7</f>
        <v>7.5230526011706698E-4</v>
      </c>
      <c r="V147" s="1134">
        <f>SUMIFS(INDEX(ArchetypeDemand!$I$56:$AH$100,,MATCH(V$129,ArchetypeDemand!$I$4:$AH$4,0)),ArchetypeDemand!$F$56:$F$100,$F147)*'SHWLP-Apt'!$R$7</f>
        <v>1.8157963152655844E-3</v>
      </c>
      <c r="W147" s="1134">
        <f>SUMIFS(INDEX(ArchetypeDemand!$I$56:$AH$100,,MATCH(W$129,ArchetypeDemand!$I$4:$AH$4,0)),ArchetypeDemand!$F$56:$F$100,$F147)*'SHWLP-Apt'!$R$7</f>
        <v>3.1165079924472326E-4</v>
      </c>
      <c r="X147" s="1134">
        <f>SUMIFS(INDEX(ArchetypeDemand!$I$56:$AH$100,,MATCH(X$129,ArchetypeDemand!$I$4:$AH$4,0)),ArchetypeDemand!$F$56:$F$100,$F147)*'SHWLP-Apt'!$R$7</f>
        <v>7.7311608870226755E-4</v>
      </c>
      <c r="Y147" s="1134">
        <f>SUMIFS(INDEX(ArchetypeDemand!$I$56:$AH$100,,MATCH(Y$129,ArchetypeDemand!$I$4:$AH$4,0)),ArchetypeDemand!$F$56:$F$100,$F147)*'SHWLP-Apt'!$R$7</f>
        <v>2.4364256878645144E-3</v>
      </c>
      <c r="Z147" s="1134">
        <f>SUMIFS(INDEX(ArchetypeDemand!$I$56:$AH$100,,MATCH(Z$129,ArchetypeDemand!$I$4:$AH$4,0)),ArchetypeDemand!$F$56:$F$100,$F147)*'SHWLP-Apt'!$R$7</f>
        <v>4.8478160374154439E-5</v>
      </c>
      <c r="AA147" s="1134">
        <f>SUMIFS(INDEX(ArchetypeDemand!$I$56:$AH$100,,MATCH(AA$129,ArchetypeDemand!$I$4:$AH$4,0)),ArchetypeDemand!$F$56:$F$100,$F147)*'SHWLP-Apt'!$R$7</f>
        <v>4.0152418221058202E-4</v>
      </c>
      <c r="AB147" s="1134">
        <f>SUMIFS(INDEX(ArchetypeDemand!$I$56:$AH$100,,MATCH(AB$129,ArchetypeDemand!$I$4:$AH$4,0)),ArchetypeDemand!$F$56:$F$100,$F147)*'SHWLP-Apt'!$R$7</f>
        <v>1.4262615986422158E-4</v>
      </c>
      <c r="AC147" s="1134">
        <f>SUMIFS(INDEX(ArchetypeDemand!$I$56:$AH$100,,MATCH(AC$129,ArchetypeDemand!$I$4:$AH$4,0)),ArchetypeDemand!$F$56:$F$100,$F147)*'SHWLP-Apt'!$R$7</f>
        <v>4.0235989139597762E-4</v>
      </c>
      <c r="AD147" s="1134">
        <f>SUMIFS(INDEX(ArchetypeDemand!$I$56:$AH$100,,MATCH(AD$129,ArchetypeDemand!$I$4:$AH$4,0)),ArchetypeDemand!$F$56:$F$100,$F147)*'SHWLP-Apt'!$R$7</f>
        <v>3.7373923768338642E-4</v>
      </c>
      <c r="AE147" s="1134">
        <f>SUMIFS(INDEX(ArchetypeDemand!$I$56:$AH$100,,MATCH(AE$129,ArchetypeDemand!$I$4:$AH$4,0)),ArchetypeDemand!$F$56:$F$100,$F147)*'SHWLP-Apt'!$R$7</f>
        <v>7.7432084590226848E-4</v>
      </c>
      <c r="AF147" s="1134">
        <f>SUMIFS(INDEX(ArchetypeDemand!$I$56:$AH$100,,MATCH(AF$129,ArchetypeDemand!$I$4:$AH$4,0)),ArchetypeDemand!$F$56:$F$100,$F147)*'SHWLP-Apt'!$R$7</f>
        <v>3.0701966089997001E-4</v>
      </c>
    </row>
    <row r="148" spans="3:32">
      <c r="C148" s="1136" t="s">
        <v>1174</v>
      </c>
      <c r="D148" s="1136" t="s">
        <v>1094</v>
      </c>
      <c r="E148" s="1136" t="s">
        <v>831</v>
      </c>
      <c r="F148" s="1136" t="s">
        <v>1166</v>
      </c>
      <c r="G148" s="1136">
        <f>SUMIFS(INDEX(ArchetypeDemand!$I$56:$AH$100,,MATCH(G$129,ArchetypeDemand!$I$4:$AH$4,0)),ArchetypeDemand!$F$56:$F$100,$F148)*'SHWLP-Apt'!$R$7</f>
        <v>1.0590515544872171E-3</v>
      </c>
      <c r="H148" s="1136">
        <f>SUMIFS(INDEX(ArchetypeDemand!$I$56:$AH$100,,MATCH(H$129,ArchetypeDemand!$I$4:$AH$4,0)),ArchetypeDemand!$F$56:$F$100,$F148)*'SHWLP-Apt'!$R$7</f>
        <v>8.8517506323972373E-2</v>
      </c>
      <c r="I148" s="1136">
        <f>SUMIFS(INDEX(ArchetypeDemand!$I$56:$AH$100,,MATCH(I$129,ArchetypeDemand!$I$4:$AH$4,0)),ArchetypeDemand!$F$56:$F$100,$F148)*'SHWLP-Apt'!$R$7</f>
        <v>6.3494746962896439E-3</v>
      </c>
      <c r="J148" s="1136">
        <f>SUMIFS(INDEX(ArchetypeDemand!$I$56:$AH$100,,MATCH(J$129,ArchetypeDemand!$I$4:$AH$4,0)),ArchetypeDemand!$F$56:$F$100,$F148)*'SHWLP-Apt'!$R$7</f>
        <v>1.5596291702205404E-3</v>
      </c>
      <c r="K148" s="1136">
        <f>SUMIFS(INDEX(ArchetypeDemand!$I$56:$AH$100,,MATCH(K$129,ArchetypeDemand!$I$4:$AH$4,0)),ArchetypeDemand!$F$56:$F$100,$F148)*'SHWLP-Apt'!$R$7</f>
        <v>1.0062778038198064E-3</v>
      </c>
      <c r="L148" s="1136">
        <f>SUMIFS(INDEX(ArchetypeDemand!$I$56:$AH$100,,MATCH(L$129,ArchetypeDemand!$I$4:$AH$4,0)),ArchetypeDemand!$F$56:$F$100,$F148)*'SHWLP-Apt'!$R$7</f>
        <v>4.1022382223269256E-4</v>
      </c>
      <c r="M148" s="1136">
        <f>SUMIFS(INDEX(ArchetypeDemand!$I$56:$AH$100,,MATCH(M$129,ArchetypeDemand!$I$4:$AH$4,0)),ArchetypeDemand!$F$56:$F$100,$F148)*'SHWLP-Apt'!$R$7</f>
        <v>2.5982596995267511E-3</v>
      </c>
      <c r="N148" s="1136">
        <f>SUMIFS(INDEX(ArchetypeDemand!$I$56:$AH$100,,MATCH(N$129,ArchetypeDemand!$I$4:$AH$4,0)),ArchetypeDemand!$F$56:$F$100,$F148)*'SHWLP-Apt'!$R$7</f>
        <v>4.9537914506794078E-3</v>
      </c>
      <c r="O148" s="1136">
        <f>SUMIFS(INDEX(ArchetypeDemand!$I$56:$AH$100,,MATCH(O$129,ArchetypeDemand!$I$4:$AH$4,0)),ArchetypeDemand!$F$56:$F$100,$F148)*'SHWLP-Apt'!$R$7</f>
        <v>6.9453564364248884E-4</v>
      </c>
      <c r="P148" s="1136">
        <f>SUMIFS(INDEX(ArchetypeDemand!$I$56:$AH$100,,MATCH(P$129,ArchetypeDemand!$I$4:$AH$4,0)),ArchetypeDemand!$F$56:$F$100,$F148)*'SHWLP-Apt'!$R$7</f>
        <v>1.890494318075499E-3</v>
      </c>
      <c r="Q148" s="1136">
        <f>SUMIFS(INDEX(ArchetypeDemand!$I$56:$AH$100,,MATCH(Q$129,ArchetypeDemand!$I$4:$AH$4,0)),ArchetypeDemand!$F$56:$F$100,$F148)*'SHWLP-Apt'!$R$7</f>
        <v>1.5879565321500631E-3</v>
      </c>
      <c r="R148" s="1136">
        <f>SUMIFS(INDEX(ArchetypeDemand!$I$56:$AH$100,,MATCH(R$129,ArchetypeDemand!$I$4:$AH$4,0)),ArchetypeDemand!$F$56:$F$100,$F148)*'SHWLP-Apt'!$R$7</f>
        <v>3.3494474183702427E-3</v>
      </c>
      <c r="S148" s="1136">
        <f>SUMIFS(INDEX(ArchetypeDemand!$I$56:$AH$100,,MATCH(S$129,ArchetypeDemand!$I$4:$AH$4,0)),ArchetypeDemand!$F$56:$F$100,$F148)*'SHWLP-Apt'!$R$7</f>
        <v>1.6544206584524867E-3</v>
      </c>
      <c r="T148" s="1136">
        <f>SUMIFS(INDEX(ArchetypeDemand!$I$56:$AH$100,,MATCH(T$129,ArchetypeDemand!$I$4:$AH$4,0)),ArchetypeDemand!$F$56:$F$100,$F148)*'SHWLP-Apt'!$R$7</f>
        <v>1.2569578048321716E-2</v>
      </c>
      <c r="U148" s="1136">
        <f>SUMIFS(INDEX(ArchetypeDemand!$I$56:$AH$100,,MATCH(U$129,ArchetypeDemand!$I$4:$AH$4,0)),ArchetypeDemand!$F$56:$F$100,$F148)*'SHWLP-Apt'!$R$7</f>
        <v>2.10737433769089E-3</v>
      </c>
      <c r="V148" s="1136">
        <f>SUMIFS(INDEX(ArchetypeDemand!$I$56:$AH$100,,MATCH(V$129,ArchetypeDemand!$I$4:$AH$4,0)),ArchetypeDemand!$F$56:$F$100,$F148)*'SHWLP-Apt'!$R$7</f>
        <v>7.0859560613771378E-3</v>
      </c>
      <c r="W148" s="1136">
        <f>SUMIFS(INDEX(ArchetypeDemand!$I$56:$AH$100,,MATCH(W$129,ArchetypeDemand!$I$4:$AH$4,0)),ArchetypeDemand!$F$56:$F$100,$F148)*'SHWLP-Apt'!$R$7</f>
        <v>1.0187882486643908E-3</v>
      </c>
      <c r="X148" s="1136">
        <f>SUMIFS(INDEX(ArchetypeDemand!$I$56:$AH$100,,MATCH(X$129,ArchetypeDemand!$I$4:$AH$4,0)),ArchetypeDemand!$F$56:$F$100,$F148)*'SHWLP-Apt'!$R$7</f>
        <v>2.1100616436697346E-3</v>
      </c>
      <c r="Y148" s="1136">
        <f>SUMIFS(INDEX(ArchetypeDemand!$I$56:$AH$100,,MATCH(Y$129,ArchetypeDemand!$I$4:$AH$4,0)),ArchetypeDemand!$F$56:$F$100,$F148)*'SHWLP-Apt'!$R$7</f>
        <v>6.582469823491385E-3</v>
      </c>
      <c r="Z148" s="1136">
        <f>SUMIFS(INDEX(ArchetypeDemand!$I$56:$AH$100,,MATCH(Z$129,ArchetypeDemand!$I$4:$AH$4,0)),ArchetypeDemand!$F$56:$F$100,$F148)*'SHWLP-Apt'!$R$7</f>
        <v>4.2969278513455071E-4</v>
      </c>
      <c r="AA148" s="1136">
        <f>SUMIFS(INDEX(ArchetypeDemand!$I$56:$AH$100,,MATCH(AA$129,ArchetypeDemand!$I$4:$AH$4,0)),ArchetypeDemand!$F$56:$F$100,$F148)*'SHWLP-Apt'!$R$7</f>
        <v>1.3733724886366852E-3</v>
      </c>
      <c r="AB148" s="1136">
        <f>SUMIFS(INDEX(ArchetypeDemand!$I$56:$AH$100,,MATCH(AB$129,ArchetypeDemand!$I$4:$AH$4,0)),ArchetypeDemand!$F$56:$F$100,$F148)*'SHWLP-Apt'!$R$7</f>
        <v>4.5857409844826495E-4</v>
      </c>
      <c r="AC148" s="1136">
        <f>SUMIFS(INDEX(ArchetypeDemand!$I$56:$AH$100,,MATCH(AC$129,ArchetypeDemand!$I$4:$AH$4,0)),ArchetypeDemand!$F$56:$F$100,$F148)*'SHWLP-Apt'!$R$7</f>
        <v>9.3808524053434837E-4</v>
      </c>
      <c r="AD148" s="1136">
        <f>SUMIFS(INDEX(ArchetypeDemand!$I$56:$AH$100,,MATCH(AD$129,ArchetypeDemand!$I$4:$AH$4,0)),ArchetypeDemand!$F$56:$F$100,$F148)*'SHWLP-Apt'!$R$7</f>
        <v>7.9413408892734254E-4</v>
      </c>
      <c r="AE148" s="1136">
        <f>SUMIFS(INDEX(ArchetypeDemand!$I$56:$AH$100,,MATCH(AE$129,ArchetypeDemand!$I$4:$AH$4,0)),ArchetypeDemand!$F$56:$F$100,$F148)*'SHWLP-Apt'!$R$7</f>
        <v>1.9381734278022802E-3</v>
      </c>
      <c r="AF148" s="1136">
        <f>SUMIFS(INDEX(ArchetypeDemand!$I$56:$AH$100,,MATCH(AF$129,ArchetypeDemand!$I$4:$AH$4,0)),ArchetypeDemand!$F$56:$F$100,$F148)*'SHWLP-Apt'!$R$7</f>
        <v>5.99452868508555E-4</v>
      </c>
    </row>
    <row r="149" spans="3:32">
      <c r="C149" s="1134" t="s">
        <v>1174</v>
      </c>
      <c r="D149" s="1134" t="s">
        <v>1094</v>
      </c>
      <c r="E149" s="1134" t="s">
        <v>831</v>
      </c>
      <c r="F149" s="1134" t="s">
        <v>1167</v>
      </c>
      <c r="G149" s="1134">
        <f>SUMIFS(INDEX(ArchetypeDemand!$I$56:$AH$100,,MATCH(G$129,ArchetypeDemand!$I$4:$AH$4,0)),ArchetypeDemand!$F$56:$F$100,$F149)*'SHWLP-Apt'!$R$7</f>
        <v>7.5112080359011869E-4</v>
      </c>
      <c r="H149" s="1134">
        <f>SUMIFS(INDEX(ArchetypeDemand!$I$56:$AH$100,,MATCH(H$129,ArchetypeDemand!$I$4:$AH$4,0)),ArchetypeDemand!$F$56:$F$100,$F149)*'SHWLP-Apt'!$R$7</f>
        <v>5.4087081055931262E-2</v>
      </c>
      <c r="I149" s="1134">
        <f>SUMIFS(INDEX(ArchetypeDemand!$I$56:$AH$100,,MATCH(I$129,ArchetypeDemand!$I$4:$AH$4,0)),ArchetypeDemand!$F$56:$F$100,$F149)*'SHWLP-Apt'!$R$7</f>
        <v>3.5668664267755356E-3</v>
      </c>
      <c r="J149" s="1134">
        <f>SUMIFS(INDEX(ArchetypeDemand!$I$56:$AH$100,,MATCH(J$129,ArchetypeDemand!$I$4:$AH$4,0)),ArchetypeDemand!$F$56:$F$100,$F149)*'SHWLP-Apt'!$R$7</f>
        <v>7.7623745398591119E-4</v>
      </c>
      <c r="K149" s="1134">
        <f>SUMIFS(INDEX(ArchetypeDemand!$I$56:$AH$100,,MATCH(K$129,ArchetypeDemand!$I$4:$AH$4,0)),ArchetypeDemand!$F$56:$F$100,$F149)*'SHWLP-Apt'!$R$7</f>
        <v>8.4386103548397796E-4</v>
      </c>
      <c r="L149" s="1134">
        <f>SUMIFS(INDEX(ArchetypeDemand!$I$56:$AH$100,,MATCH(L$129,ArchetypeDemand!$I$4:$AH$4,0)),ArchetypeDemand!$F$56:$F$100,$F149)*'SHWLP-Apt'!$R$7</f>
        <v>5.7534536074144919E-4</v>
      </c>
      <c r="M149" s="1134">
        <f>SUMIFS(INDEX(ArchetypeDemand!$I$56:$AH$100,,MATCH(M$129,ArchetypeDemand!$I$4:$AH$4,0)),ArchetypeDemand!$F$56:$F$100,$F149)*'SHWLP-Apt'!$R$7</f>
        <v>1.1177530375943683E-3</v>
      </c>
      <c r="N149" s="1134">
        <f>SUMIFS(INDEX(ArchetypeDemand!$I$56:$AH$100,,MATCH(N$129,ArchetypeDemand!$I$4:$AH$4,0)),ArchetypeDemand!$F$56:$F$100,$F149)*'SHWLP-Apt'!$R$7</f>
        <v>2.4429139242298607E-3</v>
      </c>
      <c r="O149" s="1134">
        <f>SUMIFS(INDEX(ArchetypeDemand!$I$56:$AH$100,,MATCH(O$129,ArchetypeDemand!$I$4:$AH$4,0)),ArchetypeDemand!$F$56:$F$100,$F149)*'SHWLP-Apt'!$R$7</f>
        <v>7.8986406531890874E-4</v>
      </c>
      <c r="P149" s="1134">
        <f>SUMIFS(INDEX(ArchetypeDemand!$I$56:$AH$100,,MATCH(P$129,ArchetypeDemand!$I$4:$AH$4,0)),ArchetypeDemand!$F$56:$F$100,$F149)*'SHWLP-Apt'!$R$7</f>
        <v>1.8933630499693922E-3</v>
      </c>
      <c r="Q149" s="1134">
        <f>SUMIFS(INDEX(ArchetypeDemand!$I$56:$AH$100,,MATCH(Q$129,ArchetypeDemand!$I$4:$AH$4,0)),ArchetypeDemand!$F$56:$F$100,$F149)*'SHWLP-Apt'!$R$7</f>
        <v>1.7366614916825105E-3</v>
      </c>
      <c r="R149" s="1134">
        <f>SUMIFS(INDEX(ArchetypeDemand!$I$56:$AH$100,,MATCH(R$129,ArchetypeDemand!$I$4:$AH$4,0)),ArchetypeDemand!$F$56:$F$100,$F149)*'SHWLP-Apt'!$R$7</f>
        <v>2.0608905859745221E-3</v>
      </c>
      <c r="S149" s="1134">
        <f>SUMIFS(INDEX(ArchetypeDemand!$I$56:$AH$100,,MATCH(S$129,ArchetypeDemand!$I$4:$AH$4,0)),ArchetypeDemand!$F$56:$F$100,$F149)*'SHWLP-Apt'!$R$7</f>
        <v>1.4989717375240652E-3</v>
      </c>
      <c r="T149" s="1134">
        <f>SUMIFS(INDEX(ArchetypeDemand!$I$56:$AH$100,,MATCH(T$129,ArchetypeDemand!$I$4:$AH$4,0)),ArchetypeDemand!$F$56:$F$100,$F149)*'SHWLP-Apt'!$R$7</f>
        <v>7.3535355016900207E-3</v>
      </c>
      <c r="U149" s="1134">
        <f>SUMIFS(INDEX(ArchetypeDemand!$I$56:$AH$100,,MATCH(U$129,ArchetypeDemand!$I$4:$AH$4,0)),ArchetypeDemand!$F$56:$F$100,$F149)*'SHWLP-Apt'!$R$7</f>
        <v>1.8530826974560456E-3</v>
      </c>
      <c r="V149" s="1134">
        <f>SUMIFS(INDEX(ArchetypeDemand!$I$56:$AH$100,,MATCH(V$129,ArchetypeDemand!$I$4:$AH$4,0)),ArchetypeDemand!$F$56:$F$100,$F149)*'SHWLP-Apt'!$R$7</f>
        <v>4.2070317896026012E-3</v>
      </c>
      <c r="W149" s="1134">
        <f>SUMIFS(INDEX(ArchetypeDemand!$I$56:$AH$100,,MATCH(W$129,ArchetypeDemand!$I$4:$AH$4,0)),ArchetypeDemand!$F$56:$F$100,$F149)*'SHWLP-Apt'!$R$7</f>
        <v>1.7464941405675269E-3</v>
      </c>
      <c r="X149" s="1134">
        <f>SUMIFS(INDEX(ArchetypeDemand!$I$56:$AH$100,,MATCH(X$129,ArchetypeDemand!$I$4:$AH$4,0)),ArchetypeDemand!$F$56:$F$100,$F149)*'SHWLP-Apt'!$R$7</f>
        <v>2.1706375760238892E-3</v>
      </c>
      <c r="Y149" s="1134">
        <f>SUMIFS(INDEX(ArchetypeDemand!$I$56:$AH$100,,MATCH(Y$129,ArchetypeDemand!$I$4:$AH$4,0)),ArchetypeDemand!$F$56:$F$100,$F149)*'SHWLP-Apt'!$R$7</f>
        <v>6.8132759147522398E-3</v>
      </c>
      <c r="Z149" s="1134">
        <f>SUMIFS(INDEX(ArchetypeDemand!$I$56:$AH$100,,MATCH(Z$129,ArchetypeDemand!$I$4:$AH$4,0)),ArchetypeDemand!$F$56:$F$100,$F149)*'SHWLP-Apt'!$R$7</f>
        <v>4.4071054885594943E-4</v>
      </c>
      <c r="AA149" s="1134">
        <f>SUMIFS(INDEX(ArchetypeDemand!$I$56:$AH$100,,MATCH(AA$129,ArchetypeDemand!$I$4:$AH$4,0)),ArchetypeDemand!$F$56:$F$100,$F149)*'SHWLP-Apt'!$R$7</f>
        <v>1.6290219129283625E-3</v>
      </c>
      <c r="AB149" s="1134">
        <f>SUMIFS(INDEX(ArchetypeDemand!$I$56:$AH$100,,MATCH(AB$129,ArchetypeDemand!$I$4:$AH$4,0)),ArchetypeDemand!$F$56:$F$100,$F149)*'SHWLP-Apt'!$R$7</f>
        <v>4.2818665818964498E-4</v>
      </c>
      <c r="AC149" s="1134">
        <f>SUMIFS(INDEX(ArchetypeDemand!$I$56:$AH$100,,MATCH(AC$129,ArchetypeDemand!$I$4:$AH$4,0)),ArchetypeDemand!$F$56:$F$100,$F149)*'SHWLP-Apt'!$R$7</f>
        <v>1.2261437386378248E-3</v>
      </c>
      <c r="AD149" s="1134">
        <f>SUMIFS(INDEX(ArchetypeDemand!$I$56:$AH$100,,MATCH(AD$129,ArchetypeDemand!$I$4:$AH$4,0)),ArchetypeDemand!$F$56:$F$100,$F149)*'SHWLP-Apt'!$R$7</f>
        <v>8.2760334171738377E-4</v>
      </c>
      <c r="AE149" s="1134">
        <f>SUMIFS(INDEX(ArchetypeDemand!$I$56:$AH$100,,MATCH(AE$129,ArchetypeDemand!$I$4:$AH$4,0)),ArchetypeDemand!$F$56:$F$100,$F149)*'SHWLP-Apt'!$R$7</f>
        <v>1.2008784469970872E-3</v>
      </c>
      <c r="AF149" s="1134">
        <f>SUMIFS(INDEX(ArchetypeDemand!$I$56:$AH$100,,MATCH(AF$129,ArchetypeDemand!$I$4:$AH$4,0)),ArchetypeDemand!$F$56:$F$100,$F149)*'SHWLP-Apt'!$R$7</f>
        <v>4.8656888677642453E-4</v>
      </c>
    </row>
    <row r="150" spans="3:32">
      <c r="C150" s="1136" t="s">
        <v>1174</v>
      </c>
      <c r="D150" s="1136" t="s">
        <v>1094</v>
      </c>
      <c r="E150" s="1136" t="s">
        <v>831</v>
      </c>
      <c r="F150" s="1136" t="s">
        <v>1168</v>
      </c>
      <c r="G150" s="1136">
        <f>SUMIFS(INDEX(ArchetypeDemand!$I$56:$AH$100,,MATCH(G$129,ArchetypeDemand!$I$4:$AH$4,0)),ArchetypeDemand!$F$56:$F$100,$F150)*'SHWLP-Apt'!$R$7</f>
        <v>3.885107604776476E-4</v>
      </c>
      <c r="H150" s="1136">
        <f>SUMIFS(INDEX(ArchetypeDemand!$I$56:$AH$100,,MATCH(H$129,ArchetypeDemand!$I$4:$AH$4,0)),ArchetypeDemand!$F$56:$F$100,$F150)*'SHWLP-Apt'!$R$7</f>
        <v>2.601942125478314E-2</v>
      </c>
      <c r="I150" s="1136">
        <f>SUMIFS(INDEX(ArchetypeDemand!$I$56:$AH$100,,MATCH(I$129,ArchetypeDemand!$I$4:$AH$4,0)),ArchetypeDemand!$F$56:$F$100,$F150)*'SHWLP-Apt'!$R$7</f>
        <v>1.9794977527031249E-3</v>
      </c>
      <c r="J150" s="1136">
        <f>SUMIFS(INDEX(ArchetypeDemand!$I$56:$AH$100,,MATCH(J$129,ArchetypeDemand!$I$4:$AH$4,0)),ArchetypeDemand!$F$56:$F$100,$F150)*'SHWLP-Apt'!$R$7</f>
        <v>3.6129024356026284E-4</v>
      </c>
      <c r="K150" s="1136">
        <f>SUMIFS(INDEX(ArchetypeDemand!$I$56:$AH$100,,MATCH(K$129,ArchetypeDemand!$I$4:$AH$4,0)),ArchetypeDemand!$F$56:$F$100,$F150)*'SHWLP-Apt'!$R$7</f>
        <v>3.2836433598330519E-4</v>
      </c>
      <c r="L150" s="1136">
        <f>SUMIFS(INDEX(ArchetypeDemand!$I$56:$AH$100,,MATCH(L$129,ArchetypeDemand!$I$4:$AH$4,0)),ArchetypeDemand!$F$56:$F$100,$F150)*'SHWLP-Apt'!$R$7</f>
        <v>2.4768230776313512E-4</v>
      </c>
      <c r="M150" s="1136">
        <f>SUMIFS(INDEX(ArchetypeDemand!$I$56:$AH$100,,MATCH(M$129,ArchetypeDemand!$I$4:$AH$4,0)),ArchetypeDemand!$F$56:$F$100,$F150)*'SHWLP-Apt'!$R$7</f>
        <v>6.4292918785111431E-4</v>
      </c>
      <c r="N150" s="1136">
        <f>SUMIFS(INDEX(ArchetypeDemand!$I$56:$AH$100,,MATCH(N$129,ArchetypeDemand!$I$4:$AH$4,0)),ArchetypeDemand!$F$56:$F$100,$F150)*'SHWLP-Apt'!$R$7</f>
        <v>1.0194540332953052E-3</v>
      </c>
      <c r="O150" s="1136">
        <f>SUMIFS(INDEX(ArchetypeDemand!$I$56:$AH$100,,MATCH(O$129,ArchetypeDemand!$I$4:$AH$4,0)),ArchetypeDemand!$F$56:$F$100,$F150)*'SHWLP-Apt'!$R$7</f>
        <v>4.3578707052077724E-4</v>
      </c>
      <c r="P150" s="1136">
        <f>SUMIFS(INDEX(ArchetypeDemand!$I$56:$AH$100,,MATCH(P$129,ArchetypeDemand!$I$4:$AH$4,0)),ArchetypeDemand!$F$56:$F$100,$F150)*'SHWLP-Apt'!$R$7</f>
        <v>8.6348830006179847E-4</v>
      </c>
      <c r="Q150" s="1136">
        <f>SUMIFS(INDEX(ArchetypeDemand!$I$56:$AH$100,,MATCH(Q$129,ArchetypeDemand!$I$4:$AH$4,0)),ArchetypeDemand!$F$56:$F$100,$F150)*'SHWLP-Apt'!$R$7</f>
        <v>1.1551188820824035E-3</v>
      </c>
      <c r="R150" s="1136">
        <f>SUMIFS(INDEX(ArchetypeDemand!$I$56:$AH$100,,MATCH(R$129,ArchetypeDemand!$I$4:$AH$4,0)),ArchetypeDemand!$F$56:$F$100,$F150)*'SHWLP-Apt'!$R$7</f>
        <v>9.1239427883920603E-4</v>
      </c>
      <c r="S150" s="1136">
        <f>SUMIFS(INDEX(ArchetypeDemand!$I$56:$AH$100,,MATCH(S$129,ArchetypeDemand!$I$4:$AH$4,0)),ArchetypeDemand!$F$56:$F$100,$F150)*'SHWLP-Apt'!$R$7</f>
        <v>9.8543512374267258E-4</v>
      </c>
      <c r="T150" s="1136">
        <f>SUMIFS(INDEX(ArchetypeDemand!$I$56:$AH$100,,MATCH(T$129,ArchetypeDemand!$I$4:$AH$4,0)),ArchetypeDemand!$F$56:$F$100,$F150)*'SHWLP-Apt'!$R$7</f>
        <v>4.1980221703273191E-3</v>
      </c>
      <c r="U150" s="1136">
        <f>SUMIFS(INDEX(ArchetypeDemand!$I$56:$AH$100,,MATCH(U$129,ArchetypeDemand!$I$4:$AH$4,0)),ArchetypeDemand!$F$56:$F$100,$F150)*'SHWLP-Apt'!$R$7</f>
        <v>8.8190505017616205E-4</v>
      </c>
      <c r="V150" s="1136">
        <f>SUMIFS(INDEX(ArchetypeDemand!$I$56:$AH$100,,MATCH(V$129,ArchetypeDemand!$I$4:$AH$4,0)),ArchetypeDemand!$F$56:$F$100,$F150)*'SHWLP-Apt'!$R$7</f>
        <v>1.7273545630647222E-3</v>
      </c>
      <c r="W150" s="1136">
        <f>SUMIFS(INDEX(ArchetypeDemand!$I$56:$AH$100,,MATCH(W$129,ArchetypeDemand!$I$4:$AH$4,0)),ArchetypeDemand!$F$56:$F$100,$F150)*'SHWLP-Apt'!$R$7</f>
        <v>9.8644576457980709E-4</v>
      </c>
      <c r="X150" s="1136">
        <f>SUMIFS(INDEX(ArchetypeDemand!$I$56:$AH$100,,MATCH(X$129,ArchetypeDemand!$I$4:$AH$4,0)),ArchetypeDemand!$F$56:$F$100,$F150)*'SHWLP-Apt'!$R$7</f>
        <v>1.1559907090917922E-3</v>
      </c>
      <c r="Y150" s="1136">
        <f>SUMIFS(INDEX(ArchetypeDemand!$I$56:$AH$100,,MATCH(Y$129,ArchetypeDemand!$I$4:$AH$4,0)),ArchetypeDemand!$F$56:$F$100,$F150)*'SHWLP-Apt'!$R$7</f>
        <v>3.7348622040392822E-3</v>
      </c>
      <c r="Z150" s="1136">
        <f>SUMIFS(INDEX(ArchetypeDemand!$I$56:$AH$100,,MATCH(Z$129,ArchetypeDemand!$I$4:$AH$4,0)),ArchetypeDemand!$F$56:$F$100,$F150)*'SHWLP-Apt'!$R$7</f>
        <v>1.454344811224633E-4</v>
      </c>
      <c r="AA150" s="1136">
        <f>SUMIFS(INDEX(ArchetypeDemand!$I$56:$AH$100,,MATCH(AA$129,ArchetypeDemand!$I$4:$AH$4,0)),ArchetypeDemand!$F$56:$F$100,$F150)*'SHWLP-Apt'!$R$7</f>
        <v>6.7479557342105527E-4</v>
      </c>
      <c r="AB150" s="1136">
        <f>SUMIFS(INDEX(ArchetypeDemand!$I$56:$AH$100,,MATCH(AB$129,ArchetypeDemand!$I$4:$AH$4,0)),ArchetypeDemand!$F$56:$F$100,$F150)*'SHWLP-Apt'!$R$7</f>
        <v>2.3757453293102884E-4</v>
      </c>
      <c r="AC150" s="1136">
        <f>SUMIFS(INDEX(ArchetypeDemand!$I$56:$AH$100,,MATCH(AC$129,ArchetypeDemand!$I$4:$AH$4,0)),ArchetypeDemand!$F$56:$F$100,$F150)*'SHWLP-Apt'!$R$7</f>
        <v>8.167974518592002E-4</v>
      </c>
      <c r="AD150" s="1136">
        <f>SUMIFS(INDEX(ArchetypeDemand!$I$56:$AH$100,,MATCH(AD$129,ArchetypeDemand!$I$4:$AH$4,0)),ArchetypeDemand!$F$56:$F$100,$F150)*'SHWLP-Apt'!$R$7</f>
        <v>4.1380167085869189E-4</v>
      </c>
      <c r="AE150" s="1136">
        <f>SUMIFS(INDEX(ArchetypeDemand!$I$56:$AH$100,,MATCH(AE$129,ArchetypeDemand!$I$4:$AH$4,0)),ArchetypeDemand!$F$56:$F$100,$F150)*'SHWLP-Apt'!$R$7</f>
        <v>7.1263628579498598E-4</v>
      </c>
      <c r="AF150" s="1136">
        <f>SUMIFS(INDEX(ArchetypeDemand!$I$56:$AH$100,,MATCH(AF$129,ArchetypeDemand!$I$4:$AH$4,0)),ArchetypeDemand!$F$56:$F$100,$F150)*'SHWLP-Apt'!$R$7</f>
        <v>3.3475939410218005E-4</v>
      </c>
    </row>
    <row r="151" spans="3:32">
      <c r="C151" s="1134" t="s">
        <v>1174</v>
      </c>
      <c r="D151" s="1134" t="s">
        <v>1094</v>
      </c>
      <c r="E151" s="1134" t="s">
        <v>831</v>
      </c>
      <c r="F151" s="1134" t="s">
        <v>1169</v>
      </c>
      <c r="G151" s="1134">
        <f>SUMIFS(INDEX(ArchetypeDemand!$I$56:$AH$100,,MATCH(G$129,ArchetypeDemand!$I$4:$AH$4,0)),ArchetypeDemand!$F$56:$F$100,$F151)*'SHWLP-Apt'!$R$7</f>
        <v>1.496485892210198E-4</v>
      </c>
      <c r="H151" s="1134">
        <f>SUMIFS(INDEX(ArchetypeDemand!$I$56:$AH$100,,MATCH(H$129,ArchetypeDemand!$I$4:$AH$4,0)),ArchetypeDemand!$F$56:$F$100,$F151)*'SHWLP-Apt'!$R$7</f>
        <v>8.925744590354924E-3</v>
      </c>
      <c r="I151" s="1134">
        <f>SUMIFS(INDEX(ArchetypeDemand!$I$56:$AH$100,,MATCH(I$129,ArchetypeDemand!$I$4:$AH$4,0)),ArchetypeDemand!$F$56:$F$100,$F151)*'SHWLP-Apt'!$R$7</f>
        <v>6.4852116850464296E-4</v>
      </c>
      <c r="J151" s="1134">
        <f>SUMIFS(INDEX(ArchetypeDemand!$I$56:$AH$100,,MATCH(J$129,ArchetypeDemand!$I$4:$AH$4,0)),ArchetypeDemand!$F$56:$F$100,$F151)*'SHWLP-Apt'!$R$7</f>
        <v>1.5381663834743861E-4</v>
      </c>
      <c r="K151" s="1134">
        <f>SUMIFS(INDEX(ArchetypeDemand!$I$56:$AH$100,,MATCH(K$129,ArchetypeDemand!$I$4:$AH$4,0)),ArchetypeDemand!$F$56:$F$100,$F151)*'SHWLP-Apt'!$R$7</f>
        <v>1.1298557797275018E-4</v>
      </c>
      <c r="L151" s="1134">
        <f>SUMIFS(INDEX(ArchetypeDemand!$I$56:$AH$100,,MATCH(L$129,ArchetypeDemand!$I$4:$AH$4,0)),ArchetypeDemand!$F$56:$F$100,$F151)*'SHWLP-Apt'!$R$7</f>
        <v>6.45006009799831E-5</v>
      </c>
      <c r="M151" s="1134">
        <f>SUMIFS(INDEX(ArchetypeDemand!$I$56:$AH$100,,MATCH(M$129,ArchetypeDemand!$I$4:$AH$4,0)),ArchetypeDemand!$F$56:$F$100,$F151)*'SHWLP-Apt'!$R$7</f>
        <v>2.4478496601670869E-4</v>
      </c>
      <c r="N151" s="1134">
        <f>SUMIFS(INDEX(ArchetypeDemand!$I$56:$AH$100,,MATCH(N$129,ArchetypeDemand!$I$4:$AH$4,0)),ArchetypeDemand!$F$56:$F$100,$F151)*'SHWLP-Apt'!$R$7</f>
        <v>2.64302897521005E-4</v>
      </c>
      <c r="O151" s="1134">
        <f>SUMIFS(INDEX(ArchetypeDemand!$I$56:$AH$100,,MATCH(O$129,ArchetypeDemand!$I$4:$AH$4,0)),ArchetypeDemand!$F$56:$F$100,$F151)*'SHWLP-Apt'!$R$7</f>
        <v>2.0087060281817078E-4</v>
      </c>
      <c r="P151" s="1134">
        <f>SUMIFS(INDEX(ArchetypeDemand!$I$56:$AH$100,,MATCH(P$129,ArchetypeDemand!$I$4:$AH$4,0)),ArchetypeDemand!$F$56:$F$100,$F151)*'SHWLP-Apt'!$R$7</f>
        <v>3.2990416779769713E-4</v>
      </c>
      <c r="Q151" s="1134">
        <f>SUMIFS(INDEX(ArchetypeDemand!$I$56:$AH$100,,MATCH(Q$129,ArchetypeDemand!$I$4:$AH$4,0)),ArchetypeDemand!$F$56:$F$100,$F151)*'SHWLP-Apt'!$R$7</f>
        <v>3.5051883318362595E-4</v>
      </c>
      <c r="R151" s="1134">
        <f>SUMIFS(INDEX(ArchetypeDemand!$I$56:$AH$100,,MATCH(R$129,ArchetypeDemand!$I$4:$AH$4,0)),ArchetypeDemand!$F$56:$F$100,$F151)*'SHWLP-Apt'!$R$7</f>
        <v>3.2814180203866183E-4</v>
      </c>
      <c r="S151" s="1134">
        <f>SUMIFS(INDEX(ArchetypeDemand!$I$56:$AH$100,,MATCH(S$129,ArchetypeDemand!$I$4:$AH$4,0)),ArchetypeDemand!$F$56:$F$100,$F151)*'SHWLP-Apt'!$R$7</f>
        <v>2.6370799086071516E-4</v>
      </c>
      <c r="T151" s="1134">
        <f>SUMIFS(INDEX(ArchetypeDemand!$I$56:$AH$100,,MATCH(T$129,ArchetypeDemand!$I$4:$AH$4,0)),ArchetypeDemand!$F$56:$F$100,$F151)*'SHWLP-Apt'!$R$7</f>
        <v>1.6022451283415934E-3</v>
      </c>
      <c r="U151" s="1134">
        <f>SUMIFS(INDEX(ArchetypeDemand!$I$56:$AH$100,,MATCH(U$129,ArchetypeDemand!$I$4:$AH$4,0)),ArchetypeDemand!$F$56:$F$100,$F151)*'SHWLP-Apt'!$R$7</f>
        <v>2.6781779131116574E-4</v>
      </c>
      <c r="V151" s="1134">
        <f>SUMIFS(INDEX(ArchetypeDemand!$I$56:$AH$100,,MATCH(V$129,ArchetypeDemand!$I$4:$AH$4,0)),ArchetypeDemand!$F$56:$F$100,$F151)*'SHWLP-Apt'!$R$7</f>
        <v>5.812167869431612E-4</v>
      </c>
      <c r="W151" s="1134">
        <f>SUMIFS(INDEX(ArchetypeDemand!$I$56:$AH$100,,MATCH(W$129,ArchetypeDemand!$I$4:$AH$4,0)),ArchetypeDemand!$F$56:$F$100,$F151)*'SHWLP-Apt'!$R$7</f>
        <v>4.0832386156787096E-4</v>
      </c>
      <c r="X151" s="1134">
        <f>SUMIFS(INDEX(ArchetypeDemand!$I$56:$AH$100,,MATCH(X$129,ArchetypeDemand!$I$4:$AH$4,0)),ArchetypeDemand!$F$56:$F$100,$F151)*'SHWLP-Apt'!$R$7</f>
        <v>3.1549964767789088E-4</v>
      </c>
      <c r="Y151" s="1134">
        <f>SUMIFS(INDEX(ArchetypeDemand!$I$56:$AH$100,,MATCH(Y$129,ArchetypeDemand!$I$4:$AH$4,0)),ArchetypeDemand!$F$56:$F$100,$F151)*'SHWLP-Apt'!$R$7</f>
        <v>1.0191437795933837E-3</v>
      </c>
      <c r="Z151" s="1134">
        <f>SUMIFS(INDEX(ArchetypeDemand!$I$56:$AH$100,,MATCH(Z$129,ArchetypeDemand!$I$4:$AH$4,0)),ArchetypeDemand!$F$56:$F$100,$F151)*'SHWLP-Apt'!$R$7</f>
        <v>5.5088818606993679E-5</v>
      </c>
      <c r="AA151" s="1134">
        <f>SUMIFS(INDEX(ArchetypeDemand!$I$56:$AH$100,,MATCH(AA$129,ArchetypeDemand!$I$4:$AH$4,0)),ArchetypeDemand!$F$56:$F$100,$F151)*'SHWLP-Apt'!$R$7</f>
        <v>2.5862209201599917E-4</v>
      </c>
      <c r="AB151" s="1134">
        <f>SUMIFS(INDEX(ArchetypeDemand!$I$56:$AH$100,,MATCH(AB$129,ArchetypeDemand!$I$4:$AH$4,0)),ArchetypeDemand!$F$56:$F$100,$F151)*'SHWLP-Apt'!$R$7</f>
        <v>7.1824858793101732E-5</v>
      </c>
      <c r="AC151" s="1134">
        <f>SUMIFS(INDEX(ArchetypeDemand!$I$56:$AH$100,,MATCH(AC$129,ArchetypeDemand!$I$4:$AH$4,0)),ArchetypeDemand!$F$56:$F$100,$F151)*'SHWLP-Apt'!$R$7</f>
        <v>1.4023900565563995E-4</v>
      </c>
      <c r="AD151" s="1134">
        <f>SUMIFS(INDEX(ArchetypeDemand!$I$56:$AH$100,,MATCH(AD$129,ArchetypeDemand!$I$4:$AH$4,0)),ArchetypeDemand!$F$56:$F$100,$F151)*'SHWLP-Apt'!$R$7</f>
        <v>1.5213296722746029E-4</v>
      </c>
      <c r="AE151" s="1134">
        <f>SUMIFS(INDEX(ArchetypeDemand!$I$56:$AH$100,,MATCH(AE$129,ArchetypeDemand!$I$4:$AH$4,0)),ArchetypeDemand!$F$56:$F$100,$F151)*'SHWLP-Apt'!$R$7</f>
        <v>2.4412108060105058E-4</v>
      </c>
      <c r="AF151" s="1134">
        <f>SUMIFS(INDEX(ArchetypeDemand!$I$56:$AH$100,,MATCH(AF$129,ArchetypeDemand!$I$4:$AH$4,0)),ArchetypeDemand!$F$56:$F$100,$F151)*'SHWLP-Apt'!$R$7</f>
        <v>1.4013183939161025E-4</v>
      </c>
    </row>
    <row r="152" spans="3:32" ht="13.5" thickBot="1">
      <c r="C152" s="1138" t="s">
        <v>1174</v>
      </c>
      <c r="D152" s="1138" t="s">
        <v>1094</v>
      </c>
      <c r="E152" s="1138" t="s">
        <v>831</v>
      </c>
      <c r="F152" s="1138" t="s">
        <v>1170</v>
      </c>
      <c r="G152" s="1138">
        <f>SUMIFS(INDEX(ArchetypeDemand!$I$56:$AH$100,,MATCH(G$129,ArchetypeDemand!$I$4:$AH$4,0)),ArchetypeDemand!$F$56:$F$100,$F152)*'SHWLP-Apt'!$R$7</f>
        <v>1.6979359161615708E-4</v>
      </c>
      <c r="H152" s="1138">
        <f>SUMIFS(INDEX(ArchetypeDemand!$I$56:$AH$100,,MATCH(H$129,ArchetypeDemand!$I$4:$AH$4,0)),ArchetypeDemand!$F$56:$F$100,$F152)*'SHWLP-Apt'!$R$7</f>
        <v>8.4646228233722313E-3</v>
      </c>
      <c r="I152" s="1138">
        <f>SUMIFS(INDEX(ArchetypeDemand!$I$56:$AH$100,,MATCH(I$129,ArchetypeDemand!$I$4:$AH$4,0)),ArchetypeDemand!$F$56:$F$100,$F152)*'SHWLP-Apt'!$R$7</f>
        <v>5.5048889884696433E-4</v>
      </c>
      <c r="J152" s="1138">
        <f>SUMIFS(INDEX(ArchetypeDemand!$I$56:$AH$100,,MATCH(J$129,ArchetypeDemand!$I$4:$AH$4,0)),ArchetypeDemand!$F$56:$F$100,$F152)*'SHWLP-Apt'!$R$7</f>
        <v>2.3966778533205557E-4</v>
      </c>
      <c r="K152" s="1138">
        <f>SUMIFS(INDEX(ArchetypeDemand!$I$56:$AH$100,,MATCH(K$129,ArchetypeDemand!$I$4:$AH$4,0)),ArchetypeDemand!$F$56:$F$100,$F152)*'SHWLP-Apt'!$R$7</f>
        <v>1.7300916627077369E-4</v>
      </c>
      <c r="L152" s="1138">
        <f>SUMIFS(INDEX(ArchetypeDemand!$I$56:$AH$100,,MATCH(L$129,ArchetypeDemand!$I$4:$AH$4,0)),ArchetypeDemand!$F$56:$F$100,$F152)*'SHWLP-Apt'!$R$7</f>
        <v>8.7720817332777E-5</v>
      </c>
      <c r="M152" s="1138">
        <f>SUMIFS(INDEX(ArchetypeDemand!$I$56:$AH$100,,MATCH(M$129,ArchetypeDemand!$I$4:$AH$4,0)),ArchetypeDemand!$F$56:$F$100,$F152)*'SHWLP-Apt'!$R$7</f>
        <v>2.801755635131003E-4</v>
      </c>
      <c r="N152" s="1138">
        <f>SUMIFS(INDEX(ArchetypeDemand!$I$56:$AH$100,,MATCH(N$129,ArchetypeDemand!$I$4:$AH$4,0)),ArchetypeDemand!$F$56:$F$100,$F152)*'SHWLP-Apt'!$R$7</f>
        <v>2.86957431594234E-4</v>
      </c>
      <c r="O152" s="1138">
        <f>SUMIFS(INDEX(ArchetypeDemand!$I$56:$AH$100,,MATCH(O$129,ArchetypeDemand!$I$4:$AH$4,0)),ArchetypeDemand!$F$56:$F$100,$F152)*'SHWLP-Apt'!$R$7</f>
        <v>2.0427518930661435E-4</v>
      </c>
      <c r="P152" s="1138">
        <f>SUMIFS(INDEX(ArchetypeDemand!$I$56:$AH$100,,MATCH(P$129,ArchetypeDemand!$I$4:$AH$4,0)),ArchetypeDemand!$F$56:$F$100,$F152)*'SHWLP-Apt'!$R$7</f>
        <v>2.5818587045037163E-4</v>
      </c>
      <c r="Q152" s="1138">
        <f>SUMIFS(INDEX(ArchetypeDemand!$I$56:$AH$100,,MATCH(Q$129,ArchetypeDemand!$I$4:$AH$4,0)),ArchetypeDemand!$F$56:$F$100,$F152)*'SHWLP-Apt'!$R$7</f>
        <v>4.1424953012610339E-4</v>
      </c>
      <c r="R152" s="1138">
        <f>SUMIFS(INDEX(ArchetypeDemand!$I$56:$AH$100,,MATCH(R$129,ArchetypeDemand!$I$4:$AH$4,0)),ArchetypeDemand!$F$56:$F$100,$F152)*'SHWLP-Apt'!$R$7</f>
        <v>5.6424383033477205E-4</v>
      </c>
      <c r="S152" s="1138">
        <f>SUMIFS(INDEX(ArchetypeDemand!$I$56:$AH$100,,MATCH(S$129,ArchetypeDemand!$I$4:$AH$4,0)),ArchetypeDemand!$F$56:$F$100,$F152)*'SHWLP-Apt'!$R$7</f>
        <v>4.0250167026109152E-4</v>
      </c>
      <c r="T152" s="1138">
        <f>SUMIFS(INDEX(ArchetypeDemand!$I$56:$AH$100,,MATCH(T$129,ArchetypeDemand!$I$4:$AH$4,0)),ArchetypeDemand!$F$56:$F$100,$F152)*'SHWLP-Apt'!$R$7</f>
        <v>2.3124105454886312E-3</v>
      </c>
      <c r="U152" s="1138">
        <f>SUMIFS(INDEX(ArchetypeDemand!$I$56:$AH$100,,MATCH(U$129,ArchetypeDemand!$I$4:$AH$4,0)),ArchetypeDemand!$F$56:$F$100,$F152)*'SHWLP-Apt'!$R$7</f>
        <v>4.1119499272017368E-4</v>
      </c>
      <c r="V152" s="1138">
        <f>SUMIFS(INDEX(ArchetypeDemand!$I$56:$AH$100,,MATCH(V$129,ArchetypeDemand!$I$4:$AH$4,0)),ArchetypeDemand!$F$56:$F$100,$F152)*'SHWLP-Apt'!$R$7</f>
        <v>6.898554387082381E-4</v>
      </c>
      <c r="W152" s="1138">
        <f>SUMIFS(INDEX(ArchetypeDemand!$I$56:$AH$100,,MATCH(W$129,ArchetypeDemand!$I$4:$AH$4,0)),ArchetypeDemand!$F$56:$F$100,$F152)*'SHWLP-Apt'!$R$7</f>
        <v>6.7110654475511459E-4</v>
      </c>
      <c r="X152" s="1138">
        <f>SUMIFS(INDEX(ArchetypeDemand!$I$56:$AH$100,,MATCH(X$129,ArchetypeDemand!$I$4:$AH$4,0)),ArchetypeDemand!$F$56:$F$100,$F152)*'SHWLP-Apt'!$R$7</f>
        <v>3.8112357439489219E-4</v>
      </c>
      <c r="Y152" s="1138">
        <f>SUMIFS(INDEX(ArchetypeDemand!$I$56:$AH$100,,MATCH(Y$129,ArchetypeDemand!$I$4:$AH$4,0)),ArchetypeDemand!$F$56:$F$100,$F152)*'SHWLP-Apt'!$R$7</f>
        <v>7.4637294446691909E-4</v>
      </c>
      <c r="Z152" s="1138">
        <f>SUMIFS(INDEX(ArchetypeDemand!$I$56:$AH$100,,MATCH(Z$129,ArchetypeDemand!$I$4:$AH$4,0)),ArchetypeDemand!$F$56:$F$100,$F152)*'SHWLP-Apt'!$R$7</f>
        <v>5.288526586271393E-5</v>
      </c>
      <c r="AA152" s="1138">
        <f>SUMIFS(INDEX(ArchetypeDemand!$I$56:$AH$100,,MATCH(AA$129,ArchetypeDemand!$I$4:$AH$4,0)),ArchetypeDemand!$F$56:$F$100,$F152)*'SHWLP-Apt'!$R$7</f>
        <v>2.8537610153489562E-4</v>
      </c>
      <c r="AB152" s="1138">
        <f>SUMIFS(INDEX(ArchetypeDemand!$I$56:$AH$100,,MATCH(AB$129,ArchetypeDemand!$I$4:$AH$4,0)),ArchetypeDemand!$F$56:$F$100,$F152)*'SHWLP-Apt'!$R$7</f>
        <v>1.2154976103447986E-4</v>
      </c>
      <c r="AC152" s="1138">
        <f>SUMIFS(INDEX(ArchetypeDemand!$I$56:$AH$100,,MATCH(AC$129,ArchetypeDemand!$I$4:$AH$4,0)),ArchetypeDemand!$F$56:$F$100,$F152)*'SHWLP-Apt'!$R$7</f>
        <v>9.4756084902459424E-5</v>
      </c>
      <c r="AD152" s="1138">
        <f>SUMIFS(INDEX(ArchetypeDemand!$I$56:$AH$100,,MATCH(AD$129,ArchetypeDemand!$I$4:$AH$4,0)),ArchetypeDemand!$F$56:$F$100,$F152)*'SHWLP-Apt'!$R$7</f>
        <v>1.8255956067295232E-4</v>
      </c>
      <c r="AE152" s="1138">
        <f>SUMIFS(INDEX(ArchetypeDemand!$I$56:$AH$100,,MATCH(AE$129,ArchetypeDemand!$I$4:$AH$4,0)),ArchetypeDemand!$F$56:$F$100,$F152)*'SHWLP-Apt'!$R$7</f>
        <v>2.9590434012248551E-4</v>
      </c>
      <c r="AF152" s="1138">
        <f>SUMIFS(INDEX(ArchetypeDemand!$I$56:$AH$100,,MATCH(AF$129,ArchetypeDemand!$I$4:$AH$4,0)),ArchetypeDemand!$F$56:$F$100,$F152)*'SHWLP-Apt'!$R$7</f>
        <v>3.503295984790257E-4</v>
      </c>
    </row>
    <row r="153" spans="3:32" ht="13.5" thickBot="1">
      <c r="C153" s="1141" t="s">
        <v>1175</v>
      </c>
      <c r="D153" s="1141" t="s">
        <v>1094</v>
      </c>
      <c r="E153" s="1141" t="s">
        <v>831</v>
      </c>
      <c r="F153" s="1141" t="s">
        <v>934</v>
      </c>
      <c r="G153" s="1141">
        <f>SUM(ArchetypeDemand!I56:I100)*'SHWLP-Apt'!$R$33</f>
        <v>4.4893145478407375E-4</v>
      </c>
      <c r="H153" s="1141">
        <f>SUM(ArchetypeDemand!J56:J100)*'SHWLP-Apt'!$R$33</f>
        <v>4.3518996419786835E-2</v>
      </c>
      <c r="I153" s="1141">
        <f>SUM(ArchetypeDemand!K56:K100)*'SHWLP-Apt'!$R$33</f>
        <v>2.5987583330783978E-3</v>
      </c>
      <c r="J153" s="1141">
        <f>SUM(ArchetypeDemand!L56:L100)*'SHWLP-Apt'!$R$33</f>
        <v>6.1808032380957065E-4</v>
      </c>
      <c r="K153" s="1141">
        <f>SUM(ArchetypeDemand!M56:M100)*'SHWLP-Apt'!$R$33</f>
        <v>5.064259081614689E-4</v>
      </c>
      <c r="L153" s="1141">
        <f>SUM(ArchetypeDemand!N56:N100)*'SHWLP-Apt'!$R$33</f>
        <v>2.4401337212590641E-4</v>
      </c>
      <c r="M153" s="1141">
        <f>SUM(ArchetypeDemand!O56:O100)*'SHWLP-Apt'!$R$33</f>
        <v>1.0724286379993173E-3</v>
      </c>
      <c r="N153" s="1141">
        <f>SUM(ArchetypeDemand!P56:P100)*'SHWLP-Apt'!$R$33</f>
        <v>1.9097457058160801E-3</v>
      </c>
      <c r="O153" s="1141">
        <f>SUM(ArchetypeDemand!Q56:Q100)*'SHWLP-Apt'!$R$33</f>
        <v>4.1477301849586132E-4</v>
      </c>
      <c r="P153" s="1141">
        <f>SUM(ArchetypeDemand!R56:R100)*'SHWLP-Apt'!$R$33</f>
        <v>1.0195433914135354E-3</v>
      </c>
      <c r="Q153" s="1141">
        <f>SUM(ArchetypeDemand!S56:S100)*'SHWLP-Apt'!$R$33</f>
        <v>9.4190992144222471E-4</v>
      </c>
      <c r="R153" s="1141">
        <f>SUM(ArchetypeDemand!T56:T100)*'SHWLP-Apt'!$R$33</f>
        <v>1.5927507861784739E-3</v>
      </c>
      <c r="S153" s="1141">
        <f>SUM(ArchetypeDemand!U56:U100)*'SHWLP-Apt'!$R$33</f>
        <v>8.7917798461082026E-4</v>
      </c>
      <c r="T153" s="1141">
        <f>SUM(ArchetypeDemand!V56:V100)*'SHWLP-Apt'!$R$33</f>
        <v>6.4104602704519809E-3</v>
      </c>
      <c r="U153" s="1141">
        <f>SUM(ArchetypeDemand!W56:W100)*'SHWLP-Apt'!$R$33</f>
        <v>1.0255822258579557E-3</v>
      </c>
      <c r="V153" s="1141">
        <f>SUM(ArchetypeDemand!X56:X100)*'SHWLP-Apt'!$R$33</f>
        <v>2.6331067129086467E-3</v>
      </c>
      <c r="W153" s="1141">
        <f>SUM(ArchetypeDemand!Y56:Y100)*'SHWLP-Apt'!$R$33</f>
        <v>8.4071450266939266E-4</v>
      </c>
      <c r="X153" s="1141">
        <f>SUM(ArchetypeDemand!Z56:Z100)*'SHWLP-Apt'!$R$33</f>
        <v>1.1290201167517243E-3</v>
      </c>
      <c r="Y153" s="1141">
        <f>SUM(ArchetypeDemand!AA56:AA100)*'SHWLP-Apt'!$R$33</f>
        <v>3.4873127134293835E-3</v>
      </c>
      <c r="Z153" s="1141">
        <f>SUM(ArchetypeDemand!AB56:AB100)*'SHWLP-Apt'!$R$33</f>
        <v>1.9163869120355638E-4</v>
      </c>
      <c r="AA153" s="1141">
        <f>SUM(ArchetypeDemand!AC56:AC100)*'SHWLP-Apt'!$R$33</f>
        <v>7.5569227699534385E-4</v>
      </c>
      <c r="AB153" s="1141">
        <f>SUM(ArchetypeDemand!AD56:AD100)*'SHWLP-Apt'!$R$33</f>
        <v>2.3872666210338899E-4</v>
      </c>
      <c r="AC153" s="1141">
        <f>SUM(ArchetypeDemand!AE56:AE100)*'SHWLP-Apt'!$R$33</f>
        <v>5.9151049893346795E-4</v>
      </c>
      <c r="AD153" s="1141">
        <f>SUM(ArchetypeDemand!AF56:AF100)*'SHWLP-Apt'!$R$33</f>
        <v>4.4856729885490006E-4</v>
      </c>
      <c r="AE153" s="1141">
        <f>SUM(ArchetypeDemand!AG56:AG100)*'SHWLP-Apt'!$R$33</f>
        <v>8.4451119237626774E-4</v>
      </c>
      <c r="AF153" s="1141">
        <f>SUM(ArchetypeDemand!AH56:AH100)*'SHWLP-Apt'!$R$33</f>
        <v>3.6262772201520595E-4</v>
      </c>
    </row>
    <row r="154" spans="3:32" ht="15">
      <c r="C154" s="1137" t="s">
        <v>1198</v>
      </c>
      <c r="D154" s="1137"/>
      <c r="E154" s="1137"/>
      <c r="F154" s="1137"/>
      <c r="G154" s="1137"/>
      <c r="H154" s="1137"/>
      <c r="I154" s="1137"/>
      <c r="J154" s="1137"/>
      <c r="K154" s="1137"/>
      <c r="L154" s="1137"/>
      <c r="M154" s="1137"/>
      <c r="N154" s="1137"/>
      <c r="O154" s="1137"/>
      <c r="P154" s="1137"/>
      <c r="Q154" s="1137"/>
      <c r="R154" s="1137"/>
      <c r="S154" s="1137"/>
      <c r="T154" s="1137"/>
      <c r="U154" s="1137"/>
      <c r="V154" s="1137"/>
      <c r="W154" s="1137"/>
      <c r="X154" s="1137"/>
      <c r="Y154" s="1137"/>
      <c r="Z154" s="1137"/>
      <c r="AA154" s="1137"/>
      <c r="AB154" s="1137"/>
      <c r="AC154" s="1137"/>
      <c r="AD154" s="1137"/>
      <c r="AE154" s="1137"/>
      <c r="AF154" s="1137"/>
    </row>
    <row r="155" spans="3:32">
      <c r="C155" s="1145" t="s">
        <v>1176</v>
      </c>
      <c r="D155" s="1134" t="s">
        <v>1094</v>
      </c>
      <c r="E155" s="1134" t="s">
        <v>830</v>
      </c>
      <c r="F155" s="1134" t="s">
        <v>1165</v>
      </c>
      <c r="G155" s="1134">
        <f>SUMIFS(INDEX(ArchetypeDemand!$I$56:$AH$100,,MATCH(G$129,ArchetypeDemand!$I$4:$AH$4,0)),ArchetypeDemand!$F$56:$F$100,$F155)*'SHWLP-Apt'!$R$8</f>
        <v>2.3512698791233415E-6</v>
      </c>
      <c r="H155" s="1134">
        <f>SUMIFS(INDEX(ArchetypeDemand!$I$56:$AH$100,,MATCH(H$129,ArchetypeDemand!$I$4:$AH$4,0)),ArchetypeDemand!$F$56:$F$100,$F155)*'SHWLP-Apt'!$R$8</f>
        <v>8.2679940675517622E-4</v>
      </c>
      <c r="I155" s="1134">
        <f>SUMIFS(INDEX(ArchetypeDemand!$I$56:$AH$100,,MATCH(I$129,ArchetypeDemand!$I$4:$AH$4,0)),ArchetypeDemand!$F$56:$F$100,$F155)*'SHWLP-Apt'!$R$8</f>
        <v>2.8889139037555223E-5</v>
      </c>
      <c r="J155" s="1134">
        <f>SUMIFS(INDEX(ArchetypeDemand!$I$56:$AH$100,,MATCH(J$129,ArchetypeDemand!$I$4:$AH$4,0)),ArchetypeDemand!$F$56:$F$100,$F155)*'SHWLP-Apt'!$R$8</f>
        <v>7.1162139928907107E-6</v>
      </c>
      <c r="K155" s="1134">
        <f>SUMIFS(INDEX(ArchetypeDemand!$I$56:$AH$100,,MATCH(K$129,ArchetypeDemand!$I$4:$AH$4,0)),ArchetypeDemand!$F$56:$F$100,$F155)*'SHWLP-Apt'!$R$8</f>
        <v>6.5299483066271369E-6</v>
      </c>
      <c r="L155" s="1134">
        <f>SUMIFS(INDEX(ArchetypeDemand!$I$56:$AH$100,,MATCH(L$129,ArchetypeDemand!$I$4:$AH$4,0)),ArchetypeDemand!$F$56:$F$100,$F155)*'SHWLP-Apt'!$R$8</f>
        <v>1.105185192503911E-6</v>
      </c>
      <c r="M155" s="1134">
        <f>SUMIFS(INDEX(ArchetypeDemand!$I$56:$AH$100,,MATCH(M$129,ArchetypeDemand!$I$4:$AH$4,0)),ArchetypeDemand!$F$56:$F$100,$F155)*'SHWLP-Apt'!$R$8</f>
        <v>1.728191777047289E-5</v>
      </c>
      <c r="N155" s="1134">
        <f>SUMIFS(INDEX(ArchetypeDemand!$I$56:$AH$100,,MATCH(N$129,ArchetypeDemand!$I$4:$AH$4,0)),ArchetypeDemand!$F$56:$F$100,$F155)*'SHWLP-Apt'!$R$8</f>
        <v>2.7988199482359563E-5</v>
      </c>
      <c r="O155" s="1134">
        <f>SUMIFS(INDEX(ArchetypeDemand!$I$56:$AH$100,,MATCH(O$129,ArchetypeDemand!$I$4:$AH$4,0)),ArchetypeDemand!$F$56:$F$100,$F155)*'SHWLP-Apt'!$R$8</f>
        <v>2.1846629007619109E-6</v>
      </c>
      <c r="P155" s="1134">
        <f>SUMIFS(INDEX(ArchetypeDemand!$I$56:$AH$100,,MATCH(P$129,ArchetypeDemand!$I$4:$AH$4,0)),ArchetypeDemand!$F$56:$F$100,$F155)*'SHWLP-Apt'!$R$8</f>
        <v>1.0322718892238343E-5</v>
      </c>
      <c r="Q155" s="1134">
        <f>SUMIFS(INDEX(ArchetypeDemand!$I$56:$AH$100,,MATCH(Q$129,ArchetypeDemand!$I$4:$AH$4,0)),ArchetypeDemand!$F$56:$F$100,$F155)*'SHWLP-Apt'!$R$8</f>
        <v>5.3333564417398235E-6</v>
      </c>
      <c r="R155" s="1134">
        <f>SUMIFS(INDEX(ArchetypeDemand!$I$56:$AH$100,,MATCH(R$129,ArchetypeDemand!$I$4:$AH$4,0)),ArchetypeDemand!$F$56:$F$100,$F155)*'SHWLP-Apt'!$R$8</f>
        <v>2.6062261773990782E-5</v>
      </c>
      <c r="S155" s="1134">
        <f>SUMIFS(INDEX(ArchetypeDemand!$I$56:$AH$100,,MATCH(S$129,ArchetypeDemand!$I$4:$AH$4,0)),ArchetypeDemand!$F$56:$F$100,$F155)*'SHWLP-Apt'!$R$8</f>
        <v>5.9078408286456965E-6</v>
      </c>
      <c r="T155" s="1134">
        <f>SUMIFS(INDEX(ArchetypeDemand!$I$56:$AH$100,,MATCH(T$129,ArchetypeDemand!$I$4:$AH$4,0)),ArchetypeDemand!$F$56:$F$100,$F155)*'SHWLP-Apt'!$R$8</f>
        <v>1.152392219065601E-4</v>
      </c>
      <c r="U155" s="1134">
        <f>SUMIFS(INDEX(ArchetypeDemand!$I$56:$AH$100,,MATCH(U$129,ArchetypeDemand!$I$4:$AH$4,0)),ArchetypeDemand!$F$56:$F$100,$F155)*'SHWLP-Apt'!$R$8</f>
        <v>7.7557243311037831E-6</v>
      </c>
      <c r="V155" s="1134">
        <f>SUMIFS(INDEX(ArchetypeDemand!$I$56:$AH$100,,MATCH(V$129,ArchetypeDemand!$I$4:$AH$4,0)),ArchetypeDemand!$F$56:$F$100,$F155)*'SHWLP-Apt'!$R$8</f>
        <v>1.871954964191324E-5</v>
      </c>
      <c r="W155" s="1134">
        <f>SUMIFS(INDEX(ArchetypeDemand!$I$56:$AH$100,,MATCH(W$129,ArchetypeDemand!$I$4:$AH$4,0)),ArchetypeDemand!$F$56:$F$100,$F155)*'SHWLP-Apt'!$R$8</f>
        <v>3.2128948375744662E-6</v>
      </c>
      <c r="X155" s="1134">
        <f>SUMIFS(INDEX(ArchetypeDemand!$I$56:$AH$100,,MATCH(X$129,ArchetypeDemand!$I$4:$AH$4,0)),ArchetypeDemand!$F$56:$F$100,$F155)*'SHWLP-Apt'!$R$8</f>
        <v>7.9702689556934793E-6</v>
      </c>
      <c r="Y155" s="1134">
        <f>SUMIFS(INDEX(ArchetypeDemand!$I$56:$AH$100,,MATCH(Y$129,ArchetypeDemand!$I$4:$AH$4,0)),ArchetypeDemand!$F$56:$F$100,$F155)*'SHWLP-Apt'!$R$8</f>
        <v>2.5117790596541382E-5</v>
      </c>
      <c r="Z155" s="1134">
        <f>SUMIFS(INDEX(ArchetypeDemand!$I$56:$AH$100,,MATCH(Z$129,ArchetypeDemand!$I$4:$AH$4,0)),ArchetypeDemand!$F$56:$F$100,$F155)*'SHWLP-Apt'!$R$8</f>
        <v>4.9977484921808694E-7</v>
      </c>
      <c r="AA155" s="1134">
        <f>SUMIFS(INDEX(ArchetypeDemand!$I$56:$AH$100,,MATCH(AA$129,ArchetypeDemand!$I$4:$AH$4,0)),ArchetypeDemand!$F$56:$F$100,$F155)*'SHWLP-Apt'!$R$8</f>
        <v>4.139424558871979E-6</v>
      </c>
      <c r="AB155" s="1134">
        <f>SUMIFS(INDEX(ArchetypeDemand!$I$56:$AH$100,,MATCH(AB$129,ArchetypeDemand!$I$4:$AH$4,0)),ArchetypeDemand!$F$56:$F$100,$F155)*'SHWLP-Apt'!$R$8</f>
        <v>1.4703727821053769E-6</v>
      </c>
      <c r="AC155" s="1134">
        <f>SUMIFS(INDEX(ArchetypeDemand!$I$56:$AH$100,,MATCH(AC$129,ArchetypeDemand!$I$4:$AH$4,0)),ArchetypeDemand!$F$56:$F$100,$F155)*'SHWLP-Apt'!$R$8</f>
        <v>4.1480401174843051E-6</v>
      </c>
      <c r="AD155" s="1134">
        <f>SUMIFS(INDEX(ArchetypeDemand!$I$56:$AH$100,,MATCH(AD$129,ArchetypeDemand!$I$4:$AH$4,0)),ArchetypeDemand!$F$56:$F$100,$F155)*'SHWLP-Apt'!$R$8</f>
        <v>3.8529818317874891E-6</v>
      </c>
      <c r="AE155" s="1134">
        <f>SUMIFS(INDEX(ArchetypeDemand!$I$56:$AH$100,,MATCH(AE$129,ArchetypeDemand!$I$4:$AH$4,0)),ArchetypeDemand!$F$56:$F$100,$F155)*'SHWLP-Apt'!$R$8</f>
        <v>7.9826891330130758E-6</v>
      </c>
      <c r="AF155" s="1134">
        <f>SUMIFS(INDEX(ArchetypeDemand!$I$56:$AH$100,,MATCH(AF$129,ArchetypeDemand!$I$4:$AH$4,0)),ArchetypeDemand!$F$56:$F$100,$F155)*'SHWLP-Apt'!$R$8</f>
        <v>3.1651511432986597E-6</v>
      </c>
    </row>
    <row r="156" spans="3:32">
      <c r="C156" s="1136" t="s">
        <v>1176</v>
      </c>
      <c r="D156" s="1136" t="s">
        <v>1094</v>
      </c>
      <c r="E156" s="1136" t="s">
        <v>830</v>
      </c>
      <c r="F156" s="1136" t="s">
        <v>1166</v>
      </c>
      <c r="G156" s="1136">
        <f>SUMIFS(INDEX(ArchetypeDemand!$I$56:$AH$100,,MATCH(G$129,ArchetypeDemand!$I$4:$AH$4,0)),ArchetypeDemand!$F$56:$F$100,$F156)*'SHWLP-Apt'!$R$8</f>
        <v>1.0918057262754813E-5</v>
      </c>
      <c r="H156" s="1136">
        <f>SUMIFS(INDEX(ArchetypeDemand!$I$56:$AH$100,,MATCH(H$129,ArchetypeDemand!$I$4:$AH$4,0)),ArchetypeDemand!$F$56:$F$100,$F156)*'SHWLP-Apt'!$R$8</f>
        <v>9.1255161158734386E-4</v>
      </c>
      <c r="I156" s="1136">
        <f>SUMIFS(INDEX(ArchetypeDemand!$I$56:$AH$100,,MATCH(I$129,ArchetypeDemand!$I$4:$AH$4,0)),ArchetypeDemand!$F$56:$F$100,$F156)*'SHWLP-Apt'!$R$8</f>
        <v>6.5458502023604568E-5</v>
      </c>
      <c r="J156" s="1136">
        <f>SUMIFS(INDEX(ArchetypeDemand!$I$56:$AH$100,,MATCH(J$129,ArchetypeDemand!$I$4:$AH$4,0)),ArchetypeDemand!$F$56:$F$100,$F156)*'SHWLP-Apt'!$R$8</f>
        <v>1.6078651239387013E-5</v>
      </c>
      <c r="K156" s="1136">
        <f>SUMIFS(INDEX(ArchetypeDemand!$I$56:$AH$100,,MATCH(K$129,ArchetypeDemand!$I$4:$AH$4,0)),ArchetypeDemand!$F$56:$F$100,$F156)*'SHWLP-Apt'!$R$8</f>
        <v>1.0373997977523775E-5</v>
      </c>
      <c r="L156" s="1136">
        <f>SUMIFS(INDEX(ArchetypeDemand!$I$56:$AH$100,,MATCH(L$129,ArchetypeDemand!$I$4:$AH$4,0)),ArchetypeDemand!$F$56:$F$100,$F156)*'SHWLP-Apt'!$R$8</f>
        <v>4.2291115694092014E-6</v>
      </c>
      <c r="M156" s="1136">
        <f>SUMIFS(INDEX(ArchetypeDemand!$I$56:$AH$100,,MATCH(M$129,ArchetypeDemand!$I$4:$AH$4,0)),ArchetypeDemand!$F$56:$F$100,$F156)*'SHWLP-Apt'!$R$8</f>
        <v>2.6786182469347948E-5</v>
      </c>
      <c r="N156" s="1136">
        <f>SUMIFS(INDEX(ArchetypeDemand!$I$56:$AH$100,,MATCH(N$129,ArchetypeDemand!$I$4:$AH$4,0)),ArchetypeDemand!$F$56:$F$100,$F156)*'SHWLP-Apt'!$R$8</f>
        <v>5.1070014955457809E-5</v>
      </c>
      <c r="O156" s="1136">
        <f>SUMIFS(INDEX(ArchetypeDemand!$I$56:$AH$100,,MATCH(O$129,ArchetypeDemand!$I$4:$AH$4,0)),ArchetypeDemand!$F$56:$F$100,$F156)*'SHWLP-Apt'!$R$8</f>
        <v>7.1601612746648323E-6</v>
      </c>
      <c r="P156" s="1136">
        <f>SUMIFS(INDEX(ArchetypeDemand!$I$56:$AH$100,,MATCH(P$129,ArchetypeDemand!$I$4:$AH$4,0)),ArchetypeDemand!$F$56:$F$100,$F156)*'SHWLP-Apt'!$R$8</f>
        <v>1.9489632145108234E-5</v>
      </c>
      <c r="Q156" s="1136">
        <f>SUMIFS(INDEX(ArchetypeDemand!$I$56:$AH$100,,MATCH(Q$129,ArchetypeDemand!$I$4:$AH$4,0)),ArchetypeDemand!$F$56:$F$100,$F156)*'SHWLP-Apt'!$R$8</f>
        <v>1.6370685898454255E-5</v>
      </c>
      <c r="R156" s="1136">
        <f>SUMIFS(INDEX(ArchetypeDemand!$I$56:$AH$100,,MATCH(R$129,ArchetypeDemand!$I$4:$AH$4,0)),ArchetypeDemand!$F$56:$F$100,$F156)*'SHWLP-Apt'!$R$8</f>
        <v>3.4530385756394252E-5</v>
      </c>
      <c r="S156" s="1136">
        <f>SUMIFS(INDEX(ArchetypeDemand!$I$56:$AH$100,,MATCH(S$129,ArchetypeDemand!$I$4:$AH$4,0)),ArchetypeDemand!$F$56:$F$100,$F156)*'SHWLP-Apt'!$R$8</f>
        <v>1.7055883076829758E-5</v>
      </c>
      <c r="T156" s="1136">
        <f>SUMIFS(INDEX(ArchetypeDemand!$I$56:$AH$100,,MATCH(T$129,ArchetypeDemand!$I$4:$AH$4,0)),ArchetypeDemand!$F$56:$F$100,$F156)*'SHWLP-Apt'!$R$8</f>
        <v>1.2958327884867747E-4</v>
      </c>
      <c r="U156" s="1136">
        <f>SUMIFS(INDEX(ArchetypeDemand!$I$56:$AH$100,,MATCH(U$129,ArchetypeDemand!$I$4:$AH$4,0)),ArchetypeDemand!$F$56:$F$100,$F156)*'SHWLP-Apt'!$R$8</f>
        <v>2.1725508635988555E-5</v>
      </c>
      <c r="V156" s="1136">
        <f>SUMIFS(INDEX(ArchetypeDemand!$I$56:$AH$100,,MATCH(V$129,ArchetypeDemand!$I$4:$AH$4,0)),ArchetypeDemand!$F$56:$F$100,$F156)*'SHWLP-Apt'!$R$8</f>
        <v>7.3051093416259146E-5</v>
      </c>
      <c r="W156" s="1136">
        <f>SUMIFS(INDEX(ArchetypeDemand!$I$56:$AH$100,,MATCH(W$129,ArchetypeDemand!$I$4:$AH$4,0)),ArchetypeDemand!$F$56:$F$100,$F156)*'SHWLP-Apt'!$R$8</f>
        <v>1.0502971635715367E-5</v>
      </c>
      <c r="X156" s="1136">
        <f>SUMIFS(INDEX(ArchetypeDemand!$I$56:$AH$100,,MATCH(X$129,ArchetypeDemand!$I$4:$AH$4,0)),ArchetypeDemand!$F$56:$F$100,$F156)*'SHWLP-Apt'!$R$8</f>
        <v>2.1753212821337464E-5</v>
      </c>
      <c r="Y156" s="1136">
        <f>SUMIFS(INDEX(ArchetypeDemand!$I$56:$AH$100,,MATCH(Y$129,ArchetypeDemand!$I$4:$AH$4,0)),ArchetypeDemand!$F$56:$F$100,$F156)*'SHWLP-Apt'!$R$8</f>
        <v>6.7860513644241077E-5</v>
      </c>
      <c r="Z156" s="1136">
        <f>SUMIFS(INDEX(ArchetypeDemand!$I$56:$AH$100,,MATCH(Z$129,ArchetypeDemand!$I$4:$AH$4,0)),ArchetypeDemand!$F$56:$F$100,$F156)*'SHWLP-Apt'!$R$8</f>
        <v>4.4298225271603158E-6</v>
      </c>
      <c r="AA156" s="1136">
        <f>SUMIFS(INDEX(ArchetypeDemand!$I$56:$AH$100,,MATCH(AA$129,ArchetypeDemand!$I$4:$AH$4,0)),ArchetypeDemand!$F$56:$F$100,$F156)*'SHWLP-Apt'!$R$8</f>
        <v>1.4158479264295722E-5</v>
      </c>
      <c r="AB156" s="1136">
        <f>SUMIFS(INDEX(ArchetypeDemand!$I$56:$AH$100,,MATCH(AB$129,ArchetypeDemand!$I$4:$AH$4,0)),ArchetypeDemand!$F$56:$F$100,$F156)*'SHWLP-Apt'!$R$8</f>
        <v>4.7275680252398448E-6</v>
      </c>
      <c r="AC156" s="1136">
        <f>SUMIFS(INDEX(ArchetypeDemand!$I$56:$AH$100,,MATCH(AC$129,ArchetypeDemand!$I$4:$AH$4,0)),ArchetypeDemand!$F$56:$F$100,$F156)*'SHWLP-Apt'!$R$8</f>
        <v>9.6709818611788472E-6</v>
      </c>
      <c r="AD156" s="1136">
        <f>SUMIFS(INDEX(ArchetypeDemand!$I$56:$AH$100,,MATCH(AD$129,ArchetypeDemand!$I$4:$AH$4,0)),ArchetypeDemand!$F$56:$F$100,$F156)*'SHWLP-Apt'!$R$8</f>
        <v>8.1869493703849736E-6</v>
      </c>
      <c r="AE156" s="1136">
        <f>SUMIFS(INDEX(ArchetypeDemand!$I$56:$AH$100,,MATCH(AE$129,ArchetypeDemand!$I$4:$AH$4,0)),ArchetypeDemand!$F$56:$F$100,$F156)*'SHWLP-Apt'!$R$8</f>
        <v>1.9981169358786392E-5</v>
      </c>
      <c r="AF156" s="1136">
        <f>SUMIFS(INDEX(ArchetypeDemand!$I$56:$AH$100,,MATCH(AF$129,ArchetypeDemand!$I$4:$AH$4,0)),ArchetypeDemand!$F$56:$F$100,$F156)*'SHWLP-Apt'!$R$8</f>
        <v>6.1799264794696382E-6</v>
      </c>
    </row>
    <row r="157" spans="3:32">
      <c r="C157" s="1134" t="s">
        <v>1176</v>
      </c>
      <c r="D157" s="1134" t="s">
        <v>1094</v>
      </c>
      <c r="E157" s="1134" t="s">
        <v>830</v>
      </c>
      <c r="F157" s="1134" t="s">
        <v>1167</v>
      </c>
      <c r="G157" s="1134">
        <f>SUMIFS(INDEX(ArchetypeDemand!$I$56:$AH$100,,MATCH(G$129,ArchetypeDemand!$I$4:$AH$4,0)),ArchetypeDemand!$F$56:$F$100,$F157)*'SHWLP-Apt'!$R$8</f>
        <v>7.7435134390733876E-6</v>
      </c>
      <c r="H157" s="1134">
        <f>SUMIFS(INDEX(ArchetypeDemand!$I$56:$AH$100,,MATCH(H$129,ArchetypeDemand!$I$4:$AH$4,0)),ArchetypeDemand!$F$56:$F$100,$F157)*'SHWLP-Apt'!$R$8</f>
        <v>5.5759877377248713E-4</v>
      </c>
      <c r="I157" s="1134">
        <f>SUMIFS(INDEX(ArchetypeDemand!$I$56:$AH$100,,MATCH(I$129,ArchetypeDemand!$I$4:$AH$4,0)),ArchetypeDemand!$F$56:$F$100,$F157)*'SHWLP-Apt'!$R$8</f>
        <v>3.6771818832737472E-5</v>
      </c>
      <c r="J157" s="1134">
        <f>SUMIFS(INDEX(ArchetypeDemand!$I$56:$AH$100,,MATCH(J$129,ArchetypeDemand!$I$4:$AH$4,0)),ArchetypeDemand!$F$56:$F$100,$F157)*'SHWLP-Apt'!$R$8</f>
        <v>8.002447979236198E-6</v>
      </c>
      <c r="K157" s="1134">
        <f>SUMIFS(INDEX(ArchetypeDemand!$I$56:$AH$100,,MATCH(K$129,ArchetypeDemand!$I$4:$AH$4,0)),ArchetypeDemand!$F$56:$F$100,$F157)*'SHWLP-Apt'!$R$8</f>
        <v>8.6995983039585355E-6</v>
      </c>
      <c r="L157" s="1134">
        <f>SUMIFS(INDEX(ArchetypeDemand!$I$56:$AH$100,,MATCH(L$129,ArchetypeDemand!$I$4:$AH$4,0)),ArchetypeDemand!$F$56:$F$100,$F157)*'SHWLP-Apt'!$R$8</f>
        <v>5.9313954715613311E-6</v>
      </c>
      <c r="M157" s="1134">
        <f>SUMIFS(INDEX(ArchetypeDemand!$I$56:$AH$100,,MATCH(M$129,ArchetypeDemand!$I$4:$AH$4,0)),ArchetypeDemand!$F$56:$F$100,$F157)*'SHWLP-Apt'!$R$8</f>
        <v>1.1523227191694519E-5</v>
      </c>
      <c r="N157" s="1134">
        <f>SUMIFS(INDEX(ArchetypeDemand!$I$56:$AH$100,,MATCH(N$129,ArchetypeDemand!$I$4:$AH$4,0)),ArchetypeDemand!$F$56:$F$100,$F157)*'SHWLP-Apt'!$R$8</f>
        <v>2.5184679631235677E-5</v>
      </c>
      <c r="O157" s="1134">
        <f>SUMIFS(INDEX(ArchetypeDemand!$I$56:$AH$100,,MATCH(O$129,ArchetypeDemand!$I$4:$AH$4,0)),ArchetypeDemand!$F$56:$F$100,$F157)*'SHWLP-Apt'!$R$8</f>
        <v>8.1429285084423579E-6</v>
      </c>
      <c r="P157" s="1134">
        <f>SUMIFS(INDEX(ArchetypeDemand!$I$56:$AH$100,,MATCH(P$129,ArchetypeDemand!$I$4:$AH$4,0)),ArchetypeDemand!$F$56:$F$100,$F157)*'SHWLP-Apt'!$R$8</f>
        <v>1.9519206700715382E-5</v>
      </c>
      <c r="Q157" s="1134">
        <f>SUMIFS(INDEX(ArchetypeDemand!$I$56:$AH$100,,MATCH(Q$129,ArchetypeDemand!$I$4:$AH$4,0)),ArchetypeDemand!$F$56:$F$100,$F157)*'SHWLP-Apt'!$R$8</f>
        <v>1.7903726718376395E-5</v>
      </c>
      <c r="R157" s="1134">
        <f>SUMIFS(INDEX(ArchetypeDemand!$I$56:$AH$100,,MATCH(R$129,ArchetypeDemand!$I$4:$AH$4,0)),ArchetypeDemand!$F$56:$F$100,$F157)*'SHWLP-Apt'!$R$8</f>
        <v>2.1246294700768267E-5</v>
      </c>
      <c r="S157" s="1134">
        <f>SUMIFS(INDEX(ArchetypeDemand!$I$56:$AH$100,,MATCH(S$129,ArchetypeDemand!$I$4:$AH$4,0)),ArchetypeDemand!$F$56:$F$100,$F157)*'SHWLP-Apt'!$R$8</f>
        <v>1.5453316881691395E-5</v>
      </c>
      <c r="T157" s="1134">
        <f>SUMIFS(INDEX(ArchetypeDemand!$I$56:$AH$100,,MATCH(T$129,ArchetypeDemand!$I$4:$AH$4,0)),ArchetypeDemand!$F$56:$F$100,$F157)*'SHWLP-Apt'!$R$8</f>
        <v>7.5809644347319782E-5</v>
      </c>
      <c r="U157" s="1134">
        <f>SUMIFS(INDEX(ArchetypeDemand!$I$56:$AH$100,,MATCH(U$129,ArchetypeDemand!$I$4:$AH$4,0)),ArchetypeDemand!$F$56:$F$100,$F157)*'SHWLP-Apt'!$R$8</f>
        <v>1.9103945334598409E-5</v>
      </c>
      <c r="V157" s="1134">
        <f>SUMIFS(INDEX(ArchetypeDemand!$I$56:$AH$100,,MATCH(V$129,ArchetypeDemand!$I$4:$AH$4,0)),ArchetypeDemand!$F$56:$F$100,$F157)*'SHWLP-Apt'!$R$8</f>
        <v>4.3371461748480423E-5</v>
      </c>
      <c r="W157" s="1134">
        <f>SUMIFS(INDEX(ArchetypeDemand!$I$56:$AH$100,,MATCH(W$129,ArchetypeDemand!$I$4:$AH$4,0)),ArchetypeDemand!$F$56:$F$100,$F157)*'SHWLP-Apt'!$R$8</f>
        <v>1.8005094232654914E-5</v>
      </c>
      <c r="X157" s="1134">
        <f>SUMIFS(INDEX(ArchetypeDemand!$I$56:$AH$100,,MATCH(X$129,ArchetypeDemand!$I$4:$AH$4,0)),ArchetypeDemand!$F$56:$F$100,$F157)*'SHWLP-Apt'!$R$8</f>
        <v>2.2377706969318441E-5</v>
      </c>
      <c r="Y157" s="1134">
        <f>SUMIFS(INDEX(ArchetypeDemand!$I$56:$AH$100,,MATCH(Y$129,ArchetypeDemand!$I$4:$AH$4,0)),ArchetypeDemand!$F$56:$F$100,$F157)*'SHWLP-Apt'!$R$8</f>
        <v>7.0239957884043694E-5</v>
      </c>
      <c r="Z157" s="1134">
        <f>SUMIFS(INDEX(ArchetypeDemand!$I$56:$AH$100,,MATCH(Z$129,ArchetypeDemand!$I$4:$AH$4,0)),ArchetypeDemand!$F$56:$F$100,$F157)*'SHWLP-Apt'!$R$8</f>
        <v>4.5434077201644265E-6</v>
      </c>
      <c r="AA157" s="1134">
        <f>SUMIFS(INDEX(ArchetypeDemand!$I$56:$AH$100,,MATCH(AA$129,ArchetypeDemand!$I$4:$AH$4,0)),ArchetypeDemand!$F$56:$F$100,$F157)*'SHWLP-Apt'!$R$8</f>
        <v>1.6794040339467652E-5</v>
      </c>
      <c r="AB157" s="1134">
        <f>SUMIFS(INDEX(ArchetypeDemand!$I$56:$AH$100,,MATCH(AB$129,ArchetypeDemand!$I$4:$AH$4,0)),ArchetypeDemand!$F$56:$F$100,$F157)*'SHWLP-Apt'!$R$8</f>
        <v>4.4142954452540715E-6</v>
      </c>
      <c r="AC157" s="1134">
        <f>SUMIFS(INDEX(ArchetypeDemand!$I$56:$AH$100,,MATCH(AC$129,ArchetypeDemand!$I$4:$AH$4,0)),ArchetypeDemand!$F$56:$F$100,$F157)*'SHWLP-Apt'!$R$8</f>
        <v>1.2640657099359018E-5</v>
      </c>
      <c r="AD157" s="1134">
        <f>SUMIFS(INDEX(ArchetypeDemand!$I$56:$AH$100,,MATCH(AD$129,ArchetypeDemand!$I$4:$AH$4,0)),ArchetypeDemand!$F$56:$F$100,$F157)*'SHWLP-Apt'!$R$8</f>
        <v>8.5319932135812751E-6</v>
      </c>
      <c r="AE157" s="1134">
        <f>SUMIFS(INDEX(ArchetypeDemand!$I$56:$AH$100,,MATCH(AE$129,ArchetypeDemand!$I$4:$AH$4,0)),ArchetypeDemand!$F$56:$F$100,$F157)*'SHWLP-Apt'!$R$8</f>
        <v>1.2380190175227701E-5</v>
      </c>
      <c r="AF157" s="1134">
        <f>SUMIFS(INDEX(ArchetypeDemand!$I$56:$AH$100,,MATCH(AF$129,ArchetypeDemand!$I$4:$AH$4,0)),ArchetypeDemand!$F$56:$F$100,$F157)*'SHWLP-Apt'!$R$8</f>
        <v>5.0161740904786026E-6</v>
      </c>
    </row>
    <row r="158" spans="3:32">
      <c r="C158" s="1136" t="s">
        <v>1176</v>
      </c>
      <c r="D158" s="1136" t="s">
        <v>1094</v>
      </c>
      <c r="E158" s="1136" t="s">
        <v>830</v>
      </c>
      <c r="F158" s="1136" t="s">
        <v>1168</v>
      </c>
      <c r="G158" s="1136">
        <f>SUMIFS(INDEX(ArchetypeDemand!$I$56:$AH$100,,MATCH(G$129,ArchetypeDemand!$I$4:$AH$4,0)),ArchetypeDemand!$F$56:$F$100,$F158)*'SHWLP-Apt'!$R$8</f>
        <v>4.0052655719345104E-6</v>
      </c>
      <c r="H158" s="1136">
        <f>SUMIFS(INDEX(ArchetypeDemand!$I$56:$AH$100,,MATCH(H$129,ArchetypeDemand!$I$4:$AH$4,0)),ArchetypeDemand!$F$56:$F$100,$F158)*'SHWLP-Apt'!$R$8</f>
        <v>2.6824145623487769E-4</v>
      </c>
      <c r="I158" s="1136">
        <f>SUMIFS(INDEX(ArchetypeDemand!$I$56:$AH$100,,MATCH(I$129,ArchetypeDemand!$I$4:$AH$4,0)),ArchetypeDemand!$F$56:$F$100,$F158)*'SHWLP-Apt'!$R$8</f>
        <v>2.0407193326836337E-5</v>
      </c>
      <c r="J158" s="1136">
        <f>SUMIFS(INDEX(ArchetypeDemand!$I$56:$AH$100,,MATCH(J$129,ArchetypeDemand!$I$4:$AH$4,0)),ArchetypeDemand!$F$56:$F$100,$F158)*'SHWLP-Apt'!$R$8</f>
        <v>3.7246416861882761E-6</v>
      </c>
      <c r="K158" s="1136">
        <f>SUMIFS(INDEX(ArchetypeDemand!$I$56:$AH$100,,MATCH(K$129,ArchetypeDemand!$I$4:$AH$4,0)),ArchetypeDemand!$F$56:$F$100,$F158)*'SHWLP-Apt'!$R$8</f>
        <v>3.385199340034074E-6</v>
      </c>
      <c r="L158" s="1136">
        <f>SUMIFS(INDEX(ArchetypeDemand!$I$56:$AH$100,,MATCH(L$129,ArchetypeDemand!$I$4:$AH$4,0)),ArchetypeDemand!$F$56:$F$100,$F158)*'SHWLP-Apt'!$R$8</f>
        <v>2.5534258532281967E-6</v>
      </c>
      <c r="M158" s="1136">
        <f>SUMIFS(INDEX(ArchetypeDemand!$I$56:$AH$100,,MATCH(M$129,ArchetypeDemand!$I$4:$AH$4,0)),ArchetypeDemand!$F$56:$F$100,$F158)*'SHWLP-Apt'!$R$8</f>
        <v>6.6281359572279823E-6</v>
      </c>
      <c r="N158" s="1136">
        <f>SUMIFS(INDEX(ArchetypeDemand!$I$56:$AH$100,,MATCH(N$129,ArchetypeDemand!$I$4:$AH$4,0)),ArchetypeDemand!$F$56:$F$100,$F158)*'SHWLP-Apt'!$R$8</f>
        <v>1.0509835394796961E-5</v>
      </c>
      <c r="O158" s="1136">
        <f>SUMIFS(INDEX(ArchetypeDemand!$I$56:$AH$100,,MATCH(O$129,ArchetypeDemand!$I$4:$AH$4,0)),ArchetypeDemand!$F$56:$F$100,$F158)*'SHWLP-Apt'!$R$8</f>
        <v>4.4926502115544044E-6</v>
      </c>
      <c r="P158" s="1136">
        <f>SUMIFS(INDEX(ArchetypeDemand!$I$56:$AH$100,,MATCH(P$129,ArchetypeDemand!$I$4:$AH$4,0)),ArchetypeDemand!$F$56:$F$100,$F158)*'SHWLP-Apt'!$R$8</f>
        <v>8.901941237750499E-6</v>
      </c>
      <c r="Q158" s="1136">
        <f>SUMIFS(INDEX(ArchetypeDemand!$I$56:$AH$100,,MATCH(Q$129,ArchetypeDemand!$I$4:$AH$4,0)),ArchetypeDemand!$F$56:$F$100,$F158)*'SHWLP-Apt'!$R$8</f>
        <v>1.1908442083323747E-5</v>
      </c>
      <c r="R158" s="1136">
        <f>SUMIFS(INDEX(ArchetypeDemand!$I$56:$AH$100,,MATCH(R$129,ArchetypeDemand!$I$4:$AH$4,0)),ArchetypeDemand!$F$56:$F$100,$F158)*'SHWLP-Apt'!$R$8</f>
        <v>9.4061265859711951E-6</v>
      </c>
      <c r="S158" s="1136">
        <f>SUMIFS(INDEX(ArchetypeDemand!$I$56:$AH$100,,MATCH(S$129,ArchetypeDemand!$I$4:$AH$4,0)),ArchetypeDemand!$F$56:$F$100,$F158)*'SHWLP-Apt'!$R$8</f>
        <v>1.0159124987037859E-5</v>
      </c>
      <c r="T158" s="1136">
        <f>SUMIFS(INDEX(ArchetypeDemand!$I$56:$AH$100,,MATCH(T$129,ArchetypeDemand!$I$4:$AH$4,0)),ArchetypeDemand!$F$56:$F$100,$F158)*'SHWLP-Apt'!$R$8</f>
        <v>4.3278579075539366E-5</v>
      </c>
      <c r="U158" s="1136">
        <f>SUMIFS(INDEX(ArchetypeDemand!$I$56:$AH$100,,MATCH(U$129,ArchetypeDemand!$I$4:$AH$4,0)),ArchetypeDemand!$F$56:$F$100,$F158)*'SHWLP-Apt'!$R$8</f>
        <v>9.0918046409913604E-6</v>
      </c>
      <c r="V158" s="1136">
        <f>SUMIFS(INDEX(ArchetypeDemand!$I$56:$AH$100,,MATCH(V$129,ArchetypeDemand!$I$4:$AH$4,0)),ArchetypeDemand!$F$56:$F$100,$F158)*'SHWLP-Apt'!$R$8</f>
        <v>1.7807779000667237E-5</v>
      </c>
      <c r="W158" s="1136">
        <f>SUMIFS(INDEX(ArchetypeDemand!$I$56:$AH$100,,MATCH(W$129,ArchetypeDemand!$I$4:$AH$4,0)),ArchetypeDemand!$F$56:$F$100,$F158)*'SHWLP-Apt'!$R$8</f>
        <v>1.0169543964740278E-5</v>
      </c>
      <c r="X158" s="1136">
        <f>SUMIFS(INDEX(ArchetypeDemand!$I$56:$AH$100,,MATCH(X$129,ArchetypeDemand!$I$4:$AH$4,0)),ArchetypeDemand!$F$56:$F$100,$F158)*'SHWLP-Apt'!$R$8</f>
        <v>1.1917429990637032E-5</v>
      </c>
      <c r="Y158" s="1136">
        <f>SUMIFS(INDEX(ArchetypeDemand!$I$56:$AH$100,,MATCH(Y$129,ArchetypeDemand!$I$4:$AH$4,0)),ArchetypeDemand!$F$56:$F$100,$F158)*'SHWLP-Apt'!$R$8</f>
        <v>3.8503734062260637E-5</v>
      </c>
      <c r="Z158" s="1136">
        <f>SUMIFS(INDEX(ArchetypeDemand!$I$56:$AH$100,,MATCH(Z$129,ArchetypeDemand!$I$4:$AH$4,0)),ArchetypeDemand!$F$56:$F$100,$F158)*'SHWLP-Apt'!$R$8</f>
        <v>1.4993245476542607E-6</v>
      </c>
      <c r="AA158" s="1136">
        <f>SUMIFS(INDEX(ArchetypeDemand!$I$56:$AH$100,,MATCH(AA$129,ArchetypeDemand!$I$4:$AH$4,0)),ArchetypeDemand!$F$56:$F$100,$F158)*'SHWLP-Apt'!$R$8</f>
        <v>6.9566553960933526E-6</v>
      </c>
      <c r="AB158" s="1136">
        <f>SUMIFS(INDEX(ArchetypeDemand!$I$56:$AH$100,,MATCH(AB$129,ArchetypeDemand!$I$4:$AH$4,0)),ArchetypeDemand!$F$56:$F$100,$F158)*'SHWLP-Apt'!$R$8</f>
        <v>2.4492219889796786E-6</v>
      </c>
      <c r="AC158" s="1136">
        <f>SUMIFS(INDEX(ArchetypeDemand!$I$56:$AH$100,,MATCH(AC$129,ArchetypeDemand!$I$4:$AH$4,0)),ArchetypeDemand!$F$56:$F$100,$F158)*'SHWLP-Apt'!$R$8</f>
        <v>8.420592287208249E-6</v>
      </c>
      <c r="AD158" s="1136">
        <f>SUMIFS(INDEX(ArchetypeDemand!$I$56:$AH$100,,MATCH(AD$129,ArchetypeDemand!$I$4:$AH$4,0)),ArchetypeDemand!$F$56:$F$100,$F158)*'SHWLP-Apt'!$R$8</f>
        <v>4.2659966067906376E-6</v>
      </c>
      <c r="AE158" s="1136">
        <f>SUMIFS(INDEX(ArchetypeDemand!$I$56:$AH$100,,MATCH(AE$129,ArchetypeDemand!$I$4:$AH$4,0)),ArchetypeDemand!$F$56:$F$100,$F158)*'SHWLP-Apt'!$R$8</f>
        <v>7.3467658329379986E-6</v>
      </c>
      <c r="AF158" s="1136">
        <f>SUMIFS(INDEX(ArchetypeDemand!$I$56:$AH$100,,MATCH(AF$129,ArchetypeDemand!$I$4:$AH$4,0)),ArchetypeDemand!$F$56:$F$100,$F158)*'SHWLP-Apt'!$R$8</f>
        <v>3.4511277742492784E-6</v>
      </c>
    </row>
    <row r="159" spans="3:32">
      <c r="C159" s="1134" t="s">
        <v>1176</v>
      </c>
      <c r="D159" s="1134" t="s">
        <v>1094</v>
      </c>
      <c r="E159" s="1134" t="s">
        <v>830</v>
      </c>
      <c r="F159" s="1134" t="s">
        <v>1169</v>
      </c>
      <c r="G159" s="1134">
        <f>SUMIFS(INDEX(ArchetypeDemand!$I$56:$AH$100,,MATCH(G$129,ArchetypeDemand!$I$4:$AH$4,0)),ArchetypeDemand!$F$56:$F$100,$F159)*'SHWLP-Apt'!$R$8</f>
        <v>1.5427689610414409E-6</v>
      </c>
      <c r="H159" s="1134">
        <f>SUMIFS(INDEX(ArchetypeDemand!$I$56:$AH$100,,MATCH(H$129,ArchetypeDemand!$I$4:$AH$4,0)),ArchetypeDemand!$F$56:$F$100,$F159)*'SHWLP-Apt'!$R$8</f>
        <v>9.201798546757653E-5</v>
      </c>
      <c r="I159" s="1134">
        <f>SUMIFS(INDEX(ArchetypeDemand!$I$56:$AH$100,,MATCH(I$129,ArchetypeDemand!$I$4:$AH$4,0)),ArchetypeDemand!$F$56:$F$100,$F159)*'SHWLP-Apt'!$R$8</f>
        <v>6.6857852423159061E-6</v>
      </c>
      <c r="J159" s="1134">
        <f>SUMIFS(INDEX(ArchetypeDemand!$I$56:$AH$100,,MATCH(J$129,ArchetypeDemand!$I$4:$AH$4,0)),ArchetypeDemand!$F$56:$F$100,$F159)*'SHWLP-Apt'!$R$8</f>
        <v>1.5857385396643155E-6</v>
      </c>
      <c r="K159" s="1134">
        <f>SUMIFS(INDEX(ArchetypeDemand!$I$56:$AH$100,,MATCH(K$129,ArchetypeDemand!$I$4:$AH$4,0)),ArchetypeDemand!$F$56:$F$100,$F159)*'SHWLP-Apt'!$R$8</f>
        <v>1.1647997729149502E-6</v>
      </c>
      <c r="L159" s="1134">
        <f>SUMIFS(INDEX(ArchetypeDemand!$I$56:$AH$100,,MATCH(L$129,ArchetypeDemand!$I$4:$AH$4,0)),ArchetypeDemand!$F$56:$F$100,$F159)*'SHWLP-Apt'!$R$8</f>
        <v>6.6495464927817622E-7</v>
      </c>
      <c r="M159" s="1134">
        <f>SUMIFS(INDEX(ArchetypeDemand!$I$56:$AH$100,,MATCH(M$129,ArchetypeDemand!$I$4:$AH$4,0)),ArchetypeDemand!$F$56:$F$100,$F159)*'SHWLP-Apt'!$R$8</f>
        <v>2.523556350687718E-6</v>
      </c>
      <c r="N159" s="1134">
        <f>SUMIFS(INDEX(ArchetypeDemand!$I$56:$AH$100,,MATCH(N$129,ArchetypeDemand!$I$4:$AH$4,0)),ArchetypeDemand!$F$56:$F$100,$F159)*'SHWLP-Apt'!$R$8</f>
        <v>2.724772139391804E-6</v>
      </c>
      <c r="O159" s="1134">
        <f>SUMIFS(INDEX(ArchetypeDemand!$I$56:$AH$100,,MATCH(O$129,ArchetypeDemand!$I$4:$AH$4,0)),ArchetypeDemand!$F$56:$F$100,$F159)*'SHWLP-Apt'!$R$8</f>
        <v>2.0708309568883582E-6</v>
      </c>
      <c r="P159" s="1134">
        <f>SUMIFS(INDEX(ArchetypeDemand!$I$56:$AH$100,,MATCH(P$129,ArchetypeDemand!$I$4:$AH$4,0)),ArchetypeDemand!$F$56:$F$100,$F159)*'SHWLP-Apt'!$R$8</f>
        <v>3.4010738948216197E-6</v>
      </c>
      <c r="Q159" s="1134">
        <f>SUMIFS(INDEX(ArchetypeDemand!$I$56:$AH$100,,MATCH(Q$129,ArchetypeDemand!$I$4:$AH$4,0)),ArchetypeDemand!$F$56:$F$100,$F159)*'SHWLP-Apt'!$R$8</f>
        <v>3.6135962183878963E-6</v>
      </c>
      <c r="R159" s="1134">
        <f>SUMIFS(INDEX(ArchetypeDemand!$I$56:$AH$100,,MATCH(R$129,ArchetypeDemand!$I$4:$AH$4,0)),ArchetypeDemand!$F$56:$F$100,$F159)*'SHWLP-Apt'!$R$8</f>
        <v>3.382905175656307E-6</v>
      </c>
      <c r="S159" s="1134">
        <f>SUMIFS(INDEX(ArchetypeDemand!$I$56:$AH$100,,MATCH(S$129,ArchetypeDemand!$I$4:$AH$4,0)),ArchetypeDemand!$F$56:$F$100,$F159)*'SHWLP-Apt'!$R$8</f>
        <v>2.7186390810383002E-6</v>
      </c>
      <c r="T159" s="1134">
        <f>SUMIFS(INDEX(ArchetypeDemand!$I$56:$AH$100,,MATCH(T$129,ArchetypeDemand!$I$4:$AH$4,0)),ArchetypeDemand!$F$56:$F$100,$F159)*'SHWLP-Apt'!$R$8</f>
        <v>1.6517991013830858E-5</v>
      </c>
      <c r="U159" s="1134">
        <f>SUMIFS(INDEX(ArchetypeDemand!$I$56:$AH$100,,MATCH(U$129,ArchetypeDemand!$I$4:$AH$4,0)),ArchetypeDemand!$F$56:$F$100,$F159)*'SHWLP-Apt'!$R$8</f>
        <v>2.7610081578470695E-6</v>
      </c>
      <c r="V159" s="1134">
        <f>SUMIFS(INDEX(ArchetypeDemand!$I$56:$AH$100,,MATCH(V$129,ArchetypeDemand!$I$4:$AH$4,0)),ArchetypeDemand!$F$56:$F$100,$F159)*'SHWLP-Apt'!$R$8</f>
        <v>5.9919256385892895E-6</v>
      </c>
      <c r="W159" s="1134">
        <f>SUMIFS(INDEX(ArchetypeDemand!$I$56:$AH$100,,MATCH(W$129,ArchetypeDemand!$I$4:$AH$4,0)),ArchetypeDemand!$F$56:$F$100,$F159)*'SHWLP-Apt'!$R$8</f>
        <v>4.2095243460605249E-6</v>
      </c>
      <c r="X159" s="1134">
        <f>SUMIFS(INDEX(ArchetypeDemand!$I$56:$AH$100,,MATCH(X$129,ArchetypeDemand!$I$4:$AH$4,0)),ArchetypeDemand!$F$56:$F$100,$F159)*'SHWLP-Apt'!$R$8</f>
        <v>3.2525736874009366E-6</v>
      </c>
      <c r="Y159" s="1134">
        <f>SUMIFS(INDEX(ArchetypeDemand!$I$56:$AH$100,,MATCH(Y$129,ArchetypeDemand!$I$4:$AH$4,0)),ArchetypeDemand!$F$56:$F$100,$F159)*'SHWLP-Apt'!$R$8</f>
        <v>1.0506636903024573E-5</v>
      </c>
      <c r="Z159" s="1134">
        <f>SUMIFS(INDEX(ArchetypeDemand!$I$56:$AH$100,,MATCH(Z$129,ArchetypeDemand!$I$4:$AH$4,0)),ArchetypeDemand!$F$56:$F$100,$F159)*'SHWLP-Apt'!$R$8</f>
        <v>5.6792596502055331E-7</v>
      </c>
      <c r="AA159" s="1134">
        <f>SUMIFS(INDEX(ArchetypeDemand!$I$56:$AH$100,,MATCH(AA$129,ArchetypeDemand!$I$4:$AH$4,0)),ArchetypeDemand!$F$56:$F$100,$F159)*'SHWLP-Apt'!$R$8</f>
        <v>2.6662071341855581E-6</v>
      </c>
      <c r="AB159" s="1134">
        <f>SUMIFS(INDEX(ArchetypeDemand!$I$56:$AH$100,,MATCH(AB$129,ArchetypeDemand!$I$4:$AH$4,0)),ArchetypeDemand!$F$56:$F$100,$F159)*'SHWLP-Apt'!$R$8</f>
        <v>7.4046246178455382E-7</v>
      </c>
      <c r="AC159" s="1134">
        <f>SUMIFS(INDEX(ArchetypeDemand!$I$56:$AH$100,,MATCH(AC$129,ArchetypeDemand!$I$4:$AH$4,0)),ArchetypeDemand!$F$56:$F$100,$F159)*'SHWLP-Apt'!$R$8</f>
        <v>1.4457629449035045E-6</v>
      </c>
      <c r="AD159" s="1134">
        <f>SUMIFS(INDEX(ArchetypeDemand!$I$56:$AH$100,,MATCH(AD$129,ArchetypeDemand!$I$4:$AH$4,0)),ArchetypeDemand!$F$56:$F$100,$F159)*'SHWLP-Apt'!$R$8</f>
        <v>1.5683811054377346E-6</v>
      </c>
      <c r="AE159" s="1134">
        <f>SUMIFS(INDEX(ArchetypeDemand!$I$56:$AH$100,,MATCH(AE$129,ArchetypeDemand!$I$4:$AH$4,0)),ArchetypeDemand!$F$56:$F$100,$F159)*'SHWLP-Apt'!$R$8</f>
        <v>2.5167121711448509E-6</v>
      </c>
      <c r="AF159" s="1134">
        <f>SUMIFS(INDEX(ArchetypeDemand!$I$56:$AH$100,,MATCH(AF$129,ArchetypeDemand!$I$4:$AH$4,0)),ArchetypeDemand!$F$56:$F$100,$F159)*'SHWLP-Apt'!$R$8</f>
        <v>1.4446581380578374E-6</v>
      </c>
    </row>
    <row r="160" spans="3:32" ht="13.5" thickBot="1">
      <c r="C160" s="1138" t="s">
        <v>1176</v>
      </c>
      <c r="D160" s="1138" t="s">
        <v>1094</v>
      </c>
      <c r="E160" s="1138" t="s">
        <v>830</v>
      </c>
      <c r="F160" s="1138" t="s">
        <v>1170</v>
      </c>
      <c r="G160" s="1138">
        <f>SUMIFS(INDEX(ArchetypeDemand!$I$56:$AH$100,,MATCH(G$129,ArchetypeDemand!$I$4:$AH$4,0)),ArchetypeDemand!$F$56:$F$100,$F160)*'SHWLP-Apt'!$R$8</f>
        <v>1.7504493981047122E-6</v>
      </c>
      <c r="H160" s="1138">
        <f>SUMIFS(INDEX(ArchetypeDemand!$I$56:$AH$100,,MATCH(H$129,ArchetypeDemand!$I$4:$AH$4,0)),ArchetypeDemand!$F$56:$F$100,$F160)*'SHWLP-Apt'!$R$8</f>
        <v>8.7264152818270418E-5</v>
      </c>
      <c r="I160" s="1138">
        <f>SUMIFS(INDEX(ArchetypeDemand!$I$56:$AH$100,,MATCH(I$129,ArchetypeDemand!$I$4:$AH$4,0)),ArchetypeDemand!$F$56:$F$100,$F160)*'SHWLP-Apt'!$R$8</f>
        <v>5.6751432870821055E-6</v>
      </c>
      <c r="J160" s="1138">
        <f>SUMIFS(INDEX(ArchetypeDemand!$I$56:$AH$100,,MATCH(J$129,ArchetypeDemand!$I$4:$AH$4,0)),ArchetypeDemand!$F$56:$F$100,$F160)*'SHWLP-Apt'!$R$8</f>
        <v>2.4708019106397475E-6</v>
      </c>
      <c r="K160" s="1138">
        <f>SUMIFS(INDEX(ArchetypeDemand!$I$56:$AH$100,,MATCH(K$129,ArchetypeDemand!$I$4:$AH$4,0)),ArchetypeDemand!$F$56:$F$100,$F160)*'SHWLP-Apt'!$R$8</f>
        <v>1.7835996522760173E-6</v>
      </c>
      <c r="L160" s="1138">
        <f>SUMIFS(INDEX(ArchetypeDemand!$I$56:$AH$100,,MATCH(L$129,ArchetypeDemand!$I$4:$AH$4,0)),ArchetypeDemand!$F$56:$F$100,$F160)*'SHWLP-Apt'!$R$8</f>
        <v>9.0433832301831959E-7</v>
      </c>
      <c r="M160" s="1138">
        <f>SUMIFS(INDEX(ArchetypeDemand!$I$56:$AH$100,,MATCH(M$129,ArchetypeDemand!$I$4:$AH$4,0)),ArchetypeDemand!$F$56:$F$100,$F160)*'SHWLP-Apt'!$R$8</f>
        <v>2.8884078712690749E-6</v>
      </c>
      <c r="N160" s="1138">
        <f>SUMIFS(INDEX(ArchetypeDemand!$I$56:$AH$100,,MATCH(N$129,ArchetypeDemand!$I$4:$AH$4,0)),ArchetypeDemand!$F$56:$F$100,$F160)*'SHWLP-Apt'!$R$8</f>
        <v>2.9583240370539585E-6</v>
      </c>
      <c r="O160" s="1138">
        <f>SUMIFS(INDEX(ArchetypeDemand!$I$56:$AH$100,,MATCH(O$129,ArchetypeDemand!$I$4:$AH$4,0)),ArchetypeDemand!$F$56:$F$100,$F160)*'SHWLP-Apt'!$R$8</f>
        <v>2.1059297866661269E-6</v>
      </c>
      <c r="P160" s="1138">
        <f>SUMIFS(INDEX(ArchetypeDemand!$I$56:$AH$100,,MATCH(P$129,ArchetypeDemand!$I$4:$AH$4,0)),ArchetypeDemand!$F$56:$F$100,$F160)*'SHWLP-Apt'!$R$8</f>
        <v>2.6617100046430066E-6</v>
      </c>
      <c r="Q160" s="1138">
        <f>SUMIFS(INDEX(ArchetypeDemand!$I$56:$AH$100,,MATCH(Q$129,ArchetypeDemand!$I$4:$AH$4,0)),ArchetypeDemand!$F$56:$F$100,$F160)*'SHWLP-Apt'!$R$8</f>
        <v>4.2706137126402409E-6</v>
      </c>
      <c r="R160" s="1138">
        <f>SUMIFS(INDEX(ArchetypeDemand!$I$56:$AH$100,,MATCH(R$129,ArchetypeDemand!$I$4:$AH$4,0)),ArchetypeDemand!$F$56:$F$100,$F160)*'SHWLP-Apt'!$R$8</f>
        <v>5.8169467044821855E-6</v>
      </c>
      <c r="S160" s="1138">
        <f>SUMIFS(INDEX(ArchetypeDemand!$I$56:$AH$100,,MATCH(S$129,ArchetypeDemand!$I$4:$AH$4,0)),ArchetypeDemand!$F$56:$F$100,$F160)*'SHWLP-Apt'!$R$8</f>
        <v>4.1495017552689842E-6</v>
      </c>
      <c r="T160" s="1138">
        <f>SUMIFS(INDEX(ArchetypeDemand!$I$56:$AH$100,,MATCH(T$129,ArchetypeDemand!$I$4:$AH$4,0)),ArchetypeDemand!$F$56:$F$100,$F160)*'SHWLP-Apt'!$R$8</f>
        <v>2.3839283974109598E-5</v>
      </c>
      <c r="U160" s="1138">
        <f>SUMIFS(INDEX(ArchetypeDemand!$I$56:$AH$100,,MATCH(U$129,ArchetypeDemand!$I$4:$AH$4,0)),ArchetypeDemand!$F$56:$F$100,$F160)*'SHWLP-Apt'!$R$8</f>
        <v>4.2391236362904497E-6</v>
      </c>
      <c r="V160" s="1138">
        <f>SUMIFS(INDEX(ArchetypeDemand!$I$56:$AH$100,,MATCH(V$129,ArchetypeDemand!$I$4:$AH$4,0)),ArchetypeDemand!$F$56:$F$100,$F160)*'SHWLP-Apt'!$R$8</f>
        <v>7.1119117392601856E-6</v>
      </c>
      <c r="W160" s="1138">
        <f>SUMIFS(INDEX(ArchetypeDemand!$I$56:$AH$100,,MATCH(W$129,ArchetypeDemand!$I$4:$AH$4,0)),ArchetypeDemand!$F$56:$F$100,$F160)*'SHWLP-Apt'!$R$8</f>
        <v>6.9186241727331394E-6</v>
      </c>
      <c r="X160" s="1138">
        <f>SUMIFS(INDEX(ArchetypeDemand!$I$56:$AH$100,,MATCH(X$129,ArchetypeDemand!$I$4:$AH$4,0)),ArchetypeDemand!$F$56:$F$100,$F160)*'SHWLP-Apt'!$R$8</f>
        <v>3.9291090143803314E-6</v>
      </c>
      <c r="Y160" s="1138">
        <f>SUMIFS(INDEX(ArchetypeDemand!$I$56:$AH$100,,MATCH(Y$129,ArchetypeDemand!$I$4:$AH$4,0)),ArchetypeDemand!$F$56:$F$100,$F160)*'SHWLP-Apt'!$R$8</f>
        <v>7.6945664378032897E-6</v>
      </c>
      <c r="Z160" s="1138">
        <f>SUMIFS(INDEX(ArchetypeDemand!$I$56:$AH$100,,MATCH(Z$129,ArchetypeDemand!$I$4:$AH$4,0)),ArchetypeDemand!$F$56:$F$100,$F160)*'SHWLP-Apt'!$R$8</f>
        <v>5.4520892641973115E-7</v>
      </c>
      <c r="AA160" s="1138">
        <f>SUMIFS(INDEX(ArchetypeDemand!$I$56:$AH$100,,MATCH(AA$129,ArchetypeDemand!$I$4:$AH$4,0)),ArchetypeDemand!$F$56:$F$100,$F160)*'SHWLP-Apt'!$R$8</f>
        <v>2.9420216653082019E-6</v>
      </c>
      <c r="AB160" s="1138">
        <f>SUMIFS(INDEX(ArchetypeDemand!$I$56:$AH$100,,MATCH(AB$129,ArchetypeDemand!$I$4:$AH$4,0)),ArchetypeDemand!$F$56:$F$100,$F160)*'SHWLP-Apt'!$R$8</f>
        <v>1.2530903199430912E-6</v>
      </c>
      <c r="AC160" s="1138">
        <f>SUMIFS(INDEX(ArchetypeDemand!$I$56:$AH$100,,MATCH(AC$129,ArchetypeDemand!$I$4:$AH$4,0)),ArchetypeDemand!$F$56:$F$100,$F160)*'SHWLP-Apt'!$R$8</f>
        <v>9.7686685466453012E-7</v>
      </c>
      <c r="AD160" s="1138">
        <f>SUMIFS(INDEX(ArchetypeDemand!$I$56:$AH$100,,MATCH(AD$129,ArchetypeDemand!$I$4:$AH$4,0)),ArchetypeDemand!$F$56:$F$100,$F160)*'SHWLP-Apt'!$R$8</f>
        <v>1.8820573265252813E-6</v>
      </c>
      <c r="AE160" s="1138">
        <f>SUMIFS(INDEX(ArchetypeDemand!$I$56:$AH$100,,MATCH(AE$129,ArchetypeDemand!$I$4:$AH$4,0)),ArchetypeDemand!$F$56:$F$100,$F160)*'SHWLP-Apt'!$R$8</f>
        <v>3.0505602074483039E-6</v>
      </c>
      <c r="AF160" s="1138">
        <f>SUMIFS(INDEX(ArchetypeDemand!$I$56:$AH$100,,MATCH(AF$129,ArchetypeDemand!$I$4:$AH$4,0)),ArchetypeDemand!$F$56:$F$100,$F160)*'SHWLP-Apt'!$R$8</f>
        <v>3.6116453451445944E-6</v>
      </c>
    </row>
    <row r="161" spans="3:32" ht="13.5" thickBot="1">
      <c r="C161" s="1141" t="s">
        <v>1177</v>
      </c>
      <c r="D161" s="1141" t="s">
        <v>1094</v>
      </c>
      <c r="E161" s="1141" t="s">
        <v>830</v>
      </c>
      <c r="F161" s="1141" t="s">
        <v>934</v>
      </c>
      <c r="G161" s="1141">
        <f>SUM(ArchetypeDemand!I56:I100)*'SHWLP-Apt'!$R$34</f>
        <v>3.7927948626981063E-5</v>
      </c>
      <c r="H161" s="1141">
        <f>SUM(ArchetypeDemand!J56:J100)*'SHWLP-Apt'!$R$34</f>
        <v>3.6766999570153618E-3</v>
      </c>
      <c r="I161" s="1141">
        <f>SUM(ArchetypeDemand!K56:K100)*'SHWLP-Apt'!$R$34</f>
        <v>2.1955595113811816E-4</v>
      </c>
      <c r="J161" s="1141">
        <f>SUM(ArchetypeDemand!L56:L100)*'SHWLP-Apt'!$R$34</f>
        <v>5.2218481282565851E-5</v>
      </c>
      <c r="K161" s="1141">
        <f>SUM(ArchetypeDemand!M56:M100)*'SHWLP-Apt'!$R$34</f>
        <v>4.2785364276510545E-5</v>
      </c>
      <c r="L161" s="1141">
        <f>SUM(ArchetypeDemand!N56:N100)*'SHWLP-Apt'!$R$34</f>
        <v>2.061545597587767E-5</v>
      </c>
      <c r="M161" s="1141">
        <f>SUM(ArchetypeDemand!O56:O100)*'SHWLP-Apt'!$R$34</f>
        <v>9.060407297079499E-5</v>
      </c>
      <c r="N161" s="1141">
        <f>SUM(ArchetypeDemand!P56:P100)*'SHWLP-Apt'!$R$34</f>
        <v>1.6134475820062225E-4</v>
      </c>
      <c r="O161" s="1141">
        <f>SUM(ArchetypeDemand!Q56:Q100)*'SHWLP-Apt'!$R$34</f>
        <v>3.50420750645227E-5</v>
      </c>
      <c r="P161" s="1141">
        <f>SUM(ArchetypeDemand!R56:R100)*'SHWLP-Apt'!$R$34</f>
        <v>8.6136065896985653E-5</v>
      </c>
      <c r="Q161" s="1141">
        <f>SUM(ArchetypeDemand!S56:S100)*'SHWLP-Apt'!$R$34</f>
        <v>7.9577206566840524E-5</v>
      </c>
      <c r="R161" s="1141">
        <f>SUM(ArchetypeDemand!T56:T100)*'SHWLP-Apt'!$R$34</f>
        <v>1.3456346030112022E-4</v>
      </c>
      <c r="S161" s="1141">
        <f>SUM(ArchetypeDemand!U56:U100)*'SHWLP-Apt'!$R$34</f>
        <v>7.4277302423218162E-5</v>
      </c>
      <c r="T161" s="1141">
        <f>SUM(ArchetypeDemand!V56:V100)*'SHWLP-Apt'!$R$34</f>
        <v>5.4158737424613913E-4</v>
      </c>
      <c r="U161" s="1141">
        <f>SUM(ArchetypeDemand!W56:W100)*'SHWLP-Apt'!$R$34</f>
        <v>8.6646256484288069E-5</v>
      </c>
      <c r="V161" s="1141">
        <f>SUM(ArchetypeDemand!X56:X100)*'SHWLP-Apt'!$R$34</f>
        <v>2.224578720700081E-4</v>
      </c>
      <c r="W161" s="1141">
        <f>SUM(ArchetypeDemand!Y56:Y100)*'SHWLP-Apt'!$R$34</f>
        <v>7.1027717321655264E-5</v>
      </c>
      <c r="X161" s="1141">
        <f>SUM(ArchetypeDemand!Z56:Z100)*'SHWLP-Apt'!$R$34</f>
        <v>9.5385200860081696E-5</v>
      </c>
      <c r="Y161" s="1141">
        <f>SUM(ArchetypeDemand!AA56:AA100)*'SHWLP-Apt'!$R$34</f>
        <v>2.9462541782639167E-4</v>
      </c>
      <c r="Z161" s="1141">
        <f>SUM(ArchetypeDemand!AB56:AB100)*'SHWLP-Apt'!$R$34</f>
        <v>1.6190584013335277E-5</v>
      </c>
      <c r="AA161" s="1141">
        <f>SUM(ArchetypeDemand!AC56:AC100)*'SHWLP-Apt'!$R$34</f>
        <v>6.3844619382866523E-5</v>
      </c>
      <c r="AB161" s="1141">
        <f>SUM(ArchetypeDemand!AD56:AD100)*'SHWLP-Apt'!$R$34</f>
        <v>2.0168808577921941E-5</v>
      </c>
      <c r="AC161" s="1141">
        <f>SUM(ArchetypeDemand!AE56:AE100)*'SHWLP-Apt'!$R$34</f>
        <v>4.9973731127080736E-5</v>
      </c>
      <c r="AD161" s="1141">
        <f>SUM(ArchetypeDemand!AF56:AF100)*'SHWLP-Apt'!$R$34</f>
        <v>3.7897182933851904E-5</v>
      </c>
      <c r="AE161" s="1141">
        <f>SUM(ArchetypeDemand!AG56:AG100)*'SHWLP-Apt'!$R$34</f>
        <v>7.1348480437316675E-5</v>
      </c>
      <c r="AF161" s="1141">
        <f>SUM(ArchetypeDemand!AH56:AH100)*'SHWLP-Apt'!$R$34</f>
        <v>3.0636582633594124E-5</v>
      </c>
    </row>
    <row r="162" spans="3:32" ht="15">
      <c r="C162" s="1137" t="s">
        <v>1199</v>
      </c>
      <c r="D162" s="1137"/>
      <c r="E162" s="1137"/>
      <c r="F162" s="1137"/>
      <c r="G162" s="1137"/>
      <c r="H162" s="1137"/>
      <c r="I162" s="1137"/>
      <c r="J162" s="1137"/>
      <c r="K162" s="1137"/>
      <c r="L162" s="1137"/>
      <c r="M162" s="1137"/>
      <c r="N162" s="1137"/>
      <c r="O162" s="1137"/>
      <c r="P162" s="1137"/>
      <c r="Q162" s="1137"/>
      <c r="R162" s="1137"/>
      <c r="S162" s="1137"/>
      <c r="T162" s="1137"/>
      <c r="U162" s="1137"/>
      <c r="V162" s="1137"/>
      <c r="W162" s="1137"/>
      <c r="X162" s="1137"/>
      <c r="Y162" s="1137"/>
      <c r="Z162" s="1137"/>
      <c r="AA162" s="1137"/>
      <c r="AB162" s="1137"/>
      <c r="AC162" s="1137"/>
      <c r="AD162" s="1137"/>
      <c r="AE162" s="1137"/>
      <c r="AF162" s="1137"/>
    </row>
    <row r="163" spans="3:32">
      <c r="C163" s="1145" t="s">
        <v>1178</v>
      </c>
      <c r="D163" s="1134" t="s">
        <v>1094</v>
      </c>
      <c r="E163" s="1134" t="s">
        <v>832</v>
      </c>
      <c r="F163" s="1134" t="s">
        <v>1165</v>
      </c>
      <c r="G163" s="1134">
        <f>SUMIFS(INDEX(ArchetypeDemand!$I$56:$AH$100,,MATCH(G$129,ArchetypeDemand!$I$4:$AH$4,0)),ArchetypeDemand!$F$56:$F$100,$F163)*'SHWLP-Apt'!$R$9</f>
        <v>7.8375662637444713E-7</v>
      </c>
      <c r="H163" s="1134">
        <f>SUMIFS(INDEX(ArchetypeDemand!$I$56:$AH$100,,MATCH(H$129,ArchetypeDemand!$I$4:$AH$4,0)),ArchetypeDemand!$F$56:$F$100,$F163)*'SHWLP-Apt'!$R$9</f>
        <v>2.7559980225172541E-4</v>
      </c>
      <c r="I163" s="1134">
        <f>SUMIFS(INDEX(ArchetypeDemand!$I$56:$AH$100,,MATCH(I$129,ArchetypeDemand!$I$4:$AH$4,0)),ArchetypeDemand!$F$56:$F$100,$F163)*'SHWLP-Apt'!$R$9</f>
        <v>9.6297130125184075E-6</v>
      </c>
      <c r="J163" s="1134">
        <f>SUMIFS(INDEX(ArchetypeDemand!$I$56:$AH$100,,MATCH(J$129,ArchetypeDemand!$I$4:$AH$4,0)),ArchetypeDemand!$F$56:$F$100,$F163)*'SHWLP-Apt'!$R$9</f>
        <v>2.3720713309635704E-6</v>
      </c>
      <c r="K163" s="1134">
        <f>SUMIFS(INDEX(ArchetypeDemand!$I$56:$AH$100,,MATCH(K$129,ArchetypeDemand!$I$4:$AH$4,0)),ArchetypeDemand!$F$56:$F$100,$F163)*'SHWLP-Apt'!$R$9</f>
        <v>2.1766494355423792E-6</v>
      </c>
      <c r="L163" s="1134">
        <f>SUMIFS(INDEX(ArchetypeDemand!$I$56:$AH$100,,MATCH(L$129,ArchetypeDemand!$I$4:$AH$4,0)),ArchetypeDemand!$F$56:$F$100,$F163)*'SHWLP-Apt'!$R$9</f>
        <v>3.6839506416797037E-7</v>
      </c>
      <c r="M163" s="1134">
        <f>SUMIFS(INDEX(ArchetypeDemand!$I$56:$AH$100,,MATCH(M$129,ArchetypeDemand!$I$4:$AH$4,0)),ArchetypeDemand!$F$56:$F$100,$F163)*'SHWLP-Apt'!$R$9</f>
        <v>5.7606392568242965E-6</v>
      </c>
      <c r="N163" s="1134">
        <f>SUMIFS(INDEX(ArchetypeDemand!$I$56:$AH$100,,MATCH(N$129,ArchetypeDemand!$I$4:$AH$4,0)),ArchetypeDemand!$F$56:$F$100,$F163)*'SHWLP-Apt'!$R$9</f>
        <v>9.3293998274531875E-6</v>
      </c>
      <c r="O163" s="1134">
        <f>SUMIFS(INDEX(ArchetypeDemand!$I$56:$AH$100,,MATCH(O$129,ArchetypeDemand!$I$4:$AH$4,0)),ArchetypeDemand!$F$56:$F$100,$F163)*'SHWLP-Apt'!$R$9</f>
        <v>7.2822096692063694E-7</v>
      </c>
      <c r="P163" s="1134">
        <f>SUMIFS(INDEX(ArchetypeDemand!$I$56:$AH$100,,MATCH(P$129,ArchetypeDemand!$I$4:$AH$4,0)),ArchetypeDemand!$F$56:$F$100,$F163)*'SHWLP-Apt'!$R$9</f>
        <v>3.4409062974127814E-6</v>
      </c>
      <c r="Q163" s="1134">
        <f>SUMIFS(INDEX(ArchetypeDemand!$I$56:$AH$100,,MATCH(Q$129,ArchetypeDemand!$I$4:$AH$4,0)),ArchetypeDemand!$F$56:$F$100,$F163)*'SHWLP-Apt'!$R$9</f>
        <v>1.7777854805799412E-6</v>
      </c>
      <c r="R163" s="1134">
        <f>SUMIFS(INDEX(ArchetypeDemand!$I$56:$AH$100,,MATCH(R$129,ArchetypeDemand!$I$4:$AH$4,0)),ArchetypeDemand!$F$56:$F$100,$F163)*'SHWLP-Apt'!$R$9</f>
        <v>8.6874205913302606E-6</v>
      </c>
      <c r="S163" s="1134">
        <f>SUMIFS(INDEX(ArchetypeDemand!$I$56:$AH$100,,MATCH(S$129,ArchetypeDemand!$I$4:$AH$4,0)),ArchetypeDemand!$F$56:$F$100,$F163)*'SHWLP-Apt'!$R$9</f>
        <v>1.9692802762152323E-6</v>
      </c>
      <c r="T163" s="1134">
        <f>SUMIFS(INDEX(ArchetypeDemand!$I$56:$AH$100,,MATCH(T$129,ArchetypeDemand!$I$4:$AH$4,0)),ArchetypeDemand!$F$56:$F$100,$F163)*'SHWLP-Apt'!$R$9</f>
        <v>3.8413073968853367E-5</v>
      </c>
      <c r="U163" s="1134">
        <f>SUMIFS(INDEX(ArchetypeDemand!$I$56:$AH$100,,MATCH(U$129,ArchetypeDemand!$I$4:$AH$4,0)),ArchetypeDemand!$F$56:$F$100,$F163)*'SHWLP-Apt'!$R$9</f>
        <v>2.585241443701261E-6</v>
      </c>
      <c r="V163" s="1134">
        <f>SUMIFS(INDEX(ArchetypeDemand!$I$56:$AH$100,,MATCH(V$129,ArchetypeDemand!$I$4:$AH$4,0)),ArchetypeDemand!$F$56:$F$100,$F163)*'SHWLP-Apt'!$R$9</f>
        <v>6.2398498806377468E-6</v>
      </c>
      <c r="W163" s="1134">
        <f>SUMIFS(INDEX(ArchetypeDemand!$I$56:$AH$100,,MATCH(W$129,ArchetypeDemand!$I$4:$AH$4,0)),ArchetypeDemand!$F$56:$F$100,$F163)*'SHWLP-Apt'!$R$9</f>
        <v>1.0709649458581555E-6</v>
      </c>
      <c r="X163" s="1134">
        <f>SUMIFS(INDEX(ArchetypeDemand!$I$56:$AH$100,,MATCH(X$129,ArchetypeDemand!$I$4:$AH$4,0)),ArchetypeDemand!$F$56:$F$100,$F163)*'SHWLP-Apt'!$R$9</f>
        <v>2.6567563185644931E-6</v>
      </c>
      <c r="Y163" s="1134">
        <f>SUMIFS(INDEX(ArchetypeDemand!$I$56:$AH$100,,MATCH(Y$129,ArchetypeDemand!$I$4:$AH$4,0)),ArchetypeDemand!$F$56:$F$100,$F163)*'SHWLP-Apt'!$R$9</f>
        <v>8.3725968655137942E-6</v>
      </c>
      <c r="Z163" s="1134">
        <f>SUMIFS(INDEX(ArchetypeDemand!$I$56:$AH$100,,MATCH(Z$129,ArchetypeDemand!$I$4:$AH$4,0)),ArchetypeDemand!$F$56:$F$100,$F163)*'SHWLP-Apt'!$R$9</f>
        <v>1.6659161640602897E-7</v>
      </c>
      <c r="AA163" s="1134">
        <f>SUMIFS(INDEX(ArchetypeDemand!$I$56:$AH$100,,MATCH(AA$129,ArchetypeDemand!$I$4:$AH$4,0)),ArchetypeDemand!$F$56:$F$100,$F163)*'SHWLP-Apt'!$R$9</f>
        <v>1.3798081862906597E-6</v>
      </c>
      <c r="AB163" s="1134">
        <f>SUMIFS(INDEX(ArchetypeDemand!$I$56:$AH$100,,MATCH(AB$129,ArchetypeDemand!$I$4:$AH$4,0)),ArchetypeDemand!$F$56:$F$100,$F163)*'SHWLP-Apt'!$R$9</f>
        <v>4.9012426070179241E-7</v>
      </c>
      <c r="AC163" s="1134">
        <f>SUMIFS(INDEX(ArchetypeDemand!$I$56:$AH$100,,MATCH(AC$129,ArchetypeDemand!$I$4:$AH$4,0)),ArchetypeDemand!$F$56:$F$100,$F163)*'SHWLP-Apt'!$R$9</f>
        <v>1.382680039161435E-6</v>
      </c>
      <c r="AD163" s="1134">
        <f>SUMIFS(INDEX(ArchetypeDemand!$I$56:$AH$100,,MATCH(AD$129,ArchetypeDemand!$I$4:$AH$4,0)),ArchetypeDemand!$F$56:$F$100,$F163)*'SHWLP-Apt'!$R$9</f>
        <v>1.2843272772624962E-6</v>
      </c>
      <c r="AE163" s="1134">
        <f>SUMIFS(INDEX(ArchetypeDemand!$I$56:$AH$100,,MATCH(AE$129,ArchetypeDemand!$I$4:$AH$4,0)),ArchetypeDemand!$F$56:$F$100,$F163)*'SHWLP-Apt'!$R$9</f>
        <v>2.6608963776710255E-6</v>
      </c>
      <c r="AF163" s="1134">
        <f>SUMIFS(INDEX(ArchetypeDemand!$I$56:$AH$100,,MATCH(AF$129,ArchetypeDemand!$I$4:$AH$4,0)),ArchetypeDemand!$F$56:$F$100,$F163)*'SHWLP-Apt'!$R$9</f>
        <v>1.0550503810995532E-6</v>
      </c>
    </row>
    <row r="164" spans="3:32">
      <c r="C164" s="1136" t="s">
        <v>1178</v>
      </c>
      <c r="D164" s="1136" t="s">
        <v>1094</v>
      </c>
      <c r="E164" s="1136" t="s">
        <v>832</v>
      </c>
      <c r="F164" s="1136" t="s">
        <v>1166</v>
      </c>
      <c r="G164" s="1136">
        <f>SUMIFS(INDEX(ArchetypeDemand!$I$56:$AH$100,,MATCH(G$129,ArchetypeDemand!$I$4:$AH$4,0)),ArchetypeDemand!$F$56:$F$100,$F164)*'SHWLP-Apt'!$R$9</f>
        <v>3.6393524209182714E-6</v>
      </c>
      <c r="H164" s="1136">
        <f>SUMIFS(INDEX(ArchetypeDemand!$I$56:$AH$100,,MATCH(H$129,ArchetypeDemand!$I$4:$AH$4,0)),ArchetypeDemand!$F$56:$F$100,$F164)*'SHWLP-Apt'!$R$9</f>
        <v>3.0418387052911464E-4</v>
      </c>
      <c r="I164" s="1136">
        <f>SUMIFS(INDEX(ArchetypeDemand!$I$56:$AH$100,,MATCH(I$129,ArchetypeDemand!$I$4:$AH$4,0)),ArchetypeDemand!$F$56:$F$100,$F164)*'SHWLP-Apt'!$R$9</f>
        <v>2.1819500674534857E-5</v>
      </c>
      <c r="J164" s="1136">
        <f>SUMIFS(INDEX(ArchetypeDemand!$I$56:$AH$100,,MATCH(J$129,ArchetypeDemand!$I$4:$AH$4,0)),ArchetypeDemand!$F$56:$F$100,$F164)*'SHWLP-Apt'!$R$9</f>
        <v>5.3595504131290047E-6</v>
      </c>
      <c r="K164" s="1136">
        <f>SUMIFS(INDEX(ArchetypeDemand!$I$56:$AH$100,,MATCH(K$129,ArchetypeDemand!$I$4:$AH$4,0)),ArchetypeDemand!$F$56:$F$100,$F164)*'SHWLP-Apt'!$R$9</f>
        <v>3.4579993258412585E-6</v>
      </c>
      <c r="L164" s="1136">
        <f>SUMIFS(INDEX(ArchetypeDemand!$I$56:$AH$100,,MATCH(L$129,ArchetypeDemand!$I$4:$AH$4,0)),ArchetypeDemand!$F$56:$F$100,$F164)*'SHWLP-Apt'!$R$9</f>
        <v>1.4097038564697338E-6</v>
      </c>
      <c r="M164" s="1136">
        <f>SUMIFS(INDEX(ArchetypeDemand!$I$56:$AH$100,,MATCH(M$129,ArchetypeDemand!$I$4:$AH$4,0)),ArchetypeDemand!$F$56:$F$100,$F164)*'SHWLP-Apt'!$R$9</f>
        <v>8.9287274897826498E-6</v>
      </c>
      <c r="N164" s="1136">
        <f>SUMIFS(INDEX(ArchetypeDemand!$I$56:$AH$100,,MATCH(N$129,ArchetypeDemand!$I$4:$AH$4,0)),ArchetypeDemand!$F$56:$F$100,$F164)*'SHWLP-Apt'!$R$9</f>
        <v>1.7023338318485937E-5</v>
      </c>
      <c r="O164" s="1136">
        <f>SUMIFS(INDEX(ArchetypeDemand!$I$56:$AH$100,,MATCH(O$129,ArchetypeDemand!$I$4:$AH$4,0)),ArchetypeDemand!$F$56:$F$100,$F164)*'SHWLP-Apt'!$R$9</f>
        <v>2.3867204248882774E-6</v>
      </c>
      <c r="P164" s="1136">
        <f>SUMIFS(INDEX(ArchetypeDemand!$I$56:$AH$100,,MATCH(P$129,ArchetypeDemand!$I$4:$AH$4,0)),ArchetypeDemand!$F$56:$F$100,$F164)*'SHWLP-Apt'!$R$9</f>
        <v>6.4965440483694123E-6</v>
      </c>
      <c r="Q164" s="1136">
        <f>SUMIFS(INDEX(ArchetypeDemand!$I$56:$AH$100,,MATCH(Q$129,ArchetypeDemand!$I$4:$AH$4,0)),ArchetypeDemand!$F$56:$F$100,$F164)*'SHWLP-Apt'!$R$9</f>
        <v>5.4568952994847521E-6</v>
      </c>
      <c r="R164" s="1136">
        <f>SUMIFS(INDEX(ArchetypeDemand!$I$56:$AH$100,,MATCH(R$129,ArchetypeDemand!$I$4:$AH$4,0)),ArchetypeDemand!$F$56:$F$100,$F164)*'SHWLP-Apt'!$R$9</f>
        <v>1.1510128585464752E-5</v>
      </c>
      <c r="S164" s="1136">
        <f>SUMIFS(INDEX(ArchetypeDemand!$I$56:$AH$100,,MATCH(S$129,ArchetypeDemand!$I$4:$AH$4,0)),ArchetypeDemand!$F$56:$F$100,$F164)*'SHWLP-Apt'!$R$9</f>
        <v>5.685294358943253E-6</v>
      </c>
      <c r="T164" s="1136">
        <f>SUMIFS(INDEX(ArchetypeDemand!$I$56:$AH$100,,MATCH(T$129,ArchetypeDemand!$I$4:$AH$4,0)),ArchetypeDemand!$F$56:$F$100,$F164)*'SHWLP-Apt'!$R$9</f>
        <v>4.3194426282892489E-5</v>
      </c>
      <c r="U164" s="1136">
        <f>SUMIFS(INDEX(ArchetypeDemand!$I$56:$AH$100,,MATCH(U$129,ArchetypeDemand!$I$4:$AH$4,0)),ArchetypeDemand!$F$56:$F$100,$F164)*'SHWLP-Apt'!$R$9</f>
        <v>7.2418362119961853E-6</v>
      </c>
      <c r="V164" s="1136">
        <f>SUMIFS(INDEX(ArchetypeDemand!$I$56:$AH$100,,MATCH(V$129,ArchetypeDemand!$I$4:$AH$4,0)),ArchetypeDemand!$F$56:$F$100,$F164)*'SHWLP-Apt'!$R$9</f>
        <v>2.4350364472086384E-5</v>
      </c>
      <c r="W164" s="1136">
        <f>SUMIFS(INDEX(ArchetypeDemand!$I$56:$AH$100,,MATCH(W$129,ArchetypeDemand!$I$4:$AH$4,0)),ArchetypeDemand!$F$56:$F$100,$F164)*'SHWLP-Apt'!$R$9</f>
        <v>3.5009905452384562E-6</v>
      </c>
      <c r="X164" s="1136">
        <f>SUMIFS(INDEX(ArchetypeDemand!$I$56:$AH$100,,MATCH(X$129,ArchetypeDemand!$I$4:$AH$4,0)),ArchetypeDemand!$F$56:$F$100,$F164)*'SHWLP-Apt'!$R$9</f>
        <v>7.2510709404458222E-6</v>
      </c>
      <c r="Y164" s="1136">
        <f>SUMIFS(INDEX(ArchetypeDemand!$I$56:$AH$100,,MATCH(Y$129,ArchetypeDemand!$I$4:$AH$4,0)),ArchetypeDemand!$F$56:$F$100,$F164)*'SHWLP-Apt'!$R$9</f>
        <v>2.2620171214747024E-5</v>
      </c>
      <c r="Z164" s="1136">
        <f>SUMIFS(INDEX(ArchetypeDemand!$I$56:$AH$100,,MATCH(Z$129,ArchetypeDemand!$I$4:$AH$4,0)),ArchetypeDemand!$F$56:$F$100,$F164)*'SHWLP-Apt'!$R$9</f>
        <v>1.4766075090534387E-6</v>
      </c>
      <c r="AA164" s="1136">
        <f>SUMIFS(INDEX(ArchetypeDemand!$I$56:$AH$100,,MATCH(AA$129,ArchetypeDemand!$I$4:$AH$4,0)),ArchetypeDemand!$F$56:$F$100,$F164)*'SHWLP-Apt'!$R$9</f>
        <v>4.7194930880985741E-6</v>
      </c>
      <c r="AB164" s="1136">
        <f>SUMIFS(INDEX(ArchetypeDemand!$I$56:$AH$100,,MATCH(AB$129,ArchetypeDemand!$I$4:$AH$4,0)),ArchetypeDemand!$F$56:$F$100,$F164)*'SHWLP-Apt'!$R$9</f>
        <v>1.5758560084132817E-6</v>
      </c>
      <c r="AC164" s="1136">
        <f>SUMIFS(INDEX(ArchetypeDemand!$I$56:$AH$100,,MATCH(AC$129,ArchetypeDemand!$I$4:$AH$4,0)),ArchetypeDemand!$F$56:$F$100,$F164)*'SHWLP-Apt'!$R$9</f>
        <v>3.2236606203929496E-6</v>
      </c>
      <c r="AD164" s="1136">
        <f>SUMIFS(INDEX(ArchetypeDemand!$I$56:$AH$100,,MATCH(AD$129,ArchetypeDemand!$I$4:$AH$4,0)),ArchetypeDemand!$F$56:$F$100,$F164)*'SHWLP-Apt'!$R$9</f>
        <v>2.7289831234616579E-6</v>
      </c>
      <c r="AE164" s="1136">
        <f>SUMIFS(INDEX(ArchetypeDemand!$I$56:$AH$100,,MATCH(AE$129,ArchetypeDemand!$I$4:$AH$4,0)),ArchetypeDemand!$F$56:$F$100,$F164)*'SHWLP-Apt'!$R$9</f>
        <v>6.6603897862621311E-6</v>
      </c>
      <c r="AF164" s="1136">
        <f>SUMIFS(INDEX(ArchetypeDemand!$I$56:$AH$100,,MATCH(AF$129,ArchetypeDemand!$I$4:$AH$4,0)),ArchetypeDemand!$F$56:$F$100,$F164)*'SHWLP-Apt'!$R$9</f>
        <v>2.0599754931565462E-6</v>
      </c>
    </row>
    <row r="165" spans="3:32">
      <c r="C165" s="1134" t="s">
        <v>1178</v>
      </c>
      <c r="D165" s="1134" t="s">
        <v>1094</v>
      </c>
      <c r="E165" s="1134" t="s">
        <v>832</v>
      </c>
      <c r="F165" s="1134" t="s">
        <v>1167</v>
      </c>
      <c r="G165" s="1134">
        <f>SUMIFS(INDEX(ArchetypeDemand!$I$56:$AH$100,,MATCH(G$129,ArchetypeDemand!$I$4:$AH$4,0)),ArchetypeDemand!$F$56:$F$100,$F165)*'SHWLP-Apt'!$R$9</f>
        <v>2.5811711463577957E-6</v>
      </c>
      <c r="H165" s="1134">
        <f>SUMIFS(INDEX(ArchetypeDemand!$I$56:$AH$100,,MATCH(H$129,ArchetypeDemand!$I$4:$AH$4,0)),ArchetypeDemand!$F$56:$F$100,$F165)*'SHWLP-Apt'!$R$9</f>
        <v>1.8586625792416239E-4</v>
      </c>
      <c r="I165" s="1134">
        <f>SUMIFS(INDEX(ArchetypeDemand!$I$56:$AH$100,,MATCH(I$129,ArchetypeDemand!$I$4:$AH$4,0)),ArchetypeDemand!$F$56:$F$100,$F165)*'SHWLP-Apt'!$R$9</f>
        <v>1.2257272944245825E-5</v>
      </c>
      <c r="J165" s="1134">
        <f>SUMIFS(INDEX(ArchetypeDemand!$I$56:$AH$100,,MATCH(J$129,ArchetypeDemand!$I$4:$AH$4,0)),ArchetypeDemand!$F$56:$F$100,$F165)*'SHWLP-Apt'!$R$9</f>
        <v>2.6674826597453993E-6</v>
      </c>
      <c r="K165" s="1134">
        <f>SUMIFS(INDEX(ArchetypeDemand!$I$56:$AH$100,,MATCH(K$129,ArchetypeDemand!$I$4:$AH$4,0)),ArchetypeDemand!$F$56:$F$100,$F165)*'SHWLP-Apt'!$R$9</f>
        <v>2.899866101319512E-6</v>
      </c>
      <c r="L165" s="1134">
        <f>SUMIFS(INDEX(ArchetypeDemand!$I$56:$AH$100,,MATCH(L$129,ArchetypeDemand!$I$4:$AH$4,0)),ArchetypeDemand!$F$56:$F$100,$F165)*'SHWLP-Apt'!$R$9</f>
        <v>1.977131823853777E-6</v>
      </c>
      <c r="M165" s="1134">
        <f>SUMIFS(INDEX(ArchetypeDemand!$I$56:$AH$100,,MATCH(M$129,ArchetypeDemand!$I$4:$AH$4,0)),ArchetypeDemand!$F$56:$F$100,$F165)*'SHWLP-Apt'!$R$9</f>
        <v>3.8410757305648399E-6</v>
      </c>
      <c r="N165" s="1134">
        <f>SUMIFS(INDEX(ArchetypeDemand!$I$56:$AH$100,,MATCH(N$129,ArchetypeDemand!$I$4:$AH$4,0)),ArchetypeDemand!$F$56:$F$100,$F165)*'SHWLP-Apt'!$R$9</f>
        <v>8.3948932104118922E-6</v>
      </c>
      <c r="O165" s="1134">
        <f>SUMIFS(INDEX(ArchetypeDemand!$I$56:$AH$100,,MATCH(O$129,ArchetypeDemand!$I$4:$AH$4,0)),ArchetypeDemand!$F$56:$F$100,$F165)*'SHWLP-Apt'!$R$9</f>
        <v>2.7143095028141193E-6</v>
      </c>
      <c r="P165" s="1134">
        <f>SUMIFS(INDEX(ArchetypeDemand!$I$56:$AH$100,,MATCH(P$129,ArchetypeDemand!$I$4:$AH$4,0)),ArchetypeDemand!$F$56:$F$100,$F165)*'SHWLP-Apt'!$R$9</f>
        <v>6.5064022335717939E-6</v>
      </c>
      <c r="Q165" s="1134">
        <f>SUMIFS(INDEX(ArchetypeDemand!$I$56:$AH$100,,MATCH(Q$129,ArchetypeDemand!$I$4:$AH$4,0)),ArchetypeDemand!$F$56:$F$100,$F165)*'SHWLP-Apt'!$R$9</f>
        <v>5.967908906125465E-6</v>
      </c>
      <c r="R165" s="1134">
        <f>SUMIFS(INDEX(ArchetypeDemand!$I$56:$AH$100,,MATCH(R$129,ArchetypeDemand!$I$4:$AH$4,0)),ArchetypeDemand!$F$56:$F$100,$F165)*'SHWLP-Apt'!$R$9</f>
        <v>7.0820982335894225E-6</v>
      </c>
      <c r="S165" s="1134">
        <f>SUMIFS(INDEX(ArchetypeDemand!$I$56:$AH$100,,MATCH(S$129,ArchetypeDemand!$I$4:$AH$4,0)),ArchetypeDemand!$F$56:$F$100,$F165)*'SHWLP-Apt'!$R$9</f>
        <v>5.1511056272304648E-6</v>
      </c>
      <c r="T165" s="1134">
        <f>SUMIFS(INDEX(ArchetypeDemand!$I$56:$AH$100,,MATCH(T$129,ArchetypeDemand!$I$4:$AH$4,0)),ArchetypeDemand!$F$56:$F$100,$F165)*'SHWLP-Apt'!$R$9</f>
        <v>2.5269881449106597E-5</v>
      </c>
      <c r="U165" s="1134">
        <f>SUMIFS(INDEX(ArchetypeDemand!$I$56:$AH$100,,MATCH(U$129,ArchetypeDemand!$I$4:$AH$4,0)),ArchetypeDemand!$F$56:$F$100,$F165)*'SHWLP-Apt'!$R$9</f>
        <v>6.3679817781994691E-6</v>
      </c>
      <c r="V165" s="1134">
        <f>SUMIFS(INDEX(ArchetypeDemand!$I$56:$AH$100,,MATCH(V$129,ArchetypeDemand!$I$4:$AH$4,0)),ArchetypeDemand!$F$56:$F$100,$F165)*'SHWLP-Apt'!$R$9</f>
        <v>1.445715391616014E-5</v>
      </c>
      <c r="W165" s="1134">
        <f>SUMIFS(INDEX(ArchetypeDemand!$I$56:$AH$100,,MATCH(W$129,ArchetypeDemand!$I$4:$AH$4,0)),ArchetypeDemand!$F$56:$F$100,$F165)*'SHWLP-Apt'!$R$9</f>
        <v>6.001698077551638E-6</v>
      </c>
      <c r="X165" s="1134">
        <f>SUMIFS(INDEX(ArchetypeDemand!$I$56:$AH$100,,MATCH(X$129,ArchetypeDemand!$I$4:$AH$4,0)),ArchetypeDemand!$F$56:$F$100,$F165)*'SHWLP-Apt'!$R$9</f>
        <v>7.4592356564394808E-6</v>
      </c>
      <c r="Y165" s="1134">
        <f>SUMIFS(INDEX(ArchetypeDemand!$I$56:$AH$100,,MATCH(Y$129,ArchetypeDemand!$I$4:$AH$4,0)),ArchetypeDemand!$F$56:$F$100,$F165)*'SHWLP-Apt'!$R$9</f>
        <v>2.3413319294681235E-5</v>
      </c>
      <c r="Z165" s="1134">
        <f>SUMIFS(INDEX(ArchetypeDemand!$I$56:$AH$100,,MATCH(Z$129,ArchetypeDemand!$I$4:$AH$4,0)),ArchetypeDemand!$F$56:$F$100,$F165)*'SHWLP-Apt'!$R$9</f>
        <v>1.514469240054809E-6</v>
      </c>
      <c r="AA165" s="1134">
        <f>SUMIFS(INDEX(ArchetypeDemand!$I$56:$AH$100,,MATCH(AA$129,ArchetypeDemand!$I$4:$AH$4,0)),ArchetypeDemand!$F$56:$F$100,$F165)*'SHWLP-Apt'!$R$9</f>
        <v>5.5980134464892177E-6</v>
      </c>
      <c r="AB165" s="1134">
        <f>SUMIFS(INDEX(ArchetypeDemand!$I$56:$AH$100,,MATCH(AB$129,ArchetypeDemand!$I$4:$AH$4,0)),ArchetypeDemand!$F$56:$F$100,$F165)*'SHWLP-Apt'!$R$9</f>
        <v>1.4714318150846905E-6</v>
      </c>
      <c r="AC165" s="1134">
        <f>SUMIFS(INDEX(ArchetypeDemand!$I$56:$AH$100,,MATCH(AC$129,ArchetypeDemand!$I$4:$AH$4,0)),ArchetypeDemand!$F$56:$F$100,$F165)*'SHWLP-Apt'!$R$9</f>
        <v>4.2135523664530059E-6</v>
      </c>
      <c r="AD165" s="1134">
        <f>SUMIFS(INDEX(ArchetypeDemand!$I$56:$AH$100,,MATCH(AD$129,ArchetypeDemand!$I$4:$AH$4,0)),ArchetypeDemand!$F$56:$F$100,$F165)*'SHWLP-Apt'!$R$9</f>
        <v>2.8439977378604253E-6</v>
      </c>
      <c r="AE165" s="1134">
        <f>SUMIFS(INDEX(ArchetypeDemand!$I$56:$AH$100,,MATCH(AE$129,ArchetypeDemand!$I$4:$AH$4,0)),ArchetypeDemand!$F$56:$F$100,$F165)*'SHWLP-Apt'!$R$9</f>
        <v>4.126730058409234E-6</v>
      </c>
      <c r="AF165" s="1134">
        <f>SUMIFS(INDEX(ArchetypeDemand!$I$56:$AH$100,,MATCH(AF$129,ArchetypeDemand!$I$4:$AH$4,0)),ArchetypeDemand!$F$56:$F$100,$F165)*'SHWLP-Apt'!$R$9</f>
        <v>1.6720580301595343E-6</v>
      </c>
    </row>
    <row r="166" spans="3:32">
      <c r="C166" s="1136" t="s">
        <v>1178</v>
      </c>
      <c r="D166" s="1136" t="s">
        <v>1094</v>
      </c>
      <c r="E166" s="1136" t="s">
        <v>832</v>
      </c>
      <c r="F166" s="1136" t="s">
        <v>1168</v>
      </c>
      <c r="G166" s="1136">
        <f>SUMIFS(INDEX(ArchetypeDemand!$I$56:$AH$100,,MATCH(G$129,ArchetypeDemand!$I$4:$AH$4,0)),ArchetypeDemand!$F$56:$F$100,$F166)*'SHWLP-Apt'!$R$9</f>
        <v>1.3350885239781703E-6</v>
      </c>
      <c r="H166" s="1136">
        <f>SUMIFS(INDEX(ArchetypeDemand!$I$56:$AH$100,,MATCH(H$129,ArchetypeDemand!$I$4:$AH$4,0)),ArchetypeDemand!$F$56:$F$100,$F166)*'SHWLP-Apt'!$R$9</f>
        <v>8.9413818744959233E-5</v>
      </c>
      <c r="I166" s="1136">
        <f>SUMIFS(INDEX(ArchetypeDemand!$I$56:$AH$100,,MATCH(I$129,ArchetypeDemand!$I$4:$AH$4,0)),ArchetypeDemand!$F$56:$F$100,$F166)*'SHWLP-Apt'!$R$9</f>
        <v>6.802397775612113E-6</v>
      </c>
      <c r="J166" s="1136">
        <f>SUMIFS(INDEX(ArchetypeDemand!$I$56:$AH$100,,MATCH(J$129,ArchetypeDemand!$I$4:$AH$4,0)),ArchetypeDemand!$F$56:$F$100,$F166)*'SHWLP-Apt'!$R$9</f>
        <v>1.2415472287294255E-6</v>
      </c>
      <c r="K166" s="1136">
        <f>SUMIFS(INDEX(ArchetypeDemand!$I$56:$AH$100,,MATCH(K$129,ArchetypeDemand!$I$4:$AH$4,0)),ArchetypeDemand!$F$56:$F$100,$F166)*'SHWLP-Apt'!$R$9</f>
        <v>1.128399780011358E-6</v>
      </c>
      <c r="L166" s="1136">
        <f>SUMIFS(INDEX(ArchetypeDemand!$I$56:$AH$100,,MATCH(L$129,ArchetypeDemand!$I$4:$AH$4,0)),ArchetypeDemand!$F$56:$F$100,$F166)*'SHWLP-Apt'!$R$9</f>
        <v>8.5114195107606559E-7</v>
      </c>
      <c r="M166" s="1136">
        <f>SUMIFS(INDEX(ArchetypeDemand!$I$56:$AH$100,,MATCH(M$129,ArchetypeDemand!$I$4:$AH$4,0)),ArchetypeDemand!$F$56:$F$100,$F166)*'SHWLP-Apt'!$R$9</f>
        <v>2.2093786524093274E-6</v>
      </c>
      <c r="N166" s="1136">
        <f>SUMIFS(INDEX(ArchetypeDemand!$I$56:$AH$100,,MATCH(N$129,ArchetypeDemand!$I$4:$AH$4,0)),ArchetypeDemand!$F$56:$F$100,$F166)*'SHWLP-Apt'!$R$9</f>
        <v>3.5032784649323201E-6</v>
      </c>
      <c r="O166" s="1136">
        <f>SUMIFS(INDEX(ArchetypeDemand!$I$56:$AH$100,,MATCH(O$129,ArchetypeDemand!$I$4:$AH$4,0)),ArchetypeDemand!$F$56:$F$100,$F166)*'SHWLP-Apt'!$R$9</f>
        <v>1.4975500705181347E-6</v>
      </c>
      <c r="P166" s="1136">
        <f>SUMIFS(INDEX(ArchetypeDemand!$I$56:$AH$100,,MATCH(P$129,ArchetypeDemand!$I$4:$AH$4,0)),ArchetypeDemand!$F$56:$F$100,$F166)*'SHWLP-Apt'!$R$9</f>
        <v>2.9673137459168333E-6</v>
      </c>
      <c r="Q166" s="1136">
        <f>SUMIFS(INDEX(ArchetypeDemand!$I$56:$AH$100,,MATCH(Q$129,ArchetypeDemand!$I$4:$AH$4,0)),ArchetypeDemand!$F$56:$F$100,$F166)*'SHWLP-Apt'!$R$9</f>
        <v>3.9694806944412494E-6</v>
      </c>
      <c r="R166" s="1136">
        <f>SUMIFS(INDEX(ArchetypeDemand!$I$56:$AH$100,,MATCH(R$129,ArchetypeDemand!$I$4:$AH$4,0)),ArchetypeDemand!$F$56:$F$100,$F166)*'SHWLP-Apt'!$R$9</f>
        <v>3.1353755286570653E-6</v>
      </c>
      <c r="S166" s="1136">
        <f>SUMIFS(INDEX(ArchetypeDemand!$I$56:$AH$100,,MATCH(S$129,ArchetypeDemand!$I$4:$AH$4,0)),ArchetypeDemand!$F$56:$F$100,$F166)*'SHWLP-Apt'!$R$9</f>
        <v>3.3863749956792865E-6</v>
      </c>
      <c r="T166" s="1136">
        <f>SUMIFS(INDEX(ArchetypeDemand!$I$56:$AH$100,,MATCH(T$129,ArchetypeDemand!$I$4:$AH$4,0)),ArchetypeDemand!$F$56:$F$100,$F166)*'SHWLP-Apt'!$R$9</f>
        <v>1.4426193025179789E-5</v>
      </c>
      <c r="U166" s="1136">
        <f>SUMIFS(INDEX(ArchetypeDemand!$I$56:$AH$100,,MATCH(U$129,ArchetypeDemand!$I$4:$AH$4,0)),ArchetypeDemand!$F$56:$F$100,$F166)*'SHWLP-Apt'!$R$9</f>
        <v>3.0306015469971201E-6</v>
      </c>
      <c r="V166" s="1136">
        <f>SUMIFS(INDEX(ArchetypeDemand!$I$56:$AH$100,,MATCH(V$129,ArchetypeDemand!$I$4:$AH$4,0)),ArchetypeDemand!$F$56:$F$100,$F166)*'SHWLP-Apt'!$R$9</f>
        <v>5.9359263335557458E-6</v>
      </c>
      <c r="W166" s="1136">
        <f>SUMIFS(INDEX(ArchetypeDemand!$I$56:$AH$100,,MATCH(W$129,ArchetypeDemand!$I$4:$AH$4,0)),ArchetypeDemand!$F$56:$F$100,$F166)*'SHWLP-Apt'!$R$9</f>
        <v>3.3898479882467595E-6</v>
      </c>
      <c r="X166" s="1136">
        <f>SUMIFS(INDEX(ArchetypeDemand!$I$56:$AH$100,,MATCH(X$129,ArchetypeDemand!$I$4:$AH$4,0)),ArchetypeDemand!$F$56:$F$100,$F166)*'SHWLP-Apt'!$R$9</f>
        <v>3.9724766635456775E-6</v>
      </c>
      <c r="Y166" s="1136">
        <f>SUMIFS(INDEX(ArchetypeDemand!$I$56:$AH$100,,MATCH(Y$129,ArchetypeDemand!$I$4:$AH$4,0)),ArchetypeDemand!$F$56:$F$100,$F166)*'SHWLP-Apt'!$R$9</f>
        <v>1.2834578020753548E-5</v>
      </c>
      <c r="Z166" s="1136">
        <f>SUMIFS(INDEX(ArchetypeDemand!$I$56:$AH$100,,MATCH(Z$129,ArchetypeDemand!$I$4:$AH$4,0)),ArchetypeDemand!$F$56:$F$100,$F166)*'SHWLP-Apt'!$R$9</f>
        <v>4.9977484921808694E-7</v>
      </c>
      <c r="AA166" s="1136">
        <f>SUMIFS(INDEX(ArchetypeDemand!$I$56:$AH$100,,MATCH(AA$129,ArchetypeDemand!$I$4:$AH$4,0)),ArchetypeDemand!$F$56:$F$100,$F166)*'SHWLP-Apt'!$R$9</f>
        <v>2.3188851320311177E-6</v>
      </c>
      <c r="AB166" s="1136">
        <f>SUMIFS(INDEX(ArchetypeDemand!$I$56:$AH$100,,MATCH(AB$129,ArchetypeDemand!$I$4:$AH$4,0)),ArchetypeDemand!$F$56:$F$100,$F166)*'SHWLP-Apt'!$R$9</f>
        <v>8.1640732965989281E-7</v>
      </c>
      <c r="AC166" s="1136">
        <f>SUMIFS(INDEX(ArchetypeDemand!$I$56:$AH$100,,MATCH(AC$129,ArchetypeDemand!$I$4:$AH$4,0)),ArchetypeDemand!$F$56:$F$100,$F166)*'SHWLP-Apt'!$R$9</f>
        <v>2.8068640957360827E-6</v>
      </c>
      <c r="AD166" s="1136">
        <f>SUMIFS(INDEX(ArchetypeDemand!$I$56:$AH$100,,MATCH(AD$129,ArchetypeDemand!$I$4:$AH$4,0)),ArchetypeDemand!$F$56:$F$100,$F166)*'SHWLP-Apt'!$R$9</f>
        <v>1.4219988689302127E-6</v>
      </c>
      <c r="AE166" s="1136">
        <f>SUMIFS(INDEX(ArchetypeDemand!$I$56:$AH$100,,MATCH(AE$129,ArchetypeDemand!$I$4:$AH$4,0)),ArchetypeDemand!$F$56:$F$100,$F166)*'SHWLP-Apt'!$R$9</f>
        <v>2.4489219443126665E-6</v>
      </c>
      <c r="AF166" s="1136">
        <f>SUMIFS(INDEX(ArchetypeDemand!$I$56:$AH$100,,MATCH(AF$129,ArchetypeDemand!$I$4:$AH$4,0)),ArchetypeDemand!$F$56:$F$100,$F166)*'SHWLP-Apt'!$R$9</f>
        <v>1.1503759247497596E-6</v>
      </c>
    </row>
    <row r="167" spans="3:32">
      <c r="C167" s="1134" t="s">
        <v>1178</v>
      </c>
      <c r="D167" s="1134" t="s">
        <v>1094</v>
      </c>
      <c r="E167" s="1134" t="s">
        <v>832</v>
      </c>
      <c r="F167" s="1134" t="s">
        <v>1169</v>
      </c>
      <c r="G167" s="1134">
        <f>SUMIFS(INDEX(ArchetypeDemand!$I$56:$AH$100,,MATCH(G$129,ArchetypeDemand!$I$4:$AH$4,0)),ArchetypeDemand!$F$56:$F$100,$F167)*'SHWLP-Apt'!$R$9</f>
        <v>5.1425632034714697E-7</v>
      </c>
      <c r="H167" s="1134">
        <f>SUMIFS(INDEX(ArchetypeDemand!$I$56:$AH$100,,MATCH(H$129,ArchetypeDemand!$I$4:$AH$4,0)),ArchetypeDemand!$F$56:$F$100,$F167)*'SHWLP-Apt'!$R$9</f>
        <v>3.0672661822525508E-5</v>
      </c>
      <c r="I167" s="1134">
        <f>SUMIFS(INDEX(ArchetypeDemand!$I$56:$AH$100,,MATCH(I$129,ArchetypeDemand!$I$4:$AH$4,0)),ArchetypeDemand!$F$56:$F$100,$F167)*'SHWLP-Apt'!$R$9</f>
        <v>2.2285950807719685E-6</v>
      </c>
      <c r="J167" s="1134">
        <f>SUMIFS(INDEX(ArchetypeDemand!$I$56:$AH$100,,MATCH(J$129,ArchetypeDemand!$I$4:$AH$4,0)),ArchetypeDemand!$F$56:$F$100,$F167)*'SHWLP-Apt'!$R$9</f>
        <v>5.2857951322143847E-7</v>
      </c>
      <c r="K167" s="1134">
        <f>SUMIFS(INDEX(ArchetypeDemand!$I$56:$AH$100,,MATCH(K$129,ArchetypeDemand!$I$4:$AH$4,0)),ArchetypeDemand!$F$56:$F$100,$F167)*'SHWLP-Apt'!$R$9</f>
        <v>3.8826659097165006E-7</v>
      </c>
      <c r="L167" s="1134">
        <f>SUMIFS(INDEX(ArchetypeDemand!$I$56:$AH$100,,MATCH(L$129,ArchetypeDemand!$I$4:$AH$4,0)),ArchetypeDemand!$F$56:$F$100,$F167)*'SHWLP-Apt'!$R$9</f>
        <v>2.2165154975939207E-7</v>
      </c>
      <c r="M167" s="1134">
        <f>SUMIFS(INDEX(ArchetypeDemand!$I$56:$AH$100,,MATCH(M$129,ArchetypeDemand!$I$4:$AH$4,0)),ArchetypeDemand!$F$56:$F$100,$F167)*'SHWLP-Apt'!$R$9</f>
        <v>8.4118545022923945E-7</v>
      </c>
      <c r="N167" s="1134">
        <f>SUMIFS(INDEX(ArchetypeDemand!$I$56:$AH$100,,MATCH(N$129,ArchetypeDemand!$I$4:$AH$4,0)),ArchetypeDemand!$F$56:$F$100,$F167)*'SHWLP-Apt'!$R$9</f>
        <v>9.0825737979726799E-7</v>
      </c>
      <c r="O167" s="1134">
        <f>SUMIFS(INDEX(ArchetypeDemand!$I$56:$AH$100,,MATCH(O$129,ArchetypeDemand!$I$4:$AH$4,0)),ArchetypeDemand!$F$56:$F$100,$F167)*'SHWLP-Apt'!$R$9</f>
        <v>6.9027698562945277E-7</v>
      </c>
      <c r="P167" s="1134">
        <f>SUMIFS(INDEX(ArchetypeDemand!$I$56:$AH$100,,MATCH(P$129,ArchetypeDemand!$I$4:$AH$4,0)),ArchetypeDemand!$F$56:$F$100,$F167)*'SHWLP-Apt'!$R$9</f>
        <v>1.1336912982738733E-6</v>
      </c>
      <c r="Q167" s="1134">
        <f>SUMIFS(INDEX(ArchetypeDemand!$I$56:$AH$100,,MATCH(Q$129,ArchetypeDemand!$I$4:$AH$4,0)),ArchetypeDemand!$F$56:$F$100,$F167)*'SHWLP-Apt'!$R$9</f>
        <v>1.2045320727959655E-6</v>
      </c>
      <c r="R167" s="1134">
        <f>SUMIFS(INDEX(ArchetypeDemand!$I$56:$AH$100,,MATCH(R$129,ArchetypeDemand!$I$4:$AH$4,0)),ArchetypeDemand!$F$56:$F$100,$F167)*'SHWLP-Apt'!$R$9</f>
        <v>1.1276350585521023E-6</v>
      </c>
      <c r="S167" s="1134">
        <f>SUMIFS(INDEX(ArchetypeDemand!$I$56:$AH$100,,MATCH(S$129,ArchetypeDemand!$I$4:$AH$4,0)),ArchetypeDemand!$F$56:$F$100,$F167)*'SHWLP-Apt'!$R$9</f>
        <v>9.0621302701276673E-7</v>
      </c>
      <c r="T167" s="1134">
        <f>SUMIFS(INDEX(ArchetypeDemand!$I$56:$AH$100,,MATCH(T$129,ArchetypeDemand!$I$4:$AH$4,0)),ArchetypeDemand!$F$56:$F$100,$F167)*'SHWLP-Apt'!$R$9</f>
        <v>5.5059970046102864E-6</v>
      </c>
      <c r="U167" s="1134">
        <f>SUMIFS(INDEX(ArchetypeDemand!$I$56:$AH$100,,MATCH(U$129,ArchetypeDemand!$I$4:$AH$4,0)),ArchetypeDemand!$F$56:$F$100,$F167)*'SHWLP-Apt'!$R$9</f>
        <v>9.2033605261568985E-7</v>
      </c>
      <c r="V167" s="1134">
        <f>SUMIFS(INDEX(ArchetypeDemand!$I$56:$AH$100,,MATCH(V$129,ArchetypeDemand!$I$4:$AH$4,0)),ArchetypeDemand!$F$56:$F$100,$F167)*'SHWLP-Apt'!$R$9</f>
        <v>1.9973085461964301E-6</v>
      </c>
      <c r="W167" s="1134">
        <f>SUMIFS(INDEX(ArchetypeDemand!$I$56:$AH$100,,MATCH(W$129,ArchetypeDemand!$I$4:$AH$4,0)),ArchetypeDemand!$F$56:$F$100,$F167)*'SHWLP-Apt'!$R$9</f>
        <v>1.403174782020175E-6</v>
      </c>
      <c r="X167" s="1134">
        <f>SUMIFS(INDEX(ArchetypeDemand!$I$56:$AH$100,,MATCH(X$129,ArchetypeDemand!$I$4:$AH$4,0)),ArchetypeDemand!$F$56:$F$100,$F167)*'SHWLP-Apt'!$R$9</f>
        <v>1.0841912291336457E-6</v>
      </c>
      <c r="Y167" s="1134">
        <f>SUMIFS(INDEX(ArchetypeDemand!$I$56:$AH$100,,MATCH(Y$129,ArchetypeDemand!$I$4:$AH$4,0)),ArchetypeDemand!$F$56:$F$100,$F167)*'SHWLP-Apt'!$R$9</f>
        <v>3.502212301008191E-6</v>
      </c>
      <c r="Z167" s="1134">
        <f>SUMIFS(INDEX(ArchetypeDemand!$I$56:$AH$100,,MATCH(Z$129,ArchetypeDemand!$I$4:$AH$4,0)),ArchetypeDemand!$F$56:$F$100,$F167)*'SHWLP-Apt'!$R$9</f>
        <v>1.8930865500685113E-7</v>
      </c>
      <c r="AA167" s="1134">
        <f>SUMIFS(INDEX(ArchetypeDemand!$I$56:$AH$100,,MATCH(AA$129,ArchetypeDemand!$I$4:$AH$4,0)),ArchetypeDemand!$F$56:$F$100,$F167)*'SHWLP-Apt'!$R$9</f>
        <v>8.8873571139518609E-7</v>
      </c>
      <c r="AB167" s="1134">
        <f>SUMIFS(INDEX(ArchetypeDemand!$I$56:$AH$100,,MATCH(AB$129,ArchetypeDemand!$I$4:$AH$4,0)),ArchetypeDemand!$F$56:$F$100,$F167)*'SHWLP-Apt'!$R$9</f>
        <v>2.4682082059485127E-7</v>
      </c>
      <c r="AC167" s="1134">
        <f>SUMIFS(INDEX(ArchetypeDemand!$I$56:$AH$100,,MATCH(AC$129,ArchetypeDemand!$I$4:$AH$4,0)),ArchetypeDemand!$F$56:$F$100,$F167)*'SHWLP-Apt'!$R$9</f>
        <v>4.8192098163450145E-7</v>
      </c>
      <c r="AD167" s="1134">
        <f>SUMIFS(INDEX(ArchetypeDemand!$I$56:$AH$100,,MATCH(AD$129,ArchetypeDemand!$I$4:$AH$4,0)),ArchetypeDemand!$F$56:$F$100,$F167)*'SHWLP-Apt'!$R$9</f>
        <v>5.227937018125782E-7</v>
      </c>
      <c r="AE167" s="1134">
        <f>SUMIFS(INDEX(ArchetypeDemand!$I$56:$AH$100,,MATCH(AE$129,ArchetypeDemand!$I$4:$AH$4,0)),ArchetypeDemand!$F$56:$F$100,$F167)*'SHWLP-Apt'!$R$9</f>
        <v>8.3890405704828366E-7</v>
      </c>
      <c r="AF167" s="1134">
        <f>SUMIFS(INDEX(ArchetypeDemand!$I$56:$AH$100,,MATCH(AF$129,ArchetypeDemand!$I$4:$AH$4,0)),ArchetypeDemand!$F$56:$F$100,$F167)*'SHWLP-Apt'!$R$9</f>
        <v>4.8155271268594587E-7</v>
      </c>
    </row>
    <row r="168" spans="3:32" ht="13.5" thickBot="1">
      <c r="C168" s="1138" t="s">
        <v>1178</v>
      </c>
      <c r="D168" s="1138" t="s">
        <v>1094</v>
      </c>
      <c r="E168" s="1138" t="s">
        <v>832</v>
      </c>
      <c r="F168" s="1138" t="s">
        <v>1170</v>
      </c>
      <c r="G168" s="1138">
        <f>SUMIFS(INDEX(ArchetypeDemand!$I$56:$AH$100,,MATCH(G$129,ArchetypeDemand!$I$4:$AH$4,0)),ArchetypeDemand!$F$56:$F$100,$F168)*'SHWLP-Apt'!$R$9</f>
        <v>5.8348313270157072E-7</v>
      </c>
      <c r="H168" s="1138">
        <f>SUMIFS(INDEX(ArchetypeDemand!$I$56:$AH$100,,MATCH(H$129,ArchetypeDemand!$I$4:$AH$4,0)),ArchetypeDemand!$F$56:$F$100,$F168)*'SHWLP-Apt'!$R$9</f>
        <v>2.9088050939423473E-5</v>
      </c>
      <c r="I168" s="1138">
        <f>SUMIFS(INDEX(ArchetypeDemand!$I$56:$AH$100,,MATCH(I$129,ArchetypeDemand!$I$4:$AH$4,0)),ArchetypeDemand!$F$56:$F$100,$F168)*'SHWLP-Apt'!$R$9</f>
        <v>1.8917144290273684E-6</v>
      </c>
      <c r="J168" s="1138">
        <f>SUMIFS(INDEX(ArchetypeDemand!$I$56:$AH$100,,MATCH(J$129,ArchetypeDemand!$I$4:$AH$4,0)),ArchetypeDemand!$F$56:$F$100,$F168)*'SHWLP-Apt'!$R$9</f>
        <v>8.2360063687991595E-7</v>
      </c>
      <c r="K168" s="1138">
        <f>SUMIFS(INDEX(ArchetypeDemand!$I$56:$AH$100,,MATCH(K$129,ArchetypeDemand!$I$4:$AH$4,0)),ArchetypeDemand!$F$56:$F$100,$F168)*'SHWLP-Apt'!$R$9</f>
        <v>5.9453321742533906E-7</v>
      </c>
      <c r="L168" s="1138">
        <f>SUMIFS(INDEX(ArchetypeDemand!$I$56:$AH$100,,MATCH(L$129,ArchetypeDemand!$I$4:$AH$4,0)),ArchetypeDemand!$F$56:$F$100,$F168)*'SHWLP-Apt'!$R$9</f>
        <v>3.0144610767277318E-7</v>
      </c>
      <c r="M168" s="1138">
        <f>SUMIFS(INDEX(ArchetypeDemand!$I$56:$AH$100,,MATCH(M$129,ArchetypeDemand!$I$4:$AH$4,0)),ArchetypeDemand!$F$56:$F$100,$F168)*'SHWLP-Apt'!$R$9</f>
        <v>9.6280262375635829E-7</v>
      </c>
      <c r="N168" s="1138">
        <f>SUMIFS(INDEX(ArchetypeDemand!$I$56:$AH$100,,MATCH(N$129,ArchetypeDemand!$I$4:$AH$4,0)),ArchetypeDemand!$F$56:$F$100,$F168)*'SHWLP-Apt'!$R$9</f>
        <v>9.8610801235131943E-7</v>
      </c>
      <c r="O168" s="1138">
        <f>SUMIFS(INDEX(ArchetypeDemand!$I$56:$AH$100,,MATCH(O$129,ArchetypeDemand!$I$4:$AH$4,0)),ArchetypeDemand!$F$56:$F$100,$F168)*'SHWLP-Apt'!$R$9</f>
        <v>7.0197659555537571E-7</v>
      </c>
      <c r="P168" s="1138">
        <f>SUMIFS(INDEX(ArchetypeDemand!$I$56:$AH$100,,MATCH(P$129,ArchetypeDemand!$I$4:$AH$4,0)),ArchetypeDemand!$F$56:$F$100,$F168)*'SHWLP-Apt'!$R$9</f>
        <v>8.8723666821433553E-7</v>
      </c>
      <c r="Q168" s="1138">
        <f>SUMIFS(INDEX(ArchetypeDemand!$I$56:$AH$100,,MATCH(Q$129,ArchetypeDemand!$I$4:$AH$4,0)),ArchetypeDemand!$F$56:$F$100,$F168)*'SHWLP-Apt'!$R$9</f>
        <v>1.4235379042134136E-6</v>
      </c>
      <c r="R168" s="1138">
        <f>SUMIFS(INDEX(ArchetypeDemand!$I$56:$AH$100,,MATCH(R$129,ArchetypeDemand!$I$4:$AH$4,0)),ArchetypeDemand!$F$56:$F$100,$F168)*'SHWLP-Apt'!$R$9</f>
        <v>1.9389822348273955E-6</v>
      </c>
      <c r="S168" s="1138">
        <f>SUMIFS(INDEX(ArchetypeDemand!$I$56:$AH$100,,MATCH(S$129,ArchetypeDemand!$I$4:$AH$4,0)),ArchetypeDemand!$F$56:$F$100,$F168)*'SHWLP-Apt'!$R$9</f>
        <v>1.3831672517563283E-6</v>
      </c>
      <c r="T168" s="1138">
        <f>SUMIFS(INDEX(ArchetypeDemand!$I$56:$AH$100,,MATCH(T$129,ArchetypeDemand!$I$4:$AH$4,0)),ArchetypeDemand!$F$56:$F$100,$F168)*'SHWLP-Apt'!$R$9</f>
        <v>7.9464279913698665E-6</v>
      </c>
      <c r="U168" s="1138">
        <f>SUMIFS(INDEX(ArchetypeDemand!$I$56:$AH$100,,MATCH(U$129,ArchetypeDemand!$I$4:$AH$4,0)),ArchetypeDemand!$F$56:$F$100,$F168)*'SHWLP-Apt'!$R$9</f>
        <v>1.4130412120968166E-6</v>
      </c>
      <c r="V168" s="1138">
        <f>SUMIFS(INDEX(ArchetypeDemand!$I$56:$AH$100,,MATCH(V$129,ArchetypeDemand!$I$4:$AH$4,0)),ArchetypeDemand!$F$56:$F$100,$F168)*'SHWLP-Apt'!$R$9</f>
        <v>2.3706372464200619E-6</v>
      </c>
      <c r="W168" s="1138">
        <f>SUMIFS(INDEX(ArchetypeDemand!$I$56:$AH$100,,MATCH(W$129,ArchetypeDemand!$I$4:$AH$4,0)),ArchetypeDemand!$F$56:$F$100,$F168)*'SHWLP-Apt'!$R$9</f>
        <v>2.3062080575777133E-6</v>
      </c>
      <c r="X168" s="1138">
        <f>SUMIFS(INDEX(ArchetypeDemand!$I$56:$AH$100,,MATCH(X$129,ArchetypeDemand!$I$4:$AH$4,0)),ArchetypeDemand!$F$56:$F$100,$F168)*'SHWLP-Apt'!$R$9</f>
        <v>1.3097030047934437E-6</v>
      </c>
      <c r="Y168" s="1138">
        <f>SUMIFS(INDEX(ArchetypeDemand!$I$56:$AH$100,,MATCH(Y$129,ArchetypeDemand!$I$4:$AH$4,0)),ArchetypeDemand!$F$56:$F$100,$F168)*'SHWLP-Apt'!$R$9</f>
        <v>2.564855479267763E-6</v>
      </c>
      <c r="Z168" s="1138">
        <f>SUMIFS(INDEX(ArchetypeDemand!$I$56:$AH$100,,MATCH(Z$129,ArchetypeDemand!$I$4:$AH$4,0)),ArchetypeDemand!$F$56:$F$100,$F168)*'SHWLP-Apt'!$R$9</f>
        <v>1.8173630880657708E-7</v>
      </c>
      <c r="AA168" s="1138">
        <f>SUMIFS(INDEX(ArchetypeDemand!$I$56:$AH$100,,MATCH(AA$129,ArchetypeDemand!$I$4:$AH$4,0)),ArchetypeDemand!$F$56:$F$100,$F168)*'SHWLP-Apt'!$R$9</f>
        <v>9.8067388843606731E-7</v>
      </c>
      <c r="AB168" s="1138">
        <f>SUMIFS(INDEX(ArchetypeDemand!$I$56:$AH$100,,MATCH(AB$129,ArchetypeDemand!$I$4:$AH$4,0)),ArchetypeDemand!$F$56:$F$100,$F168)*'SHWLP-Apt'!$R$9</f>
        <v>4.1769677331436371E-7</v>
      </c>
      <c r="AC168" s="1138">
        <f>SUMIFS(INDEX(ArchetypeDemand!$I$56:$AH$100,,MATCH(AC$129,ArchetypeDemand!$I$4:$AH$4,0)),ArchetypeDemand!$F$56:$F$100,$F168)*'SHWLP-Apt'!$R$9</f>
        <v>3.2562228488817667E-7</v>
      </c>
      <c r="AD168" s="1138">
        <f>SUMIFS(INDEX(ArchetypeDemand!$I$56:$AH$100,,MATCH(AD$129,ArchetypeDemand!$I$4:$AH$4,0)),ArchetypeDemand!$F$56:$F$100,$F168)*'SHWLP-Apt'!$R$9</f>
        <v>6.2735244217509376E-7</v>
      </c>
      <c r="AE168" s="1138">
        <f>SUMIFS(INDEX(ArchetypeDemand!$I$56:$AH$100,,MATCH(AE$129,ArchetypeDemand!$I$4:$AH$4,0)),ArchetypeDemand!$F$56:$F$100,$F168)*'SHWLP-Apt'!$R$9</f>
        <v>1.016853402482768E-6</v>
      </c>
      <c r="AF168" s="1138">
        <f>SUMIFS(INDEX(ArchetypeDemand!$I$56:$AH$100,,MATCH(AF$129,ArchetypeDemand!$I$4:$AH$4,0)),ArchetypeDemand!$F$56:$F$100,$F168)*'SHWLP-Apt'!$R$9</f>
        <v>1.2038817817148648E-6</v>
      </c>
    </row>
    <row r="169" spans="3:32" ht="13.5" thickBot="1">
      <c r="C169" s="1141" t="s">
        <v>1179</v>
      </c>
      <c r="D169" s="1141" t="s">
        <v>1094</v>
      </c>
      <c r="E169" s="1141" t="s">
        <v>832</v>
      </c>
      <c r="F169" s="1141" t="s">
        <v>934</v>
      </c>
      <c r="G169" s="1141">
        <f>SUM(ArchetypeDemand!I56:I100)*'SHWLP-Apt'!$R$35</f>
        <v>2.8445961470235794E-5</v>
      </c>
      <c r="H169" s="1141">
        <f>SUM(ArchetypeDemand!J56:J100)*'SHWLP-Apt'!$R$35</f>
        <v>2.757524967761521E-3</v>
      </c>
      <c r="I169" s="1141">
        <f>SUM(ArchetypeDemand!K56:K100)*'SHWLP-Apt'!$R$35</f>
        <v>1.646669633535886E-4</v>
      </c>
      <c r="J169" s="1141">
        <f>SUM(ArchetypeDemand!L56:L100)*'SHWLP-Apt'!$R$35</f>
        <v>3.9163860961924385E-5</v>
      </c>
      <c r="K169" s="1141">
        <f>SUM(ArchetypeDemand!M56:M100)*'SHWLP-Apt'!$R$35</f>
        <v>3.2089023207382905E-5</v>
      </c>
      <c r="L169" s="1141">
        <f>SUM(ArchetypeDemand!N56:N100)*'SHWLP-Apt'!$R$35</f>
        <v>1.5461591981908253E-5</v>
      </c>
      <c r="M169" s="1141">
        <f>SUM(ArchetypeDemand!O56:O100)*'SHWLP-Apt'!$R$35</f>
        <v>6.7953054728096246E-5</v>
      </c>
      <c r="N169" s="1141">
        <f>SUM(ArchetypeDemand!P56:P100)*'SHWLP-Apt'!$R$35</f>
        <v>1.2100856865046668E-4</v>
      </c>
      <c r="O169" s="1141">
        <f>SUM(ArchetypeDemand!Q56:Q100)*'SHWLP-Apt'!$R$35</f>
        <v>2.6281556298392024E-5</v>
      </c>
      <c r="P169" s="1141">
        <f>SUM(ArchetypeDemand!R56:R100)*'SHWLP-Apt'!$R$35</f>
        <v>6.4602049422739233E-5</v>
      </c>
      <c r="Q169" s="1141">
        <f>SUM(ArchetypeDemand!S56:S100)*'SHWLP-Apt'!$R$35</f>
        <v>5.968290492513039E-5</v>
      </c>
      <c r="R169" s="1141">
        <f>SUM(ArchetypeDemand!T56:T100)*'SHWLP-Apt'!$R$35</f>
        <v>1.0092259522584015E-4</v>
      </c>
      <c r="S169" s="1141">
        <f>SUM(ArchetypeDemand!U56:U100)*'SHWLP-Apt'!$R$35</f>
        <v>5.5707976817413611E-5</v>
      </c>
      <c r="T169" s="1141">
        <f>SUM(ArchetypeDemand!V56:V100)*'SHWLP-Apt'!$R$35</f>
        <v>4.0619053068460429E-4</v>
      </c>
      <c r="U169" s="1141">
        <f>SUM(ArchetypeDemand!W56:W100)*'SHWLP-Apt'!$R$35</f>
        <v>6.4984692363216049E-5</v>
      </c>
      <c r="V169" s="1141">
        <f>SUM(ArchetypeDemand!X56:X100)*'SHWLP-Apt'!$R$35</f>
        <v>1.6684340405250607E-4</v>
      </c>
      <c r="W169" s="1141">
        <f>SUM(ArchetypeDemand!Y56:Y100)*'SHWLP-Apt'!$R$35</f>
        <v>5.3270787991241448E-5</v>
      </c>
      <c r="X169" s="1141">
        <f>SUM(ArchetypeDemand!Z56:Z100)*'SHWLP-Apt'!$R$35</f>
        <v>7.1538900645061262E-5</v>
      </c>
      <c r="Y169" s="1141">
        <f>SUM(ArchetypeDemand!AA56:AA100)*'SHWLP-Apt'!$R$35</f>
        <v>2.2096906336979371E-4</v>
      </c>
      <c r="Z169" s="1141">
        <f>SUM(ArchetypeDemand!AB56:AB100)*'SHWLP-Apt'!$R$35</f>
        <v>1.2142938010001458E-5</v>
      </c>
      <c r="AA169" s="1141">
        <f>SUM(ArchetypeDemand!AC56:AC100)*'SHWLP-Apt'!$R$35</f>
        <v>4.7883464537149892E-5</v>
      </c>
      <c r="AB169" s="1141">
        <f>SUM(ArchetypeDemand!AD56:AD100)*'SHWLP-Apt'!$R$35</f>
        <v>1.5126606433441457E-5</v>
      </c>
      <c r="AC169" s="1141">
        <f>SUM(ArchetypeDemand!AE56:AE100)*'SHWLP-Apt'!$R$35</f>
        <v>3.7480298345310554E-5</v>
      </c>
      <c r="AD169" s="1141">
        <f>SUM(ArchetypeDemand!AF56:AF100)*'SHWLP-Apt'!$R$35</f>
        <v>2.8422887200388927E-5</v>
      </c>
      <c r="AE169" s="1141">
        <f>SUM(ArchetypeDemand!AG56:AG100)*'SHWLP-Apt'!$R$35</f>
        <v>5.3511360327987503E-5</v>
      </c>
      <c r="AF169" s="1141">
        <f>SUM(ArchetypeDemand!AH56:AH100)*'SHWLP-Apt'!$R$35</f>
        <v>2.2977436975195591E-5</v>
      </c>
    </row>
    <row r="170" spans="3:32" ht="15">
      <c r="C170" s="1137" t="s">
        <v>1200</v>
      </c>
      <c r="D170" s="1137"/>
      <c r="E170" s="1137"/>
      <c r="F170" s="1137"/>
      <c r="G170" s="1137"/>
      <c r="H170" s="1137"/>
      <c r="I170" s="1137"/>
      <c r="J170" s="1137"/>
      <c r="K170" s="1137"/>
      <c r="L170" s="1137"/>
      <c r="M170" s="1137"/>
      <c r="N170" s="1137"/>
      <c r="O170" s="1137"/>
      <c r="P170" s="1137"/>
      <c r="Q170" s="1137"/>
      <c r="R170" s="1137"/>
      <c r="S170" s="1137"/>
      <c r="T170" s="1137"/>
      <c r="U170" s="1137"/>
      <c r="V170" s="1137"/>
      <c r="W170" s="1137"/>
      <c r="X170" s="1137"/>
      <c r="Y170" s="1137"/>
      <c r="Z170" s="1137"/>
      <c r="AA170" s="1137"/>
      <c r="AB170" s="1137"/>
      <c r="AC170" s="1137"/>
      <c r="AD170" s="1137"/>
      <c r="AE170" s="1137"/>
      <c r="AF170" s="1137"/>
    </row>
    <row r="171" spans="3:32">
      <c r="C171" s="1145" t="s">
        <v>1180</v>
      </c>
      <c r="D171" s="1134" t="s">
        <v>1094</v>
      </c>
      <c r="E171" s="1134" t="s">
        <v>835</v>
      </c>
      <c r="F171" s="1134" t="s">
        <v>1165</v>
      </c>
      <c r="G171" s="1134">
        <f>SUMIFS(INDEX(ArchetypeDemand!$I$56:$AH$100,,MATCH(G$129,ArchetypeDemand!$I$4:$AH$4,0)),ArchetypeDemand!$F$56:$F$100,$F171)*'SHWLP-Apt'!$R$10</f>
        <v>1.4938401298696961E-3</v>
      </c>
      <c r="H171" s="1134">
        <f>SUMIFS(INDEX(ArchetypeDemand!$I$56:$AH$100,,MATCH(H$129,ArchetypeDemand!$I$4:$AH$4,0)),ArchetypeDemand!$F$56:$F$100,$F171)*'SHWLP-Apt'!$R$10</f>
        <v>0.52529322309178861</v>
      </c>
      <c r="I171" s="1134">
        <f>SUMIFS(INDEX(ArchetypeDemand!$I$56:$AH$100,,MATCH(I$129,ArchetypeDemand!$I$4:$AH$4,0)),ArchetypeDemand!$F$56:$F$100,$F171)*'SHWLP-Apt'!$R$10</f>
        <v>1.8354233001860086E-2</v>
      </c>
      <c r="J171" s="1134">
        <f>SUMIFS(INDEX(ArchetypeDemand!$I$56:$AH$100,,MATCH(J$129,ArchetypeDemand!$I$4:$AH$4,0)),ArchetypeDemand!$F$56:$F$100,$F171)*'SHWLP-Apt'!$R$10</f>
        <v>4.5211679568165648E-3</v>
      </c>
      <c r="K171" s="1134">
        <f>SUMIFS(INDEX(ArchetypeDemand!$I$56:$AH$100,,MATCH(K$129,ArchetypeDemand!$I$4:$AH$4,0)),ArchetypeDemand!$F$56:$F$100,$F171)*'SHWLP-Apt'!$R$10</f>
        <v>4.1486938241437742E-3</v>
      </c>
      <c r="L171" s="1134">
        <f>SUMIFS(INDEX(ArchetypeDemand!$I$56:$AH$100,,MATCH(L$129,ArchetypeDemand!$I$4:$AH$4,0)),ArchetypeDemand!$F$56:$F$100,$F171)*'SHWLP-Apt'!$R$10</f>
        <v>7.0216099230415146E-4</v>
      </c>
      <c r="M171" s="1134">
        <f>SUMIFS(INDEX(ArchetypeDemand!$I$56:$AH$100,,MATCH(M$129,ArchetypeDemand!$I$4:$AH$4,0)),ArchetypeDemand!$F$56:$F$100,$F171)*'SHWLP-Apt'!$R$10</f>
        <v>1.0979778423507109E-2</v>
      </c>
      <c r="N171" s="1134">
        <f>SUMIFS(INDEX(ArchetypeDemand!$I$56:$AH$100,,MATCH(N$129,ArchetypeDemand!$I$4:$AH$4,0)),ArchetypeDemand!$F$56:$F$100,$F171)*'SHWLP-Apt'!$R$10</f>
        <v>1.7781836071125774E-2</v>
      </c>
      <c r="O171" s="1134">
        <f>SUMIFS(INDEX(ArchetypeDemand!$I$56:$AH$100,,MATCH(O$129,ArchetypeDemand!$I$4:$AH$4,0)),ArchetypeDemand!$F$56:$F$100,$F171)*'SHWLP-Apt'!$R$10</f>
        <v>1.3879891629507339E-3</v>
      </c>
      <c r="P171" s="1134">
        <f>SUMIFS(INDEX(ArchetypeDemand!$I$56:$AH$100,,MATCH(P$129,ArchetypeDemand!$I$4:$AH$4,0)),ArchetypeDemand!$F$56:$F$100,$F171)*'SHWLP-Apt'!$R$10</f>
        <v>6.5583674028687608E-3</v>
      </c>
      <c r="Q171" s="1134">
        <f>SUMIFS(INDEX(ArchetypeDemand!$I$56:$AH$100,,MATCH(Q$129,ArchetypeDemand!$I$4:$AH$4,0)),ArchetypeDemand!$F$56:$F$100,$F171)*'SHWLP-Apt'!$R$10</f>
        <v>3.3884591259853679E-3</v>
      </c>
      <c r="R171" s="1134">
        <f>SUMIFS(INDEX(ArchetypeDemand!$I$56:$AH$100,,MATCH(R$129,ArchetypeDemand!$I$4:$AH$4,0)),ArchetypeDemand!$F$56:$F$100,$F171)*'SHWLP-Apt'!$R$10</f>
        <v>1.6558223647075477E-2</v>
      </c>
      <c r="S171" s="1134">
        <f>SUMIFS(INDEX(ArchetypeDemand!$I$56:$AH$100,,MATCH(S$129,ArchetypeDemand!$I$4:$AH$4,0)),ArchetypeDemand!$F$56:$F$100,$F171)*'SHWLP-Apt'!$R$10</f>
        <v>3.7534482064662325E-3</v>
      </c>
      <c r="T171" s="1134">
        <f>SUMIFS(INDEX(ArchetypeDemand!$I$56:$AH$100,,MATCH(T$129,ArchetypeDemand!$I$4:$AH$4,0)),ArchetypeDemand!$F$56:$F$100,$F171)*'SHWLP-Apt'!$R$10</f>
        <v>7.3215318984634514E-2</v>
      </c>
      <c r="U171" s="1134">
        <f>SUMIFS(INDEX(ArchetypeDemand!$I$56:$AH$100,,MATCH(U$129,ArchetypeDemand!$I$4:$AH$4,0)),ArchetypeDemand!$F$56:$F$100,$F171)*'SHWLP-Apt'!$R$10</f>
        <v>4.9274701916946035E-3</v>
      </c>
      <c r="V171" s="1134">
        <f>SUMIFS(INDEX(ArchetypeDemand!$I$56:$AH$100,,MATCH(V$129,ArchetypeDemand!$I$4:$AH$4,0)),ArchetypeDemand!$F$56:$F$100,$F171)*'SHWLP-Apt'!$R$10</f>
        <v>1.1893153872495545E-2</v>
      </c>
      <c r="W171" s="1134">
        <f>SUMIFS(INDEX(ArchetypeDemand!$I$56:$AH$100,,MATCH(W$129,ArchetypeDemand!$I$4:$AH$4,0)),ArchetypeDemand!$F$56:$F$100,$F171)*'SHWLP-Apt'!$R$10</f>
        <v>2.0412591868056444E-3</v>
      </c>
      <c r="X171" s="1134">
        <f>SUMIFS(INDEX(ArchetypeDemand!$I$56:$AH$100,,MATCH(X$129,ArchetypeDemand!$I$4:$AH$4,0)),ArchetypeDemand!$F$56:$F$100,$F171)*'SHWLP-Apt'!$R$10</f>
        <v>5.0637775431839243E-3</v>
      </c>
      <c r="Y171" s="1134">
        <f>SUMIFS(INDEX(ArchetypeDemand!$I$56:$AH$100,,MATCH(Y$129,ArchetypeDemand!$I$4:$AH$4,0)),ArchetypeDemand!$F$56:$F$100,$F171)*'SHWLP-Apt'!$R$10</f>
        <v>1.5958169625669292E-2</v>
      </c>
      <c r="Z171" s="1134">
        <f>SUMIFS(INDEX(ArchetypeDemand!$I$56:$AH$100,,MATCH(Z$129,ArchetypeDemand!$I$4:$AH$4,0)),ArchetypeDemand!$F$56:$F$100,$F171)*'SHWLP-Apt'!$R$10</f>
        <v>3.175236208698912E-4</v>
      </c>
      <c r="AA171" s="1134">
        <f>SUMIFS(INDEX(ArchetypeDemand!$I$56:$AH$100,,MATCH(AA$129,ArchetypeDemand!$I$4:$AH$4,0)),ArchetypeDemand!$F$56:$F$100,$F171)*'SHWLP-Apt'!$R$10</f>
        <v>2.6299144030699972E-3</v>
      </c>
      <c r="AB171" s="1134">
        <f>SUMIFS(INDEX(ArchetypeDemand!$I$56:$AH$100,,MATCH(AB$129,ArchetypeDemand!$I$4:$AH$4,0)),ArchetypeDemand!$F$56:$F$100,$F171)*'SHWLP-Apt'!$R$10</f>
        <v>9.3417684089761618E-4</v>
      </c>
      <c r="AC171" s="1134">
        <f>SUMIFS(INDEX(ArchetypeDemand!$I$56:$AH$100,,MATCH(AC$129,ArchetypeDemand!$I$4:$AH$4,0)),ArchetypeDemand!$F$56:$F$100,$F171)*'SHWLP-Apt'!$R$10</f>
        <v>2.6353881546416951E-3</v>
      </c>
      <c r="AD171" s="1134">
        <f>SUMIFS(INDEX(ArchetypeDemand!$I$56:$AH$100,,MATCH(AD$129,ArchetypeDemand!$I$4:$AH$4,0)),ArchetypeDemand!$F$56:$F$100,$F171)*'SHWLP-Apt'!$R$10</f>
        <v>2.4479277904623179E-3</v>
      </c>
      <c r="AE171" s="1134">
        <f>SUMIFS(INDEX(ArchetypeDemand!$I$56:$AH$100,,MATCH(AE$129,ArchetypeDemand!$I$4:$AH$4,0)),ArchetypeDemand!$F$56:$F$100,$F171)*'SHWLP-Apt'!$R$10</f>
        <v>5.0716684958409738E-3</v>
      </c>
      <c r="AF171" s="1134">
        <f>SUMIFS(INDEX(ArchetypeDemand!$I$56:$AH$100,,MATCH(AF$129,ArchetypeDemand!$I$4:$AH$4,0)),ArchetypeDemand!$F$56:$F$100,$F171)*'SHWLP-Apt'!$R$10</f>
        <v>2.0109260263757485E-3</v>
      </c>
    </row>
    <row r="172" spans="3:32">
      <c r="C172" s="1136" t="s">
        <v>1180</v>
      </c>
      <c r="D172" s="1136" t="s">
        <v>1094</v>
      </c>
      <c r="E172" s="1136" t="s">
        <v>835</v>
      </c>
      <c r="F172" s="1136" t="s">
        <v>1166</v>
      </c>
      <c r="G172" s="1136">
        <f>SUMIFS(INDEX(ArchetypeDemand!$I$56:$AH$100,,MATCH(G$129,ArchetypeDemand!$I$4:$AH$4,0)),ArchetypeDemand!$F$56:$F$100,$F172)*'SHWLP-Apt'!$R$10</f>
        <v>6.9366057142702248E-3</v>
      </c>
      <c r="H172" s="1136">
        <f>SUMIFS(INDEX(ArchetypeDemand!$I$56:$AH$100,,MATCH(H$129,ArchetypeDemand!$I$4:$AH$4,0)),ArchetypeDemand!$F$56:$F$100,$F172)*'SHWLP-Apt'!$R$10</f>
        <v>0.57977445722849252</v>
      </c>
      <c r="I172" s="1136">
        <f>SUMIFS(INDEX(ArchetypeDemand!$I$56:$AH$100,,MATCH(I$129,ArchetypeDemand!$I$4:$AH$4,0)),ArchetypeDemand!$F$56:$F$100,$F172)*'SHWLP-Apt'!$R$10</f>
        <v>4.1587968285663433E-2</v>
      </c>
      <c r="J172" s="1136">
        <f>SUMIFS(INDEX(ArchetypeDemand!$I$56:$AH$100,,MATCH(J$129,ArchetypeDemand!$I$4:$AH$4,0)),ArchetypeDemand!$F$56:$F$100,$F172)*'SHWLP-Apt'!$R$10</f>
        <v>1.0215303087423883E-2</v>
      </c>
      <c r="K172" s="1136">
        <f>SUMIFS(INDEX(ArchetypeDemand!$I$56:$AH$100,,MATCH(K$129,ArchetypeDemand!$I$4:$AH$4,0)),ArchetypeDemand!$F$56:$F$100,$F172)*'SHWLP-Apt'!$R$10</f>
        <v>6.5909467150534386E-3</v>
      </c>
      <c r="L172" s="1136">
        <f>SUMIFS(INDEX(ArchetypeDemand!$I$56:$AH$100,,MATCH(L$129,ArchetypeDemand!$I$4:$AH$4,0)),ArchetypeDemand!$F$56:$F$100,$F172)*'SHWLP-Apt'!$R$10</f>
        <v>2.6868955504313124E-3</v>
      </c>
      <c r="M172" s="1136">
        <f>SUMIFS(INDEX(ArchetypeDemand!$I$56:$AH$100,,MATCH(M$129,ArchetypeDemand!$I$4:$AH$4,0)),ArchetypeDemand!$F$56:$F$100,$F172)*'SHWLP-Apt'!$R$10</f>
        <v>1.701815459552573E-2</v>
      </c>
      <c r="N172" s="1136">
        <f>SUMIFS(INDEX(ArchetypeDemand!$I$56:$AH$100,,MATCH(N$129,ArchetypeDemand!$I$4:$AH$4,0)),ArchetypeDemand!$F$56:$F$100,$F172)*'SHWLP-Apt'!$R$10</f>
        <v>3.2446482835034193E-2</v>
      </c>
      <c r="O172" s="1136">
        <f>SUMIFS(INDEX(ArchetypeDemand!$I$56:$AH$100,,MATCH(O$129,ArchetypeDemand!$I$4:$AH$4,0)),ArchetypeDemand!$F$56:$F$100,$F172)*'SHWLP-Apt'!$R$10</f>
        <v>4.549089129837057E-3</v>
      </c>
      <c r="P172" s="1136">
        <f>SUMIFS(INDEX(ArchetypeDemand!$I$56:$AH$100,,MATCH(P$129,ArchetypeDemand!$I$4:$AH$4,0)),ArchetypeDemand!$F$56:$F$100,$F172)*'SHWLP-Apt'!$R$10</f>
        <v>1.2382412956192098E-2</v>
      </c>
      <c r="Q172" s="1136">
        <f>SUMIFS(INDEX(ArchetypeDemand!$I$56:$AH$100,,MATCH(Q$129,ArchetypeDemand!$I$4:$AH$4,0)),ArchetypeDemand!$F$56:$F$100,$F172)*'SHWLP-Apt'!$R$10</f>
        <v>1.0400842440817938E-2</v>
      </c>
      <c r="R172" s="1136">
        <f>SUMIFS(INDEX(ArchetypeDemand!$I$56:$AH$100,,MATCH(R$129,ArchetypeDemand!$I$4:$AH$4,0)),ArchetypeDemand!$F$56:$F$100,$F172)*'SHWLP-Apt'!$R$10</f>
        <v>2.1938305083895816E-2</v>
      </c>
      <c r="S172" s="1136">
        <f>SUMIFS(INDEX(ArchetypeDemand!$I$56:$AH$100,,MATCH(S$129,ArchetypeDemand!$I$4:$AH$4,0)),ArchetypeDemand!$F$56:$F$100,$F172)*'SHWLP-Apt'!$R$10</f>
        <v>1.083617104814584E-2</v>
      </c>
      <c r="T172" s="1136">
        <f>SUMIFS(INDEX(ArchetypeDemand!$I$56:$AH$100,,MATCH(T$129,ArchetypeDemand!$I$4:$AH$4,0)),ArchetypeDemand!$F$56:$F$100,$F172)*'SHWLP-Apt'!$R$10</f>
        <v>8.2328576495193082E-2</v>
      </c>
      <c r="U172" s="1136">
        <f>SUMIFS(INDEX(ArchetypeDemand!$I$56:$AH$100,,MATCH(U$129,ArchetypeDemand!$I$4:$AH$4,0)),ArchetypeDemand!$F$56:$F$100,$F172)*'SHWLP-Apt'!$R$10</f>
        <v>1.380293982006473E-2</v>
      </c>
      <c r="V172" s="1136">
        <f>SUMIFS(INDEX(ArchetypeDemand!$I$56:$AH$100,,MATCH(V$129,ArchetypeDemand!$I$4:$AH$4,0)),ArchetypeDemand!$F$56:$F$100,$F172)*'SHWLP-Apt'!$R$10</f>
        <v>4.6411794683796644E-2</v>
      </c>
      <c r="W172" s="1136">
        <f>SUMIFS(INDEX(ArchetypeDemand!$I$56:$AH$100,,MATCH(W$129,ArchetypeDemand!$I$4:$AH$4,0)),ArchetypeDemand!$F$56:$F$100,$F172)*'SHWLP-Apt'!$R$10</f>
        <v>6.6728879792244972E-3</v>
      </c>
      <c r="X172" s="1136">
        <f>SUMIFS(INDEX(ArchetypeDemand!$I$56:$AH$100,,MATCH(X$129,ArchetypeDemand!$I$4:$AH$4,0)),ArchetypeDemand!$F$56:$F$100,$F172)*'SHWLP-Apt'!$R$10</f>
        <v>1.3820541212489736E-2</v>
      </c>
      <c r="Y172" s="1136">
        <f>SUMIFS(INDEX(ArchetypeDemand!$I$56:$AH$100,,MATCH(Y$129,ArchetypeDemand!$I$4:$AH$4,0)),ArchetypeDemand!$F$56:$F$100,$F172)*'SHWLP-Apt'!$R$10</f>
        <v>4.3114046335307826E-2</v>
      </c>
      <c r="Z172" s="1136">
        <f>SUMIFS(INDEX(ArchetypeDemand!$I$56:$AH$100,,MATCH(Z$129,ArchetypeDemand!$I$4:$AH$4,0)),ArchetypeDemand!$F$56:$F$100,$F172)*'SHWLP-Apt'!$R$10</f>
        <v>2.8144139122558542E-3</v>
      </c>
      <c r="AA172" s="1136">
        <f>SUMIFS(INDEX(ArchetypeDemand!$I$56:$AH$100,,MATCH(AA$129,ArchetypeDemand!$I$4:$AH$4,0)),ArchetypeDemand!$F$56:$F$100,$F172)*'SHWLP-Apt'!$R$10</f>
        <v>8.9953538259158819E-3</v>
      </c>
      <c r="AB172" s="1136">
        <f>SUMIFS(INDEX(ArchetypeDemand!$I$56:$AH$100,,MATCH(AB$129,ArchetypeDemand!$I$4:$AH$4,0)),ArchetypeDemand!$F$56:$F$100,$F172)*'SHWLP-Apt'!$R$10</f>
        <v>3.0035815520357144E-3</v>
      </c>
      <c r="AC172" s="1136">
        <f>SUMIFS(INDEX(ArchetypeDemand!$I$56:$AH$100,,MATCH(AC$129,ArchetypeDemand!$I$4:$AH$4,0)),ArchetypeDemand!$F$56:$F$100,$F172)*'SHWLP-Apt'!$R$10</f>
        <v>6.1442971424689611E-3</v>
      </c>
      <c r="AD172" s="1136">
        <f>SUMIFS(INDEX(ArchetypeDemand!$I$56:$AH$100,,MATCH(AD$129,ArchetypeDemand!$I$4:$AH$4,0)),ArchetypeDemand!$F$56:$F$100,$F172)*'SHWLP-Apt'!$R$10</f>
        <v>5.2014418333179201E-3</v>
      </c>
      <c r="AE172" s="1136">
        <f>SUMIFS(INDEX(ArchetypeDemand!$I$56:$AH$100,,MATCH(AE$129,ArchetypeDemand!$I$4:$AH$4,0)),ArchetypeDemand!$F$56:$F$100,$F172)*'SHWLP-Apt'!$R$10</f>
        <v>1.2694702932615621E-2</v>
      </c>
      <c r="AF172" s="1136">
        <f>SUMIFS(INDEX(ArchetypeDemand!$I$56:$AH$100,,MATCH(AF$129,ArchetypeDemand!$I$4:$AH$4,0)),ArchetypeDemand!$F$56:$F$100,$F172)*'SHWLP-Apt'!$R$10</f>
        <v>3.9263132899563765E-3</v>
      </c>
    </row>
    <row r="173" spans="3:32">
      <c r="C173" s="1134" t="s">
        <v>1180</v>
      </c>
      <c r="D173" s="1134" t="s">
        <v>1094</v>
      </c>
      <c r="E173" s="1134" t="s">
        <v>835</v>
      </c>
      <c r="F173" s="1134" t="s">
        <v>1167</v>
      </c>
      <c r="G173" s="1134">
        <f>SUMIFS(INDEX(ArchetypeDemand!$I$56:$AH$100,,MATCH(G$129,ArchetypeDemand!$I$4:$AH$4,0)),ArchetypeDemand!$F$56:$F$100,$F173)*'SHWLP-Apt'!$R$10</f>
        <v>4.9197122049579592E-3</v>
      </c>
      <c r="H173" s="1134">
        <f>SUMIFS(INDEX(ArchetypeDemand!$I$56:$AH$100,,MATCH(H$129,ArchetypeDemand!$I$4:$AH$4,0)),ArchetypeDemand!$F$56:$F$100,$F173)*'SHWLP-Apt'!$R$10</f>
        <v>0.35426108760345354</v>
      </c>
      <c r="I173" s="1134">
        <f>SUMIFS(INDEX(ArchetypeDemand!$I$56:$AH$100,,MATCH(I$129,ArchetypeDemand!$I$4:$AH$4,0)),ArchetypeDemand!$F$56:$F$100,$F173)*'SHWLP-Apt'!$R$10</f>
        <v>2.3362362231732541E-2</v>
      </c>
      <c r="J173" s="1134">
        <f>SUMIFS(INDEX(ArchetypeDemand!$I$56:$AH$100,,MATCH(J$129,ArchetypeDemand!$I$4:$AH$4,0)),ArchetypeDemand!$F$56:$F$100,$F173)*'SHWLP-Apt'!$R$10</f>
        <v>5.0842219494747305E-3</v>
      </c>
      <c r="K173" s="1134">
        <f>SUMIFS(INDEX(ArchetypeDemand!$I$56:$AH$100,,MATCH(K$129,ArchetypeDemand!$I$4:$AH$4,0)),ArchetypeDemand!$F$56:$F$100,$F173)*'SHWLP-Apt'!$R$10</f>
        <v>5.527144789114989E-3</v>
      </c>
      <c r="L173" s="1134">
        <f>SUMIFS(INDEX(ArchetypeDemand!$I$56:$AH$100,,MATCH(L$129,ArchetypeDemand!$I$4:$AH$4,0)),ArchetypeDemand!$F$56:$F$100,$F173)*'SHWLP-Apt'!$R$10</f>
        <v>3.7684132562652993E-3</v>
      </c>
      <c r="M173" s="1134">
        <f>SUMIFS(INDEX(ArchetypeDemand!$I$56:$AH$100,,MATCH(M$129,ArchetypeDemand!$I$4:$AH$4,0)),ArchetypeDemand!$F$56:$F$100,$F173)*'SHWLP-Apt'!$R$10</f>
        <v>7.3210903424565845E-3</v>
      </c>
      <c r="N173" s="1134">
        <f>SUMIFS(INDEX(ArchetypeDemand!$I$56:$AH$100,,MATCH(N$129,ArchetypeDemand!$I$4:$AH$4,0)),ArchetypeDemand!$F$56:$F$100,$F173)*'SHWLP-Apt'!$R$10</f>
        <v>1.6000666459045066E-2</v>
      </c>
      <c r="O173" s="1134">
        <f>SUMIFS(INDEX(ArchetypeDemand!$I$56:$AH$100,,MATCH(O$129,ArchetypeDemand!$I$4:$AH$4,0)),ArchetypeDemand!$F$56:$F$100,$F173)*'SHWLP-Apt'!$R$10</f>
        <v>5.1734739123637111E-3</v>
      </c>
      <c r="P173" s="1134">
        <f>SUMIFS(INDEX(ArchetypeDemand!$I$56:$AH$100,,MATCH(P$129,ArchetypeDemand!$I$4:$AH$4,0)),ArchetypeDemand!$F$56:$F$100,$F173)*'SHWLP-Apt'!$R$10</f>
        <v>1.2401202657187839E-2</v>
      </c>
      <c r="Q173" s="1134">
        <f>SUMIFS(INDEX(ArchetypeDemand!$I$56:$AH$100,,MATCH(Q$129,ArchetypeDemand!$I$4:$AH$4,0)),ArchetypeDemand!$F$56:$F$100,$F173)*'SHWLP-Apt'!$R$10</f>
        <v>1.1374834375075136E-2</v>
      </c>
      <c r="R173" s="1134">
        <f>SUMIFS(INDEX(ArchetypeDemand!$I$56:$AH$100,,MATCH(R$129,ArchetypeDemand!$I$4:$AH$4,0)),ArchetypeDemand!$F$56:$F$100,$F173)*'SHWLP-Apt'!$R$10</f>
        <v>1.3498479233221438E-2</v>
      </c>
      <c r="S173" s="1134">
        <f>SUMIFS(INDEX(ArchetypeDemand!$I$56:$AH$100,,MATCH(S$129,ArchetypeDemand!$I$4:$AH$4,0)),ArchetypeDemand!$F$56:$F$100,$F173)*'SHWLP-Apt'!$R$10</f>
        <v>9.818007325501265E-3</v>
      </c>
      <c r="T173" s="1134">
        <f>SUMIFS(INDEX(ArchetypeDemand!$I$56:$AH$100,,MATCH(T$129,ArchetypeDemand!$I$4:$AH$4,0)),ArchetypeDemand!$F$56:$F$100,$F173)*'SHWLP-Apt'!$R$10</f>
        <v>4.8164394041997176E-2</v>
      </c>
      <c r="U173" s="1134">
        <f>SUMIFS(INDEX(ArchetypeDemand!$I$56:$AH$100,,MATCH(U$129,ArchetypeDemand!$I$4:$AH$4,0)),ArchetypeDemand!$F$56:$F$100,$F173)*'SHWLP-Apt'!$R$10</f>
        <v>1.2137373269248188E-2</v>
      </c>
      <c r="V173" s="1134">
        <f>SUMIFS(INDEX(ArchetypeDemand!$I$56:$AH$100,,MATCH(V$129,ArchetypeDemand!$I$4:$AH$4,0)),ArchetypeDemand!$F$56:$F$100,$F173)*'SHWLP-Apt'!$R$10</f>
        <v>2.7555335364201228E-2</v>
      </c>
      <c r="W173" s="1134">
        <f>SUMIFS(INDEX(ArchetypeDemand!$I$56:$AH$100,,MATCH(W$129,ArchetypeDemand!$I$4:$AH$4,0)),ArchetypeDemand!$F$56:$F$100,$F173)*'SHWLP-Apt'!$R$10</f>
        <v>1.1439236535813422E-2</v>
      </c>
      <c r="X173" s="1134">
        <f>SUMIFS(INDEX(ArchetypeDemand!$I$56:$AH$100,,MATCH(X$129,ArchetypeDemand!$I$4:$AH$4,0)),ArchetypeDemand!$F$56:$F$100,$F173)*'SHWLP-Apt'!$R$10</f>
        <v>1.421730316117365E-2</v>
      </c>
      <c r="Y173" s="1134">
        <f>SUMIFS(INDEX(ArchetypeDemand!$I$56:$AH$100,,MATCH(Y$129,ArchetypeDemand!$I$4:$AH$4,0)),ArchetypeDemand!$F$56:$F$100,$F173)*'SHWLP-Apt'!$R$10</f>
        <v>4.4625786575662428E-2</v>
      </c>
      <c r="Z173" s="1134">
        <f>SUMIFS(INDEX(ArchetypeDemand!$I$56:$AH$100,,MATCH(Z$129,ArchetypeDemand!$I$4:$AH$4,0)),ArchetypeDemand!$F$56:$F$100,$F173)*'SHWLP-Apt'!$R$10</f>
        <v>2.8865783715444657E-3</v>
      </c>
      <c r="AA173" s="1134">
        <f>SUMIFS(INDEX(ArchetypeDemand!$I$56:$AH$100,,MATCH(AA$129,ArchetypeDemand!$I$4:$AH$4,0)),ArchetypeDemand!$F$56:$F$100,$F173)*'SHWLP-Apt'!$R$10</f>
        <v>1.066981362900845E-2</v>
      </c>
      <c r="AB173" s="1134">
        <f>SUMIFS(INDEX(ArchetypeDemand!$I$56:$AH$100,,MATCH(AB$129,ArchetypeDemand!$I$4:$AH$4,0)),ArchetypeDemand!$F$56:$F$100,$F173)*'SHWLP-Apt'!$R$10</f>
        <v>2.8045490395514198E-3</v>
      </c>
      <c r="AC173" s="1134">
        <f>SUMIFS(INDEX(ArchetypeDemand!$I$56:$AH$100,,MATCH(AC$129,ArchetypeDemand!$I$4:$AH$4,0)),ArchetypeDemand!$F$56:$F$100,$F173)*'SHWLP-Apt'!$R$10</f>
        <v>8.0310308104594302E-3</v>
      </c>
      <c r="AD173" s="1134">
        <f>SUMIFS(INDEX(ArchetypeDemand!$I$56:$AH$100,,MATCH(AD$129,ArchetypeDemand!$I$4:$AH$4,0)),ArchetypeDemand!$F$56:$F$100,$F173)*'SHWLP-Apt'!$R$10</f>
        <v>5.4206596883619703E-3</v>
      </c>
      <c r="AE173" s="1134">
        <f>SUMIFS(INDEX(ArchetypeDemand!$I$56:$AH$100,,MATCH(AE$129,ArchetypeDemand!$I$4:$AH$4,0)),ArchetypeDemand!$F$56:$F$100,$F173)*'SHWLP-Apt'!$R$10</f>
        <v>7.8655474913279996E-3</v>
      </c>
      <c r="AF173" s="1134">
        <f>SUMIFS(INDEX(ArchetypeDemand!$I$56:$AH$100,,MATCH(AF$129,ArchetypeDemand!$I$4:$AH$4,0)),ArchetypeDemand!$F$56:$F$100,$F173)*'SHWLP-Apt'!$R$10</f>
        <v>3.1869426054840725E-3</v>
      </c>
    </row>
    <row r="174" spans="3:32">
      <c r="C174" s="1136" t="s">
        <v>1180</v>
      </c>
      <c r="D174" s="1136" t="s">
        <v>1094</v>
      </c>
      <c r="E174" s="1136" t="s">
        <v>835</v>
      </c>
      <c r="F174" s="1136" t="s">
        <v>1168</v>
      </c>
      <c r="G174" s="1136">
        <f>SUMIFS(INDEX(ArchetypeDemand!$I$56:$AH$100,,MATCH(G$129,ArchetypeDemand!$I$4:$AH$4,0)),ArchetypeDemand!$F$56:$F$100,$F174)*'SHWLP-Apt'!$R$10</f>
        <v>2.5446787267023926E-3</v>
      </c>
      <c r="H174" s="1136">
        <f>SUMIFS(INDEX(ArchetypeDemand!$I$56:$AH$100,,MATCH(H$129,ArchetypeDemand!$I$4:$AH$4,0)),ArchetypeDemand!$F$56:$F$100,$F174)*'SHWLP-Apt'!$R$10</f>
        <v>0.1704227385278923</v>
      </c>
      <c r="I174" s="1136">
        <f>SUMIFS(INDEX(ArchetypeDemand!$I$56:$AH$100,,MATCH(I$129,ArchetypeDemand!$I$4:$AH$4,0)),ArchetypeDemand!$F$56:$F$100,$F174)*'SHWLP-Apt'!$R$10</f>
        <v>1.2965370160316687E-2</v>
      </c>
      <c r="J174" s="1136">
        <f>SUMIFS(INDEX(ArchetypeDemand!$I$56:$AH$100,,MATCH(J$129,ArchetypeDemand!$I$4:$AH$4,0)),ArchetypeDemand!$F$56:$F$100,$F174)*'SHWLP-Apt'!$R$10</f>
        <v>2.3663890179582846E-3</v>
      </c>
      <c r="K174" s="1136">
        <f>SUMIFS(INDEX(ArchetypeDemand!$I$56:$AH$100,,MATCH(K$129,ArchetypeDemand!$I$4:$AH$4,0)),ArchetypeDemand!$F$56:$F$100,$F174)*'SHWLP-Apt'!$R$10</f>
        <v>2.150729980701648E-3</v>
      </c>
      <c r="L174" s="1136">
        <f>SUMIFS(INDEX(ArchetypeDemand!$I$56:$AH$100,,MATCH(L$129,ArchetypeDemand!$I$4:$AH$4,0)),ArchetypeDemand!$F$56:$F$100,$F174)*'SHWLP-Apt'!$R$10</f>
        <v>1.622276558750981E-3</v>
      </c>
      <c r="M174" s="1136">
        <f>SUMIFS(INDEX(ArchetypeDemand!$I$56:$AH$100,,MATCH(M$129,ArchetypeDemand!$I$4:$AH$4,0)),ArchetypeDemand!$F$56:$F$100,$F174)*'SHWLP-Apt'!$R$10</f>
        <v>4.2110757114921784E-3</v>
      </c>
      <c r="N174" s="1136">
        <f>SUMIFS(INDEX(ArchetypeDemand!$I$56:$AH$100,,MATCH(N$129,ArchetypeDemand!$I$4:$AH$4,0)),ArchetypeDemand!$F$56:$F$100,$F174)*'SHWLP-Apt'!$R$10</f>
        <v>6.6772487541610021E-3</v>
      </c>
      <c r="O174" s="1136">
        <f>SUMIFS(INDEX(ArchetypeDemand!$I$56:$AH$100,,MATCH(O$129,ArchetypeDemand!$I$4:$AH$4,0)),ArchetypeDemand!$F$56:$F$100,$F174)*'SHWLP-Apt'!$R$10</f>
        <v>2.8543304344075646E-3</v>
      </c>
      <c r="P174" s="1136">
        <f>SUMIFS(INDEX(ArchetypeDemand!$I$56:$AH$100,,MATCH(P$129,ArchetypeDemand!$I$4:$AH$4,0)),ArchetypeDemand!$F$56:$F$100,$F174)*'SHWLP-Apt'!$R$10</f>
        <v>5.6556999997174834E-3</v>
      </c>
      <c r="Q174" s="1136">
        <f>SUMIFS(INDEX(ArchetypeDemand!$I$56:$AH$100,,MATCH(Q$129,ArchetypeDemand!$I$4:$AH$4,0)),ArchetypeDemand!$F$56:$F$100,$F174)*'SHWLP-Apt'!$R$10</f>
        <v>7.5658302036050208E-3</v>
      </c>
      <c r="R174" s="1136">
        <f>SUMIFS(INDEX(ArchetypeDemand!$I$56:$AH$100,,MATCH(R$129,ArchetypeDemand!$I$4:$AH$4,0)),ArchetypeDemand!$F$56:$F$100,$F174)*'SHWLP-Apt'!$R$10</f>
        <v>5.976025757620366E-3</v>
      </c>
      <c r="S174" s="1136">
        <f>SUMIFS(INDEX(ArchetypeDemand!$I$56:$AH$100,,MATCH(S$129,ArchetypeDemand!$I$4:$AH$4,0)),ArchetypeDemand!$F$56:$F$100,$F174)*'SHWLP-Apt'!$R$10</f>
        <v>6.4544307417647197E-3</v>
      </c>
      <c r="T174" s="1136">
        <f>SUMIFS(INDEX(ArchetypeDemand!$I$56:$AH$100,,MATCH(T$129,ArchetypeDemand!$I$4:$AH$4,0)),ArchetypeDemand!$F$56:$F$100,$F174)*'SHWLP-Apt'!$R$10</f>
        <v>2.7496323905992676E-2</v>
      </c>
      <c r="U174" s="1136">
        <f>SUMIFS(INDEX(ArchetypeDemand!$I$56:$AH$100,,MATCH(U$129,ArchetypeDemand!$I$4:$AH$4,0)),ArchetypeDemand!$F$56:$F$100,$F174)*'SHWLP-Apt'!$R$10</f>
        <v>5.7763265485765106E-3</v>
      </c>
      <c r="V174" s="1136">
        <f>SUMIFS(INDEX(ArchetypeDemand!$I$56:$AH$100,,MATCH(V$129,ArchetypeDemand!$I$4:$AH$4,0)),ArchetypeDemand!$F$56:$F$100,$F174)*'SHWLP-Apt'!$R$10</f>
        <v>1.131387559175725E-2</v>
      </c>
      <c r="W174" s="1136">
        <f>SUMIFS(INDEX(ArchetypeDemand!$I$56:$AH$100,,MATCH(W$129,ArchetypeDemand!$I$4:$AH$4,0)),ArchetypeDemand!$F$56:$F$100,$F174)*'SHWLP-Apt'!$R$10</f>
        <v>6.4610502655983231E-3</v>
      </c>
      <c r="X174" s="1136">
        <f>SUMIFS(INDEX(ArchetypeDemand!$I$56:$AH$100,,MATCH(X$129,ArchetypeDemand!$I$4:$AH$4,0)),ArchetypeDemand!$F$56:$F$100,$F174)*'SHWLP-Apt'!$R$10</f>
        <v>7.5715405207180614E-3</v>
      </c>
      <c r="Y174" s="1136">
        <f>SUMIFS(INDEX(ArchetypeDemand!$I$56:$AH$100,,MATCH(Y$129,ArchetypeDemand!$I$4:$AH$4,0)),ArchetypeDemand!$F$56:$F$100,$F174)*'SHWLP-Apt'!$R$10</f>
        <v>2.4462705707556261E-2</v>
      </c>
      <c r="Z174" s="1136">
        <f>SUMIFS(INDEX(ArchetypeDemand!$I$56:$AH$100,,MATCH(Z$129,ArchetypeDemand!$I$4:$AH$4,0)),ArchetypeDemand!$F$56:$F$100,$F174)*'SHWLP-Apt'!$R$10</f>
        <v>9.5257086260967371E-4</v>
      </c>
      <c r="AA174" s="1136">
        <f>SUMIFS(INDEX(ArchetypeDemand!$I$56:$AH$100,,MATCH(AA$129,ArchetypeDemand!$I$4:$AH$4,0)),ArchetypeDemand!$F$56:$F$100,$F174)*'SHWLP-Apt'!$R$10</f>
        <v>4.4197950616513106E-3</v>
      </c>
      <c r="AB174" s="1136">
        <f>SUMIFS(INDEX(ArchetypeDemand!$I$56:$AH$100,,MATCH(AB$129,ArchetypeDemand!$I$4:$AH$4,0)),ArchetypeDemand!$F$56:$F$100,$F174)*'SHWLP-Apt'!$R$10</f>
        <v>1.5560723703317556E-3</v>
      </c>
      <c r="AC174" s="1136">
        <f>SUMIFS(INDEX(ArchetypeDemand!$I$56:$AH$100,,MATCH(AC$129,ArchetypeDemand!$I$4:$AH$4,0)),ArchetypeDemand!$F$56:$F$100,$F174)*'SHWLP-Apt'!$R$10</f>
        <v>5.3498829664729739E-3</v>
      </c>
      <c r="AD174" s="1136">
        <f>SUMIFS(INDEX(ArchetypeDemand!$I$56:$AH$100,,MATCH(AD$129,ArchetypeDemand!$I$4:$AH$4,0)),ArchetypeDemand!$F$56:$F$100,$F174)*'SHWLP-Apt'!$R$10</f>
        <v>2.7103298441809851E-3</v>
      </c>
      <c r="AE174" s="1136">
        <f>SUMIFS(INDEX(ArchetypeDemand!$I$56:$AH$100,,MATCH(AE$129,ArchetypeDemand!$I$4:$AH$4,0)),ArchetypeDemand!$F$56:$F$100,$F174)*'SHWLP-Apt'!$R$10</f>
        <v>4.6676452258599416E-3</v>
      </c>
      <c r="AF174" s="1136">
        <f>SUMIFS(INDEX(ArchetypeDemand!$I$56:$AH$100,,MATCH(AF$129,ArchetypeDemand!$I$4:$AH$4,0)),ArchetypeDemand!$F$56:$F$100,$F174)*'SHWLP-Apt'!$R$10</f>
        <v>2.1926165125730418E-3</v>
      </c>
    </row>
    <row r="175" spans="3:32">
      <c r="C175" s="1134" t="s">
        <v>1180</v>
      </c>
      <c r="D175" s="1134" t="s">
        <v>1094</v>
      </c>
      <c r="E175" s="1134" t="s">
        <v>835</v>
      </c>
      <c r="F175" s="1134" t="s">
        <v>1169</v>
      </c>
      <c r="G175" s="1134">
        <f>SUMIFS(INDEX(ArchetypeDemand!$I$56:$AH$100,,MATCH(G$129,ArchetypeDemand!$I$4:$AH$4,0)),ArchetypeDemand!$F$56:$F$100,$F175)*'SHWLP-Apt'!$R$10</f>
        <v>9.8017254658166217E-4</v>
      </c>
      <c r="H175" s="1134">
        <f>SUMIFS(INDEX(ArchetypeDemand!$I$56:$AH$100,,MATCH(H$129,ArchetypeDemand!$I$4:$AH$4,0)),ArchetypeDemand!$F$56:$F$100,$F175)*'SHWLP-Apt'!$R$10</f>
        <v>5.8462093433733625E-2</v>
      </c>
      <c r="I175" s="1134">
        <f>SUMIFS(INDEX(ArchetypeDemand!$I$56:$AH$100,,MATCH(I$129,ArchetypeDemand!$I$4:$AH$4,0)),ArchetypeDemand!$F$56:$F$100,$F175)*'SHWLP-Apt'!$R$10</f>
        <v>4.2477022239513721E-3</v>
      </c>
      <c r="J175" s="1134">
        <f>SUMIFS(INDEX(ArchetypeDemand!$I$56:$AH$100,,MATCH(J$129,ArchetypeDemand!$I$4:$AH$4,0)),ArchetypeDemand!$F$56:$F$100,$F175)*'SHWLP-Apt'!$R$10</f>
        <v>1.0074725522000616E-3</v>
      </c>
      <c r="K175" s="1134">
        <f>SUMIFS(INDEX(ArchetypeDemand!$I$56:$AH$100,,MATCH(K$129,ArchetypeDemand!$I$4:$AH$4,0)),ArchetypeDemand!$F$56:$F$100,$F175)*'SHWLP-Apt'!$R$10</f>
        <v>7.4003612239196507E-4</v>
      </c>
      <c r="L175" s="1134">
        <f>SUMIFS(INDEX(ArchetypeDemand!$I$56:$AH$100,,MATCH(L$129,ArchetypeDemand!$I$4:$AH$4,0)),ArchetypeDemand!$F$56:$F$100,$F175)*'SHWLP-Apt'!$R$10</f>
        <v>4.2246785384140127E-4</v>
      </c>
      <c r="M175" s="1134">
        <f>SUMIFS(INDEX(ArchetypeDemand!$I$56:$AH$100,,MATCH(M$129,ArchetypeDemand!$I$4:$AH$4,0)),ArchetypeDemand!$F$56:$F$100,$F175)*'SHWLP-Apt'!$R$10</f>
        <v>1.6032994681369303E-3</v>
      </c>
      <c r="N175" s="1134">
        <f>SUMIFS(INDEX(ArchetypeDemand!$I$56:$AH$100,,MATCH(N$129,ArchetypeDemand!$I$4:$AH$4,0)),ArchetypeDemand!$F$56:$F$100,$F175)*'SHWLP-Apt'!$R$10</f>
        <v>1.7311385658935927E-3</v>
      </c>
      <c r="O175" s="1134">
        <f>SUMIFS(INDEX(ArchetypeDemand!$I$56:$AH$100,,MATCH(O$129,ArchetypeDemand!$I$4:$AH$4,0)),ArchetypeDemand!$F$56:$F$100,$F175)*'SHWLP-Apt'!$R$10</f>
        <v>1.315667934609737E-3</v>
      </c>
      <c r="P175" s="1134">
        <f>SUMIFS(INDEX(ArchetypeDemand!$I$56:$AH$100,,MATCH(P$129,ArchetypeDemand!$I$4:$AH$4,0)),ArchetypeDemand!$F$56:$F$100,$F175)*'SHWLP-Apt'!$R$10</f>
        <v>2.1608156145100023E-3</v>
      </c>
      <c r="Q175" s="1134">
        <f>SUMIFS(INDEX(ArchetypeDemand!$I$56:$AH$100,,MATCH(Q$129,ArchetypeDemand!$I$4:$AH$4,0)),ArchetypeDemand!$F$56:$F$100,$F175)*'SHWLP-Apt'!$R$10</f>
        <v>2.29583813074911E-3</v>
      </c>
      <c r="R175" s="1134">
        <f>SUMIFS(INDEX(ArchetypeDemand!$I$56:$AH$100,,MATCH(R$129,ArchetypeDemand!$I$4:$AH$4,0)),ArchetypeDemand!$F$56:$F$100,$F175)*'SHWLP-Apt'!$R$10</f>
        <v>2.149272421600307E-3</v>
      </c>
      <c r="S175" s="1134">
        <f>SUMIFS(INDEX(ArchetypeDemand!$I$56:$AH$100,,MATCH(S$129,ArchetypeDemand!$I$4:$AH$4,0)),ArchetypeDemand!$F$56:$F$100,$F175)*'SHWLP-Apt'!$R$10</f>
        <v>1.7272420294863334E-3</v>
      </c>
      <c r="T175" s="1134">
        <f>SUMIFS(INDEX(ArchetypeDemand!$I$56:$AH$100,,MATCH(T$129,ArchetypeDemand!$I$4:$AH$4,0)),ArchetypeDemand!$F$56:$F$100,$F175)*'SHWLP-Apt'!$R$10</f>
        <v>1.0494430290787206E-2</v>
      </c>
      <c r="U175" s="1134">
        <f>SUMIFS(INDEX(ArchetypeDemand!$I$56:$AH$100,,MATCH(U$129,ArchetypeDemand!$I$4:$AH$4,0)),ArchetypeDemand!$F$56:$F$100,$F175)*'SHWLP-Apt'!$R$10</f>
        <v>1.7541605162855046E-3</v>
      </c>
      <c r="V175" s="1134">
        <f>SUMIFS(INDEX(ArchetypeDemand!$I$56:$AH$100,,MATCH(V$129,ArchetypeDemand!$I$4:$AH$4,0)),ArchetypeDemand!$F$56:$F$100,$F175)*'SHWLP-Apt'!$R$10</f>
        <v>3.8068700890503955E-3</v>
      </c>
      <c r="W175" s="1134">
        <f>SUMIFS(INDEX(ArchetypeDemand!$I$56:$AH$100,,MATCH(W$129,ArchetypeDemand!$I$4:$AH$4,0)),ArchetypeDemand!$F$56:$F$100,$F175)*'SHWLP-Apt'!$R$10</f>
        <v>2.6744511345304532E-3</v>
      </c>
      <c r="X175" s="1134">
        <f>SUMIFS(INDEX(ArchetypeDemand!$I$56:$AH$100,,MATCH(X$129,ArchetypeDemand!$I$4:$AH$4,0)),ArchetypeDemand!$F$56:$F$100,$F175)*'SHWLP-Apt'!$R$10</f>
        <v>2.0664684827287286E-3</v>
      </c>
      <c r="Y175" s="1134">
        <f>SUMIFS(INDEX(ArchetypeDemand!$I$56:$AH$100,,MATCH(Y$129,ArchetypeDemand!$I$4:$AH$4,0)),ArchetypeDemand!$F$56:$F$100,$F175)*'SHWLP-Apt'!$R$10</f>
        <v>6.6752166457216119E-3</v>
      </c>
      <c r="Z175" s="1134">
        <f>SUMIFS(INDEX(ArchetypeDemand!$I$56:$AH$100,,MATCH(Z$129,ArchetypeDemand!$I$4:$AH$4,0)),ArchetypeDemand!$F$56:$F$100,$F175)*'SHWLP-Apt'!$R$10</f>
        <v>3.6082229644305821E-4</v>
      </c>
      <c r="AA175" s="1134">
        <f>SUMIFS(INDEX(ArchetypeDemand!$I$56:$AH$100,,MATCH(AA$129,ArchetypeDemand!$I$4:$AH$4,0)),ArchetypeDemand!$F$56:$F$100,$F175)*'SHWLP-Apt'!$R$10</f>
        <v>1.6939302659192245E-3</v>
      </c>
      <c r="AB175" s="1134">
        <f>SUMIFS(INDEX(ArchetypeDemand!$I$56:$AH$100,,MATCH(AB$129,ArchetypeDemand!$I$4:$AH$4,0)),ArchetypeDemand!$F$56:$F$100,$F175)*'SHWLP-Apt'!$R$10</f>
        <v>4.7044048405378656E-4</v>
      </c>
      <c r="AC175" s="1134">
        <f>SUMIFS(INDEX(ArchetypeDemand!$I$56:$AH$100,,MATCH(AC$129,ArchetypeDemand!$I$4:$AH$4,0)),ArchetypeDemand!$F$56:$F$100,$F175)*'SHWLP-Apt'!$R$10</f>
        <v>9.1854139099535983E-4</v>
      </c>
      <c r="AD175" s="1134">
        <f>SUMIFS(INDEX(ArchetypeDemand!$I$56:$AH$100,,MATCH(AD$129,ArchetypeDemand!$I$4:$AH$4,0)),ArchetypeDemand!$F$56:$F$100,$F175)*'SHWLP-Apt'!$R$10</f>
        <v>9.9644479565477403E-4</v>
      </c>
      <c r="AE175" s="1134">
        <f>SUMIFS(INDEX(ArchetypeDemand!$I$56:$AH$100,,MATCH(AE$129,ArchetypeDemand!$I$4:$AH$4,0)),ArchetypeDemand!$F$56:$F$100,$F175)*'SHWLP-Apt'!$R$10</f>
        <v>1.5989511327340288E-3</v>
      </c>
      <c r="AF175" s="1134">
        <f>SUMIFS(INDEX(ArchetypeDemand!$I$56:$AH$100,,MATCH(AF$129,ArchetypeDemand!$I$4:$AH$4,0)),ArchetypeDemand!$F$56:$F$100,$F175)*'SHWLP-Apt'!$R$10</f>
        <v>9.1783947037941266E-4</v>
      </c>
    </row>
    <row r="176" spans="3:32" ht="13.5" thickBot="1">
      <c r="C176" s="1138" t="s">
        <v>1180</v>
      </c>
      <c r="D176" s="1138" t="s">
        <v>1094</v>
      </c>
      <c r="E176" s="1138" t="s">
        <v>835</v>
      </c>
      <c r="F176" s="1138" t="s">
        <v>1170</v>
      </c>
      <c r="G176" s="1138">
        <f>SUMIFS(INDEX(ArchetypeDemand!$I$56:$AH$100,,MATCH(G$129,ArchetypeDemand!$I$4:$AH$4,0)),ArchetypeDemand!$F$56:$F$100,$F176)*'SHWLP-Apt'!$R$10</f>
        <v>1.1121188509291937E-3</v>
      </c>
      <c r="H176" s="1138">
        <f>SUMIFS(INDEX(ArchetypeDemand!$I$56:$AH$100,,MATCH(H$129,ArchetypeDemand!$I$4:$AH$4,0)),ArchetypeDemand!$F$56:$F$100,$F176)*'SHWLP-Apt'!$R$10</f>
        <v>5.5441825090541137E-2</v>
      </c>
      <c r="I176" s="1138">
        <f>SUMIFS(INDEX(ArchetypeDemand!$I$56:$AH$100,,MATCH(I$129,ArchetypeDemand!$I$4:$AH$4,0)),ArchetypeDemand!$F$56:$F$100,$F176)*'SHWLP-Apt'!$R$10</f>
        <v>3.6056077017261644E-3</v>
      </c>
      <c r="J176" s="1138">
        <f>SUMIFS(INDEX(ArchetypeDemand!$I$56:$AH$100,,MATCH(J$129,ArchetypeDemand!$I$4:$AH$4,0)),ArchetypeDemand!$F$56:$F$100,$F176)*'SHWLP-Apt'!$R$10</f>
        <v>1.5697828138931196E-3</v>
      </c>
      <c r="K176" s="1138">
        <f>SUMIFS(INDEX(ArchetypeDemand!$I$56:$AH$100,,MATCH(K$129,ArchetypeDemand!$I$4:$AH$4,0)),ArchetypeDemand!$F$56:$F$100,$F176)*'SHWLP-Apt'!$R$10</f>
        <v>1.1331803124126963E-3</v>
      </c>
      <c r="L176" s="1138">
        <f>SUMIFS(INDEX(ArchetypeDemand!$I$56:$AH$100,,MATCH(L$129,ArchetypeDemand!$I$4:$AH$4,0)),ArchetypeDemand!$F$56:$F$100,$F176)*'SHWLP-Apt'!$R$10</f>
        <v>5.7455628122430572E-4</v>
      </c>
      <c r="M176" s="1138">
        <f>SUMIFS(INDEX(ArchetypeDemand!$I$56:$AH$100,,MATCH(M$129,ArchetypeDemand!$I$4:$AH$4,0)),ArchetypeDemand!$F$56:$F$100,$F176)*'SHWLP-Apt'!$R$10</f>
        <v>1.8351018008796189E-3</v>
      </c>
      <c r="N176" s="1138">
        <f>SUMIFS(INDEX(ArchetypeDemand!$I$56:$AH$100,,MATCH(N$129,ArchetypeDemand!$I$4:$AH$4,0)),ArchetypeDemand!$F$56:$F$100,$F176)*'SHWLP-Apt'!$R$10</f>
        <v>1.8795218715416148E-3</v>
      </c>
      <c r="O176" s="1138">
        <f>SUMIFS(INDEX(ArchetypeDemand!$I$56:$AH$100,,MATCH(O$129,ArchetypeDemand!$I$4:$AH$4,0)),ArchetypeDemand!$F$56:$F$100,$F176)*'SHWLP-Apt'!$R$10</f>
        <v>1.337967391128546E-3</v>
      </c>
      <c r="P176" s="1138">
        <f>SUMIFS(INDEX(ArchetypeDemand!$I$56:$AH$100,,MATCH(P$129,ArchetypeDemand!$I$4:$AH$4,0)),ArchetypeDemand!$F$56:$F$100,$F176)*'SHWLP-Apt'!$R$10</f>
        <v>1.6910730896165234E-3</v>
      </c>
      <c r="Q176" s="1138">
        <f>SUMIFS(INDEX(ArchetypeDemand!$I$56:$AH$100,,MATCH(Q$129,ArchetypeDemand!$I$4:$AH$4,0)),ArchetypeDemand!$F$56:$F$100,$F176)*'SHWLP-Apt'!$R$10</f>
        <v>2.7132632454307665E-3</v>
      </c>
      <c r="R176" s="1138">
        <f>SUMIFS(INDEX(ArchetypeDemand!$I$56:$AH$100,,MATCH(R$129,ArchetypeDemand!$I$4:$AH$4,0)),ArchetypeDemand!$F$56:$F$100,$F176)*'SHWLP-Apt'!$R$10</f>
        <v>3.6957001395810153E-3</v>
      </c>
      <c r="S176" s="1138">
        <f>SUMIFS(INDEX(ArchetypeDemand!$I$56:$AH$100,,MATCH(S$129,ArchetypeDemand!$I$4:$AH$4,0)),ArchetypeDemand!$F$56:$F$100,$F176)*'SHWLP-Apt'!$R$10</f>
        <v>2.6363167818475616E-3</v>
      </c>
      <c r="T176" s="1138">
        <f>SUMIFS(INDEX(ArchetypeDemand!$I$56:$AH$100,,MATCH(T$129,ArchetypeDemand!$I$4:$AH$4,0)),ArchetypeDemand!$F$56:$F$100,$F176)*'SHWLP-Apt'!$R$10</f>
        <v>1.5145891751550965E-2</v>
      </c>
      <c r="U176" s="1138">
        <f>SUMIFS(INDEX(ArchetypeDemand!$I$56:$AH$100,,MATCH(U$129,ArchetypeDemand!$I$4:$AH$4,0)),ArchetypeDemand!$F$56:$F$100,$F176)*'SHWLP-Apt'!$R$10</f>
        <v>2.6932565502565324E-3</v>
      </c>
      <c r="V176" s="1138">
        <f>SUMIFS(INDEX(ArchetypeDemand!$I$56:$AH$100,,MATCH(V$129,ArchetypeDemand!$I$4:$AH$4,0)),ArchetypeDemand!$F$56:$F$100,$F176)*'SHWLP-Apt'!$R$10</f>
        <v>4.5184345916766374E-3</v>
      </c>
      <c r="W176" s="1138">
        <f>SUMIFS(INDEX(ArchetypeDemand!$I$56:$AH$100,,MATCH(W$129,ArchetypeDemand!$I$4:$AH$4,0)),ArchetypeDemand!$F$56:$F$100,$F176)*'SHWLP-Apt'!$R$10</f>
        <v>4.3956325577431217E-3</v>
      </c>
      <c r="X176" s="1138">
        <f>SUMIFS(INDEX(ArchetypeDemand!$I$56:$AH$100,,MATCH(X$129,ArchetypeDemand!$I$4:$AH$4,0)),ArchetypeDemand!$F$56:$F$100,$F176)*'SHWLP-Apt'!$R$10</f>
        <v>2.4962939271363036E-3</v>
      </c>
      <c r="Y176" s="1138">
        <f>SUMIFS(INDEX(ArchetypeDemand!$I$56:$AH$100,,MATCH(Y$129,ArchetypeDemand!$I$4:$AH$4,0)),ArchetypeDemand!$F$56:$F$100,$F176)*'SHWLP-Apt'!$R$10</f>
        <v>4.8886145434843568E-3</v>
      </c>
      <c r="Z176" s="1138">
        <f>SUMIFS(INDEX(ArchetypeDemand!$I$56:$AH$100,,MATCH(Z$129,ArchetypeDemand!$I$4:$AH$4,0)),ArchetypeDemand!$F$56:$F$100,$F176)*'SHWLP-Apt'!$R$10</f>
        <v>3.4638940458533589E-4</v>
      </c>
      <c r="AA176" s="1138">
        <f>SUMIFS(INDEX(ArchetypeDemand!$I$56:$AH$100,,MATCH(AA$129,ArchetypeDemand!$I$4:$AH$4,0)),ArchetypeDemand!$F$56:$F$100,$F176)*'SHWLP-Apt'!$R$10</f>
        <v>1.8691644313591443E-3</v>
      </c>
      <c r="AB176" s="1138">
        <f>SUMIFS(INDEX(ArchetypeDemand!$I$56:$AH$100,,MATCH(AB$129,ArchetypeDemand!$I$4:$AH$4,0)),ArchetypeDemand!$F$56:$F$100,$F176)*'SHWLP-Apt'!$R$10</f>
        <v>7.9613004993717726E-4</v>
      </c>
      <c r="AC176" s="1138">
        <f>SUMIFS(INDEX(ArchetypeDemand!$I$56:$AH$100,,MATCH(AC$129,ArchetypeDemand!$I$4:$AH$4,0)),ArchetypeDemand!$F$56:$F$100,$F176)*'SHWLP-Apt'!$R$10</f>
        <v>6.2063607499686477E-4</v>
      </c>
      <c r="AD176" s="1138">
        <f>SUMIFS(INDEX(ArchetypeDemand!$I$56:$AH$100,,MATCH(AD$129,ArchetypeDemand!$I$4:$AH$4,0)),ArchetypeDemand!$F$56:$F$100,$F176)*'SHWLP-Apt'!$R$10</f>
        <v>1.1957337547857287E-3</v>
      </c>
      <c r="AE176" s="1138">
        <f>SUMIFS(INDEX(ArchetypeDemand!$I$56:$AH$100,,MATCH(AE$129,ArchetypeDemand!$I$4:$AH$4,0)),ArchetypeDemand!$F$56:$F$100,$F176)*'SHWLP-Apt'!$R$10</f>
        <v>1.9381225851321556E-3</v>
      </c>
      <c r="AF176" s="1138">
        <f>SUMIFS(INDEX(ArchetypeDemand!$I$56:$AH$100,,MATCH(AF$129,ArchetypeDemand!$I$4:$AH$4,0)),ArchetypeDemand!$F$56:$F$100,$F176)*'SHWLP-Apt'!$R$10</f>
        <v>2.2945986759485321E-3</v>
      </c>
    </row>
    <row r="177" spans="3:32" ht="13.5" thickBot="1">
      <c r="C177" s="1141" t="s">
        <v>1181</v>
      </c>
      <c r="D177" s="1141" t="s">
        <v>1094</v>
      </c>
      <c r="E177" s="1141" t="s">
        <v>835</v>
      </c>
      <c r="F177" s="1141" t="s">
        <v>934</v>
      </c>
      <c r="G177" s="1141">
        <f>SUM(ArchetypeDemand!I56:I100)*'SHWLP-Apt'!$R$36</f>
        <v>1.643556180105659E-2</v>
      </c>
      <c r="H177" s="1141">
        <f>SUM(ArchetypeDemand!J56:J100)*'SHWLP-Apt'!$R$36</f>
        <v>1.5932480283017616</v>
      </c>
      <c r="I177" s="1141">
        <f>SUM(ArchetypeDemand!K56:K100)*'SHWLP-Apt'!$R$36</f>
        <v>9.5141591737795198E-2</v>
      </c>
      <c r="J177" s="1141">
        <f>SUM(ArchetypeDemand!L56:L100)*'SHWLP-Apt'!$R$36</f>
        <v>2.2628170184411076E-2</v>
      </c>
      <c r="K177" s="1141">
        <f>SUM(ArchetypeDemand!M56:M100)*'SHWLP-Apt'!$R$36</f>
        <v>1.8540456950710663E-2</v>
      </c>
      <c r="L177" s="1141">
        <f>SUM(ArchetypeDemand!N56:N100)*'SHWLP-Apt'!$R$36</f>
        <v>8.9334280659583449E-3</v>
      </c>
      <c r="M177" s="1141">
        <f>SUM(ArchetypeDemand!O56:O100)*'SHWLP-Apt'!$R$36</f>
        <v>3.9262045395189404E-2</v>
      </c>
      <c r="N177" s="1141">
        <f>SUM(ArchetypeDemand!P56:P100)*'SHWLP-Apt'!$R$36</f>
        <v>6.9916561287378359E-2</v>
      </c>
      <c r="O177" s="1141">
        <f>SUM(ArchetypeDemand!Q56:Q100)*'SHWLP-Apt'!$R$36</f>
        <v>1.518500765819218E-2</v>
      </c>
      <c r="P177" s="1141">
        <f>SUM(ArchetypeDemand!R56:R100)*'SHWLP-Apt'!$R$36</f>
        <v>3.7325895166992987E-2</v>
      </c>
      <c r="Q177" s="1141">
        <f>SUM(ArchetypeDemand!S56:S100)*'SHWLP-Apt'!$R$36</f>
        <v>3.4483702489365504E-2</v>
      </c>
      <c r="R177" s="1141">
        <f>SUM(ArchetypeDemand!T56:T100)*'SHWLP-Apt'!$R$36</f>
        <v>5.8311249303100637E-2</v>
      </c>
      <c r="S177" s="1141">
        <f>SUM(ArchetypeDemand!U56:U100)*'SHWLP-Apt'!$R$36</f>
        <v>3.2187060955997271E-2</v>
      </c>
      <c r="T177" s="1141">
        <f>SUM(ArchetypeDemand!V56:V100)*'SHWLP-Apt'!$R$36</f>
        <v>0.23468953851519961</v>
      </c>
      <c r="U177" s="1141">
        <f>SUM(ArchetypeDemand!W56:W100)*'SHWLP-Apt'!$R$36</f>
        <v>3.7546979333985375E-2</v>
      </c>
      <c r="V177" s="1141">
        <f>SUM(ArchetypeDemand!X56:X100)*'SHWLP-Apt'!$R$36</f>
        <v>9.6399099790417067E-2</v>
      </c>
      <c r="W177" s="1141">
        <f>SUM(ArchetypeDemand!Y56:Y100)*'SHWLP-Apt'!$R$36</f>
        <v>3.0778897353747087E-2</v>
      </c>
      <c r="X177" s="1141">
        <f>SUM(ArchetypeDemand!Z56:Z100)*'SHWLP-Apt'!$R$36</f>
        <v>4.1333882279276153E-2</v>
      </c>
      <c r="Y177" s="1141">
        <f>SUM(ArchetypeDemand!AA56:AA100)*'SHWLP-Apt'!$R$36</f>
        <v>0.12767192632725347</v>
      </c>
      <c r="Z177" s="1141">
        <f>SUM(ArchetypeDemand!AB56:AB100)*'SHWLP-Apt'!$R$36</f>
        <v>7.0159698528243757E-3</v>
      </c>
      <c r="AA177" s="1141">
        <f>SUM(ArchetypeDemand!AC56:AC100)*'SHWLP-Apt'!$R$36</f>
        <v>2.7666199346873584E-2</v>
      </c>
      <c r="AB177" s="1141">
        <f>SUM(ArchetypeDemand!AD56:AD100)*'SHWLP-Apt'!$R$36</f>
        <v>8.7398794776974865E-3</v>
      </c>
      <c r="AC177" s="1141">
        <f>SUM(ArchetypeDemand!AE56:AE100)*'SHWLP-Apt'!$R$36</f>
        <v>2.1655438168997999E-2</v>
      </c>
      <c r="AD177" s="1141">
        <f>SUM(ArchetypeDemand!AF56:AF100)*'SHWLP-Apt'!$R$36</f>
        <v>1.6422229905473477E-2</v>
      </c>
      <c r="AE177" s="1141">
        <f>SUM(ArchetypeDemand!AG56:AG100)*'SHWLP-Apt'!$R$36</f>
        <v>3.0917895696705243E-2</v>
      </c>
      <c r="AF177" s="1141">
        <f>SUM(ArchetypeDemand!AH56:AH100)*'SHWLP-Apt'!$R$36</f>
        <v>1.3275947302075129E-2</v>
      </c>
    </row>
    <row r="178" spans="3:32" ht="15">
      <c r="C178" s="1137" t="s">
        <v>1201</v>
      </c>
      <c r="D178" s="1137"/>
      <c r="E178" s="1137"/>
      <c r="F178" s="1137"/>
      <c r="G178" s="1137"/>
      <c r="H178" s="1137"/>
      <c r="I178" s="1137"/>
      <c r="J178" s="1137"/>
      <c r="K178" s="1137"/>
      <c r="L178" s="1137"/>
      <c r="M178" s="1137"/>
      <c r="N178" s="1137"/>
      <c r="O178" s="1137"/>
      <c r="P178" s="1137"/>
      <c r="Q178" s="1137"/>
      <c r="R178" s="1137"/>
      <c r="S178" s="1137"/>
      <c r="T178" s="1137"/>
      <c r="U178" s="1137"/>
      <c r="V178" s="1137"/>
      <c r="W178" s="1137"/>
      <c r="X178" s="1137"/>
      <c r="Y178" s="1137"/>
      <c r="Z178" s="1137"/>
      <c r="AA178" s="1137"/>
      <c r="AB178" s="1137"/>
      <c r="AC178" s="1137"/>
      <c r="AD178" s="1137"/>
      <c r="AE178" s="1137"/>
      <c r="AF178" s="1137"/>
    </row>
    <row r="179" spans="3:32">
      <c r="C179" s="1145" t="s">
        <v>1182</v>
      </c>
      <c r="D179" s="1134" t="s">
        <v>1094</v>
      </c>
      <c r="E179" s="1134" t="s">
        <v>405</v>
      </c>
      <c r="F179" s="1134" t="s">
        <v>1165</v>
      </c>
      <c r="G179" s="1134">
        <f>SUMIFS(INDEX(ArchetypeDemand!$I$56:$AH$100,,MATCH(G$129,ArchetypeDemand!$I$4:$AH$4,0)),ArchetypeDemand!$F$56:$F$100,$F179)*'SHWLP-Apt'!$R$11</f>
        <v>3.4296155411398993E-2</v>
      </c>
      <c r="H179" s="1134">
        <f>SUMIFS(INDEX(ArchetypeDemand!$I$56:$AH$100,,MATCH(H$129,ArchetypeDemand!$I$4:$AH$4,0)),ArchetypeDemand!$F$56:$F$100,$F179)*'SHWLP-Apt'!$R$11</f>
        <v>12.059883554796532</v>
      </c>
      <c r="I179" s="1134">
        <f>SUMIFS(INDEX(ArchetypeDemand!$I$56:$AH$100,,MATCH(I$129,ArchetypeDemand!$I$4:$AH$4,0)),ArchetypeDemand!$F$56:$F$100,$F179)*'SHWLP-Apt'!$R$11</f>
        <v>0.421383530206629</v>
      </c>
      <c r="J179" s="1134">
        <f>SUMIFS(INDEX(ArchetypeDemand!$I$56:$AH$100,,MATCH(J$129,ArchetypeDemand!$I$4:$AH$4,0)),ArchetypeDemand!$F$56:$F$100,$F179)*'SHWLP-Apt'!$R$11</f>
        <v>0.10379871030880895</v>
      </c>
      <c r="K179" s="1134">
        <f>SUMIFS(INDEX(ArchetypeDemand!$I$56:$AH$100,,MATCH(K$129,ArchetypeDemand!$I$4:$AH$4,0)),ArchetypeDemand!$F$56:$F$100,$F179)*'SHWLP-Apt'!$R$11</f>
        <v>9.5247306122079586E-2</v>
      </c>
      <c r="L179" s="1134">
        <f>SUMIFS(INDEX(ArchetypeDemand!$I$56:$AH$100,,MATCH(L$129,ArchetypeDemand!$I$4:$AH$4,0)),ArchetypeDemand!$F$56:$F$100,$F179)*'SHWLP-Apt'!$R$11</f>
        <v>1.6120481726505681E-2</v>
      </c>
      <c r="M179" s="1134">
        <f>SUMIFS(INDEX(ArchetypeDemand!$I$56:$AH$100,,MATCH(M$129,ArchetypeDemand!$I$4:$AH$4,0)),ArchetypeDemand!$F$56:$F$100,$F179)*'SHWLP-Apt'!$R$11</f>
        <v>0.25207796983481218</v>
      </c>
      <c r="N179" s="1134">
        <f>SUMIFS(INDEX(ArchetypeDemand!$I$56:$AH$100,,MATCH(N$129,ArchetypeDemand!$I$4:$AH$4,0)),ArchetypeDemand!$F$56:$F$100,$F179)*'SHWLP-Apt'!$R$11</f>
        <v>0.40824222164157925</v>
      </c>
      <c r="O179" s="1134">
        <f>SUMIFS(INDEX(ArchetypeDemand!$I$56:$AH$100,,MATCH(O$129,ArchetypeDemand!$I$4:$AH$4,0)),ArchetypeDemand!$F$56:$F$100,$F179)*'SHWLP-Apt'!$R$11</f>
        <v>3.1865988260770736E-2</v>
      </c>
      <c r="P179" s="1134">
        <f>SUMIFS(INDEX(ArchetypeDemand!$I$56:$AH$100,,MATCH(P$129,ArchetypeDemand!$I$4:$AH$4,0)),ArchetypeDemand!$F$56:$F$100,$F179)*'SHWLP-Apt'!$R$11</f>
        <v>0.15056951757847073</v>
      </c>
      <c r="Q179" s="1134">
        <f>SUMIFS(INDEX(ArchetypeDemand!$I$56:$AH$100,,MATCH(Q$129,ArchetypeDemand!$I$4:$AH$4,0)),ArchetypeDemand!$F$56:$F$100,$F179)*'SHWLP-Apt'!$R$11</f>
        <v>7.7793545953343854E-2</v>
      </c>
      <c r="R179" s="1134">
        <f>SUMIFS(INDEX(ArchetypeDemand!$I$56:$AH$100,,MATCH(R$129,ArchetypeDemand!$I$4:$AH$4,0)),ArchetypeDemand!$F$56:$F$100,$F179)*'SHWLP-Apt'!$R$11</f>
        <v>0.38015005768143167</v>
      </c>
      <c r="S179" s="1134">
        <f>SUMIFS(INDEX(ArchetypeDemand!$I$56:$AH$100,,MATCH(S$129,ArchetypeDemand!$I$4:$AH$4,0)),ArchetypeDemand!$F$56:$F$100,$F179)*'SHWLP-Apt'!$R$11</f>
        <v>8.6173105437213945E-2</v>
      </c>
      <c r="T179" s="1134">
        <f>SUMIFS(INDEX(ArchetypeDemand!$I$56:$AH$100,,MATCH(T$129,ArchetypeDemand!$I$4:$AH$4,0)),ArchetypeDemand!$F$56:$F$100,$F179)*'SHWLP-Apt'!$R$11</f>
        <v>1.6809054116193844</v>
      </c>
      <c r="U179" s="1134">
        <f>SUMIFS(INDEX(ArchetypeDemand!$I$56:$AH$100,,MATCH(U$129,ArchetypeDemand!$I$4:$AH$4,0)),ArchetypeDemand!$F$56:$F$100,$F179)*'SHWLP-Apt'!$R$11</f>
        <v>0.1131267530576615</v>
      </c>
      <c r="V179" s="1134">
        <f>SUMIFS(INDEX(ArchetypeDemand!$I$56:$AH$100,,MATCH(V$129,ArchetypeDemand!$I$4:$AH$4,0)),ArchetypeDemand!$F$56:$F$100,$F179)*'SHWLP-Apt'!$R$11</f>
        <v>0.27304759417486535</v>
      </c>
      <c r="W179" s="1134">
        <f>SUMIFS(INDEX(ArchetypeDemand!$I$56:$AH$100,,MATCH(W$129,ArchetypeDemand!$I$4:$AH$4,0)),ArchetypeDemand!$F$56:$F$100,$F179)*'SHWLP-Apt'!$R$11</f>
        <v>4.6864012357024351E-2</v>
      </c>
      <c r="X179" s="1134">
        <f>SUMIFS(INDEX(ArchetypeDemand!$I$56:$AH$100,,MATCH(X$129,ArchetypeDemand!$I$4:$AH$4,0)),ArchetypeDemand!$F$56:$F$100,$F179)*'SHWLP-Apt'!$R$11</f>
        <v>0.11625614958204171</v>
      </c>
      <c r="Y179" s="1134">
        <f>SUMIFS(INDEX(ArchetypeDemand!$I$56:$AH$100,,MATCH(Y$129,ArchetypeDemand!$I$4:$AH$4,0)),ArchetypeDemand!$F$56:$F$100,$F179)*'SHWLP-Apt'!$R$11</f>
        <v>0.36637378700702117</v>
      </c>
      <c r="Z179" s="1134">
        <f>SUMIFS(INDEX(ArchetypeDemand!$I$56:$AH$100,,MATCH(Z$129,ArchetypeDemand!$I$4:$AH$4,0)),ArchetypeDemand!$F$56:$F$100,$F179)*'SHWLP-Apt'!$R$11</f>
        <v>7.289829232994172E-3</v>
      </c>
      <c r="AA179" s="1134">
        <f>SUMIFS(INDEX(ArchetypeDemand!$I$56:$AH$100,,MATCH(AA$129,ArchetypeDemand!$I$4:$AH$4,0)),ArchetypeDemand!$F$56:$F$100,$F179)*'SHWLP-Apt'!$R$11</f>
        <v>6.0378584885273361E-2</v>
      </c>
      <c r="AB179" s="1134">
        <f>SUMIFS(INDEX(ArchetypeDemand!$I$56:$AH$100,,MATCH(AB$129,ArchetypeDemand!$I$4:$AH$4,0)),ArchetypeDemand!$F$56:$F$100,$F179)*'SHWLP-Apt'!$R$11</f>
        <v>2.1447190684286306E-2</v>
      </c>
      <c r="AC179" s="1134">
        <f>SUMIFS(INDEX(ArchetypeDemand!$I$56:$AH$100,,MATCH(AC$129,ArchetypeDemand!$I$4:$AH$4,0)),ArchetypeDemand!$F$56:$F$100,$F179)*'SHWLP-Apt'!$R$11</f>
        <v>6.0504253376052697E-2</v>
      </c>
      <c r="AD179" s="1134">
        <f>SUMIFS(INDEX(ArchetypeDemand!$I$56:$AH$100,,MATCH(AD$129,ArchetypeDemand!$I$4:$AH$4,0)),ArchetypeDemand!$F$56:$F$100,$F179)*'SHWLP-Apt'!$R$11</f>
        <v>5.620046634100085E-2</v>
      </c>
      <c r="AE179" s="1134">
        <f>SUMIFS(INDEX(ArchetypeDemand!$I$56:$AH$100,,MATCH(AE$129,ArchetypeDemand!$I$4:$AH$4,0)),ArchetypeDemand!$F$56:$F$100,$F179)*'SHWLP-Apt'!$R$11</f>
        <v>0.11643731310366554</v>
      </c>
      <c r="AF179" s="1134">
        <f>SUMIFS(INDEX(ArchetypeDemand!$I$56:$AH$100,,MATCH(AF$129,ArchetypeDemand!$I$4:$AH$4,0)),ArchetypeDemand!$F$56:$F$100,$F179)*'SHWLP-Apt'!$R$11</f>
        <v>4.6167612010413396E-2</v>
      </c>
    </row>
    <row r="180" spans="3:32">
      <c r="C180" s="1136" t="s">
        <v>1182</v>
      </c>
      <c r="D180" s="1136" t="s">
        <v>1094</v>
      </c>
      <c r="E180" s="1136" t="s">
        <v>405</v>
      </c>
      <c r="F180" s="1136" t="s">
        <v>1166</v>
      </c>
      <c r="G180" s="1136">
        <f>SUMIFS(INDEX(ArchetypeDemand!$I$56:$AH$100,,MATCH(G$129,ArchetypeDemand!$I$4:$AH$4,0)),ArchetypeDemand!$F$56:$F$100,$F180)*'SHWLP-Apt'!$R$11</f>
        <v>0.15925325799418794</v>
      </c>
      <c r="H180" s="1136">
        <f>SUMIFS(INDEX(ArchetypeDemand!$I$56:$AH$100,,MATCH(H$129,ArchetypeDemand!$I$4:$AH$4,0)),ArchetypeDemand!$F$56:$F$100,$F180)*'SHWLP-Apt'!$R$11</f>
        <v>13.310684651644957</v>
      </c>
      <c r="I180" s="1136">
        <f>SUMIFS(INDEX(ArchetypeDemand!$I$56:$AH$100,,MATCH(I$129,ArchetypeDemand!$I$4:$AH$4,0)),ArchetypeDemand!$F$56:$F$100,$F180)*'SHWLP-Apt'!$R$11</f>
        <v>0.95479254777675482</v>
      </c>
      <c r="J180" s="1136">
        <f>SUMIFS(INDEX(ArchetypeDemand!$I$56:$AH$100,,MATCH(J$129,ArchetypeDemand!$I$4:$AH$4,0)),ArchetypeDemand!$F$56:$F$100,$F180)*'SHWLP-Apt'!$R$11</f>
        <v>0.23452685147197991</v>
      </c>
      <c r="K180" s="1136">
        <f>SUMIFS(INDEX(ArchetypeDemand!$I$56:$AH$100,,MATCH(K$129,ArchetypeDemand!$I$4:$AH$4,0)),ArchetypeDemand!$F$56:$F$100,$F180)*'SHWLP-Apt'!$R$11</f>
        <v>0.15131748593970334</v>
      </c>
      <c r="L180" s="1136">
        <f>SUMIFS(INDEX(ArchetypeDemand!$I$56:$AH$100,,MATCH(L$129,ArchetypeDemand!$I$4:$AH$4,0)),ArchetypeDemand!$F$56:$F$100,$F180)*'SHWLP-Apt'!$R$11</f>
        <v>6.1686779950025007E-2</v>
      </c>
      <c r="M180" s="1136">
        <f>SUMIFS(INDEX(ArchetypeDemand!$I$56:$AH$100,,MATCH(M$129,ArchetypeDemand!$I$4:$AH$4,0)),ArchetypeDemand!$F$56:$F$100,$F180)*'SHWLP-Apt'!$R$11</f>
        <v>0.39070932903260219</v>
      </c>
      <c r="N180" s="1136">
        <f>SUMIFS(INDEX(ArchetypeDemand!$I$56:$AH$100,,MATCH(N$129,ArchetypeDemand!$I$4:$AH$4,0)),ArchetypeDemand!$F$56:$F$100,$F180)*'SHWLP-Apt'!$R$11</f>
        <v>0.74491881401036419</v>
      </c>
      <c r="O180" s="1136">
        <f>SUMIFS(INDEX(ArchetypeDemand!$I$56:$AH$100,,MATCH(O$129,ArchetypeDemand!$I$4:$AH$4,0)),ArchetypeDemand!$F$56:$F$100,$F180)*'SHWLP-Apt'!$R$11</f>
        <v>0.10443973532215016</v>
      </c>
      <c r="P180" s="1136">
        <f>SUMIFS(INDEX(ArchetypeDemand!$I$56:$AH$100,,MATCH(P$129,ArchetypeDemand!$I$4:$AH$4,0)),ArchetypeDemand!$F$56:$F$100,$F180)*'SHWLP-Apt'!$R$11</f>
        <v>0.28428019211850158</v>
      </c>
      <c r="Q180" s="1136">
        <f>SUMIFS(INDEX(ArchetypeDemand!$I$56:$AH$100,,MATCH(Q$129,ArchetypeDemand!$I$4:$AH$4,0)),ArchetypeDemand!$F$56:$F$100,$F180)*'SHWLP-Apt'!$R$11</f>
        <v>0.23878653520365745</v>
      </c>
      <c r="R180" s="1136">
        <f>SUMIFS(INDEX(ArchetypeDemand!$I$56:$AH$100,,MATCH(R$129,ArchetypeDemand!$I$4:$AH$4,0)),ArchetypeDemand!$F$56:$F$100,$F180)*'SHWLP-Apt'!$R$11</f>
        <v>0.50366803353020462</v>
      </c>
      <c r="S180" s="1136">
        <f>SUMIFS(INDEX(ArchetypeDemand!$I$56:$AH$100,,MATCH(S$129,ArchetypeDemand!$I$4:$AH$4,0)),ArchetypeDemand!$F$56:$F$100,$F180)*'SHWLP-Apt'!$R$11</f>
        <v>0.24878097655880294</v>
      </c>
      <c r="T180" s="1136">
        <f>SUMIFS(INDEX(ArchetypeDemand!$I$56:$AH$100,,MATCH(T$129,ArchetypeDemand!$I$4:$AH$4,0)),ArchetypeDemand!$F$56:$F$100,$F180)*'SHWLP-Apt'!$R$11</f>
        <v>1.8901310774966817</v>
      </c>
      <c r="U180" s="1136">
        <f>SUMIFS(INDEX(ArchetypeDemand!$I$56:$AH$100,,MATCH(U$129,ArchetypeDemand!$I$4:$AH$4,0)),ArchetypeDemand!$F$56:$F$100,$F180)*'SHWLP-Apt'!$R$11</f>
        <v>0.31689319341315325</v>
      </c>
      <c r="V180" s="1136">
        <f>SUMIFS(INDEX(ArchetypeDemand!$I$56:$AH$100,,MATCH(V$129,ArchetypeDemand!$I$4:$AH$4,0)),ArchetypeDemand!$F$56:$F$100,$F180)*'SHWLP-Apt'!$R$11</f>
        <v>1.0655398068173969</v>
      </c>
      <c r="W180" s="1136">
        <f>SUMIFS(INDEX(ArchetypeDemand!$I$56:$AH$100,,MATCH(W$129,ArchetypeDemand!$I$4:$AH$4,0)),ArchetypeDemand!$F$56:$F$100,$F180)*'SHWLP-Apt'!$R$11</f>
        <v>0.15319872495211512</v>
      </c>
      <c r="X180" s="1136">
        <f>SUMIFS(INDEX(ArchetypeDemand!$I$56:$AH$100,,MATCH(X$129,ArchetypeDemand!$I$4:$AH$4,0)),ArchetypeDemand!$F$56:$F$100,$F180)*'SHWLP-Apt'!$R$11</f>
        <v>0.31729729294026776</v>
      </c>
      <c r="Y180" s="1136">
        <f>SUMIFS(INDEX(ArchetypeDemand!$I$56:$AH$100,,MATCH(Y$129,ArchetypeDemand!$I$4:$AH$4,0)),ArchetypeDemand!$F$56:$F$100,$F180)*'SHWLP-Apt'!$R$11</f>
        <v>0.98982883373132624</v>
      </c>
      <c r="Z180" s="1136">
        <f>SUMIFS(INDEX(ArchetypeDemand!$I$56:$AH$100,,MATCH(Z$129,ArchetypeDemand!$I$4:$AH$4,0)),ArchetypeDemand!$F$56:$F$100,$F180)*'SHWLP-Apt'!$R$11</f>
        <v>6.461439547426652E-2</v>
      </c>
      <c r="AA180" s="1136">
        <f>SUMIFS(INDEX(ArchetypeDemand!$I$56:$AH$100,,MATCH(AA$129,ArchetypeDemand!$I$4:$AH$4,0)),ArchetypeDemand!$F$56:$F$100,$F180)*'SHWLP-Apt'!$R$11</f>
        <v>0.20651878780431729</v>
      </c>
      <c r="AB180" s="1136">
        <f>SUMIFS(INDEX(ArchetypeDemand!$I$56:$AH$100,,MATCH(AB$129,ArchetypeDemand!$I$4:$AH$4,0)),ArchetypeDemand!$F$56:$F$100,$F180)*'SHWLP-Apt'!$R$11</f>
        <v>6.895737879823409E-2</v>
      </c>
      <c r="AC180" s="1136">
        <f>SUMIFS(INDEX(ArchetypeDemand!$I$56:$AH$100,,MATCH(AC$129,ArchetypeDemand!$I$4:$AH$4,0)),ArchetypeDemand!$F$56:$F$100,$F180)*'SHWLP-Apt'!$R$11</f>
        <v>0.14106313351637653</v>
      </c>
      <c r="AD180" s="1136">
        <f>SUMIFS(INDEX(ArchetypeDemand!$I$56:$AH$100,,MATCH(AD$129,ArchetypeDemand!$I$4:$AH$4,0)),ArchetypeDemand!$F$56:$F$100,$F180)*'SHWLP-Apt'!$R$11</f>
        <v>0.11941669922495918</v>
      </c>
      <c r="AE180" s="1136">
        <f>SUMIFS(INDEX(ArchetypeDemand!$I$56:$AH$100,,MATCH(AE$129,ArchetypeDemand!$I$4:$AH$4,0)),ArchetypeDemand!$F$56:$F$100,$F180)*'SHWLP-Apt'!$R$11</f>
        <v>0.29144986533231299</v>
      </c>
      <c r="AF180" s="1136">
        <f>SUMIFS(INDEX(ArchetypeDemand!$I$56:$AH$100,,MATCH(AF$129,ArchetypeDemand!$I$4:$AH$4,0)),ArchetypeDemand!$F$56:$F$100,$F180)*'SHWLP-Apt'!$R$11</f>
        <v>9.0141808412879484E-2</v>
      </c>
    </row>
    <row r="181" spans="3:32">
      <c r="C181" s="1134" t="s">
        <v>1182</v>
      </c>
      <c r="D181" s="1134" t="s">
        <v>1094</v>
      </c>
      <c r="E181" s="1134" t="s">
        <v>405</v>
      </c>
      <c r="F181" s="1134" t="s">
        <v>1167</v>
      </c>
      <c r="G181" s="1134">
        <f>SUMIFS(INDEX(ArchetypeDemand!$I$56:$AH$100,,MATCH(G$129,ArchetypeDemand!$I$4:$AH$4,0)),ArchetypeDemand!$F$56:$F$100,$F181)*'SHWLP-Apt'!$R$11</f>
        <v>0.11294864221870395</v>
      </c>
      <c r="H181" s="1134">
        <f>SUMIFS(INDEX(ArchetypeDemand!$I$56:$AH$100,,MATCH(H$129,ArchetypeDemand!$I$4:$AH$4,0)),ArchetypeDemand!$F$56:$F$100,$F181)*'SHWLP-Apt'!$R$11</f>
        <v>8.1332621033008863</v>
      </c>
      <c r="I181" s="1134">
        <f>SUMIFS(INDEX(ArchetypeDemand!$I$56:$AH$100,,MATCH(I$129,ArchetypeDemand!$I$4:$AH$4,0)),ArchetypeDemand!$F$56:$F$100,$F181)*'SHWLP-Apt'!$R$11</f>
        <v>0.53636208443991085</v>
      </c>
      <c r="J181" s="1134">
        <f>SUMIFS(INDEX(ArchetypeDemand!$I$56:$AH$100,,MATCH(J$129,ArchetypeDemand!$I$4:$AH$4,0)),ArchetypeDemand!$F$56:$F$100,$F181)*'SHWLP-Apt'!$R$11</f>
        <v>0.1167255201133478</v>
      </c>
      <c r="K181" s="1134">
        <f>SUMIFS(INDEX(ArchetypeDemand!$I$56:$AH$100,,MATCH(K$129,ArchetypeDemand!$I$4:$AH$4,0)),ArchetypeDemand!$F$56:$F$100,$F181)*'SHWLP-Apt'!$R$11</f>
        <v>0.1268943127704881</v>
      </c>
      <c r="L181" s="1134">
        <f>SUMIFS(INDEX(ArchetypeDemand!$I$56:$AH$100,,MATCH(L$129,ArchetypeDemand!$I$4:$AH$4,0)),ArchetypeDemand!$F$56:$F$100,$F181)*'SHWLP-Apt'!$R$11</f>
        <v>8.6516678797833799E-2</v>
      </c>
      <c r="M181" s="1134">
        <f>SUMIFS(INDEX(ArchetypeDemand!$I$56:$AH$100,,MATCH(M$129,ArchetypeDemand!$I$4:$AH$4,0)),ArchetypeDemand!$F$56:$F$100,$F181)*'SHWLP-Apt'!$R$11</f>
        <v>0.16808040374955302</v>
      </c>
      <c r="N181" s="1134">
        <f>SUMIFS(INDEX(ArchetypeDemand!$I$56:$AH$100,,MATCH(N$129,ArchetypeDemand!$I$4:$AH$4,0)),ArchetypeDemand!$F$56:$F$100,$F181)*'SHWLP-Apt'!$R$11</f>
        <v>0.36734944562858662</v>
      </c>
      <c r="O181" s="1134">
        <f>SUMIFS(INDEX(ArchetypeDemand!$I$56:$AH$100,,MATCH(O$129,ArchetypeDemand!$I$4:$AH$4,0)),ArchetypeDemand!$F$56:$F$100,$F181)*'SHWLP-Apt'!$R$11</f>
        <v>0.11877460095460214</v>
      </c>
      <c r="P181" s="1134">
        <f>SUMIFS(INDEX(ArchetypeDemand!$I$56:$AH$100,,MATCH(P$129,ArchetypeDemand!$I$4:$AH$4,0)),ArchetypeDemand!$F$56:$F$100,$F181)*'SHWLP-Apt'!$R$11</f>
        <v>0.2847115732901534</v>
      </c>
      <c r="Q181" s="1134">
        <f>SUMIFS(INDEX(ArchetypeDemand!$I$56:$AH$100,,MATCH(Q$129,ArchetypeDemand!$I$4:$AH$4,0)),ArchetypeDemand!$F$56:$F$100,$F181)*'SHWLP-Apt'!$R$11</f>
        <v>0.26114781609229426</v>
      </c>
      <c r="R181" s="1134">
        <f>SUMIFS(INDEX(ArchetypeDemand!$I$56:$AH$100,,MATCH(R$129,ArchetypeDemand!$I$4:$AH$4,0)),ArchetypeDemand!$F$56:$F$100,$F181)*'SHWLP-Apt'!$R$11</f>
        <v>0.30990327033220477</v>
      </c>
      <c r="S181" s="1134">
        <f>SUMIFS(INDEX(ArchetypeDemand!$I$56:$AH$100,,MATCH(S$129,ArchetypeDemand!$I$4:$AH$4,0)),ArchetypeDemand!$F$56:$F$100,$F181)*'SHWLP-Apt'!$R$11</f>
        <v>0.22540558278817718</v>
      </c>
      <c r="T181" s="1134">
        <f>SUMIFS(INDEX(ArchetypeDemand!$I$56:$AH$100,,MATCH(T$129,ArchetypeDemand!$I$4:$AH$4,0)),ArchetypeDemand!$F$56:$F$100,$F181)*'SHWLP-Apt'!$R$11</f>
        <v>1.1057766559693918</v>
      </c>
      <c r="U181" s="1134">
        <f>SUMIFS(INDEX(ArchetypeDemand!$I$56:$AH$100,,MATCH(U$129,ArchetypeDemand!$I$4:$AH$4,0)),ArchetypeDemand!$F$56:$F$100,$F181)*'SHWLP-Apt'!$R$11</f>
        <v>0.27865447687806155</v>
      </c>
      <c r="V181" s="1134">
        <f>SUMIFS(INDEX(ArchetypeDemand!$I$56:$AH$100,,MATCH(V$129,ArchetypeDemand!$I$4:$AH$4,0)),ArchetypeDemand!$F$56:$F$100,$F181)*'SHWLP-Apt'!$R$11</f>
        <v>0.63262597192799841</v>
      </c>
      <c r="W181" s="1134">
        <f>SUMIFS(INDEX(ArchetypeDemand!$I$56:$AH$100,,MATCH(W$129,ArchetypeDemand!$I$4:$AH$4,0)),ArchetypeDemand!$F$56:$F$100,$F181)*'SHWLP-Apt'!$R$11</f>
        <v>0.26262638563219731</v>
      </c>
      <c r="X181" s="1134">
        <f>SUMIFS(INDEX(ArchetypeDemand!$I$56:$AH$100,,MATCH(X$129,ArchetypeDemand!$I$4:$AH$4,0)),ArchetypeDemand!$F$56:$F$100,$F181)*'SHWLP-Apt'!$R$11</f>
        <v>0.32640630613472515</v>
      </c>
      <c r="Y181" s="1134">
        <f>SUMIFS(INDEX(ArchetypeDemand!$I$56:$AH$100,,MATCH(Y$129,ArchetypeDemand!$I$4:$AH$4,0)),ArchetypeDemand!$F$56:$F$100,$F181)*'SHWLP-Apt'!$R$11</f>
        <v>1.0245359467537818</v>
      </c>
      <c r="Z181" s="1134">
        <f>SUMIFS(INDEX(ArchetypeDemand!$I$56:$AH$100,,MATCH(Z$129,ArchetypeDemand!$I$4:$AH$4,0)),ArchetypeDemand!$F$56:$F$100,$F181)*'SHWLP-Apt'!$R$11</f>
        <v>6.627117484540157E-2</v>
      </c>
      <c r="AA181" s="1134">
        <f>SUMIFS(INDEX(ArchetypeDemand!$I$56:$AH$100,,MATCH(AA$129,ArchetypeDemand!$I$4:$AH$4,0)),ArchetypeDemand!$F$56:$F$100,$F181)*'SHWLP-Apt'!$R$11</f>
        <v>0.2449616790406188</v>
      </c>
      <c r="AB181" s="1134">
        <f>SUMIFS(INDEX(ArchetypeDemand!$I$56:$AH$100,,MATCH(AB$129,ArchetypeDemand!$I$4:$AH$4,0)),ArchetypeDemand!$F$56:$F$100,$F181)*'SHWLP-Apt'!$R$11</f>
        <v>6.4387913938110136E-2</v>
      </c>
      <c r="AC181" s="1134">
        <f>SUMIFS(INDEX(ArchetypeDemand!$I$56:$AH$100,,MATCH(AC$129,ArchetypeDemand!$I$4:$AH$4,0)),ArchetypeDemand!$F$56:$F$100,$F181)*'SHWLP-Apt'!$R$11</f>
        <v>0.18437948966685982</v>
      </c>
      <c r="AD181" s="1134">
        <f>SUMIFS(INDEX(ArchetypeDemand!$I$56:$AH$100,,MATCH(AD$129,ArchetypeDemand!$I$4:$AH$4,0)),ArchetypeDemand!$F$56:$F$100,$F181)*'SHWLP-Apt'!$R$11</f>
        <v>0.12444958693175823</v>
      </c>
      <c r="AE181" s="1134">
        <f>SUMIFS(INDEX(ArchetypeDemand!$I$56:$AH$100,,MATCH(AE$129,ArchetypeDemand!$I$4:$AH$4,0)),ArchetypeDemand!$F$56:$F$100,$F181)*'SHWLP-Apt'!$R$11</f>
        <v>0.18058026007231096</v>
      </c>
      <c r="AF181" s="1134">
        <f>SUMIFS(INDEX(ArchetypeDemand!$I$56:$AH$100,,MATCH(AF$129,ArchetypeDemand!$I$4:$AH$4,0)),ArchetypeDemand!$F$56:$F$100,$F181)*'SHWLP-Apt'!$R$11</f>
        <v>7.3167052283181405E-2</v>
      </c>
    </row>
    <row r="182" spans="3:32">
      <c r="C182" s="1136" t="s">
        <v>1182</v>
      </c>
      <c r="D182" s="1136" t="s">
        <v>1094</v>
      </c>
      <c r="E182" s="1136" t="s">
        <v>405</v>
      </c>
      <c r="F182" s="1136" t="s">
        <v>1168</v>
      </c>
      <c r="G182" s="1136">
        <f>SUMIFS(INDEX(ArchetypeDemand!$I$56:$AH$100,,MATCH(G$129,ArchetypeDemand!$I$4:$AH$4,0)),ArchetypeDemand!$F$56:$F$100,$F182)*'SHWLP-Apt'!$R$11</f>
        <v>5.8421711492433082E-2</v>
      </c>
      <c r="H182" s="1136">
        <f>SUMIFS(INDEX(ArchetypeDemand!$I$56:$AH$100,,MATCH(H$129,ArchetypeDemand!$I$4:$AH$4,0)),ArchetypeDemand!$F$56:$F$100,$F182)*'SHWLP-Apt'!$R$11</f>
        <v>3.9126306820386727</v>
      </c>
      <c r="I182" s="1136">
        <f>SUMIFS(INDEX(ArchetypeDemand!$I$56:$AH$100,,MATCH(I$129,ArchetypeDemand!$I$4:$AH$4,0)),ArchetypeDemand!$F$56:$F$100,$F182)*'SHWLP-Apt'!$R$11</f>
        <v>0.29766394749572223</v>
      </c>
      <c r="J182" s="1136">
        <f>SUMIFS(INDEX(ArchetypeDemand!$I$56:$AH$100,,MATCH(J$129,ArchetypeDemand!$I$4:$AH$4,0)),ArchetypeDemand!$F$56:$F$100,$F182)*'SHWLP-Apt'!$R$11</f>
        <v>5.4328467886857731E-2</v>
      </c>
      <c r="K182" s="1136">
        <f>SUMIFS(INDEX(ArchetypeDemand!$I$56:$AH$100,,MATCH(K$129,ArchetypeDemand!$I$4:$AH$4,0)),ArchetypeDemand!$F$56:$F$100,$F182)*'SHWLP-Apt'!$R$11</f>
        <v>4.9377284885587409E-2</v>
      </c>
      <c r="L182" s="1136">
        <f>SUMIFS(INDEX(ArchetypeDemand!$I$56:$AH$100,,MATCH(L$129,ArchetypeDemand!$I$4:$AH$4,0)),ArchetypeDemand!$F$56:$F$100,$F182)*'SHWLP-Apt'!$R$11</f>
        <v>3.7244848271713211E-2</v>
      </c>
      <c r="M182" s="1136">
        <f>SUMIFS(INDEX(ArchetypeDemand!$I$56:$AH$100,,MATCH(M$129,ArchetypeDemand!$I$4:$AH$4,0)),ArchetypeDemand!$F$56:$F$100,$F182)*'SHWLP-Apt'!$R$11</f>
        <v>9.6679493449610993E-2</v>
      </c>
      <c r="N182" s="1136">
        <f>SUMIFS(INDEX(ArchetypeDemand!$I$56:$AH$100,,MATCH(N$129,ArchetypeDemand!$I$4:$AH$4,0)),ArchetypeDemand!$F$56:$F$100,$F182)*'SHWLP-Apt'!$R$11</f>
        <v>0.15329884129786461</v>
      </c>
      <c r="O182" s="1136">
        <f>SUMIFS(INDEX(ArchetypeDemand!$I$56:$AH$100,,MATCH(O$129,ArchetypeDemand!$I$4:$AH$4,0)),ArchetypeDemand!$F$56:$F$100,$F182)*'SHWLP-Apt'!$R$11</f>
        <v>6.5530814319780487E-2</v>
      </c>
      <c r="P182" s="1136">
        <f>SUMIFS(INDEX(ArchetypeDemand!$I$56:$AH$100,,MATCH(P$129,ArchetypeDemand!$I$4:$AH$4,0)),ArchetypeDemand!$F$56:$F$100,$F182)*'SHWLP-Apt'!$R$11</f>
        <v>0.129845732667176</v>
      </c>
      <c r="Q182" s="1136">
        <f>SUMIFS(INDEX(ArchetypeDemand!$I$56:$AH$100,,MATCH(Q$129,ArchetypeDemand!$I$4:$AH$4,0)),ArchetypeDemand!$F$56:$F$100,$F182)*'SHWLP-Apt'!$R$11</f>
        <v>0.17369923547423238</v>
      </c>
      <c r="R182" s="1136">
        <f>SUMIFS(INDEX(ArchetypeDemand!$I$56:$AH$100,,MATCH(R$129,ArchetypeDemand!$I$4:$AH$4,0)),ArchetypeDemand!$F$56:$F$100,$F182)*'SHWLP-Apt'!$R$11</f>
        <v>0.13719989443833533</v>
      </c>
      <c r="S182" s="1136">
        <f>SUMIFS(INDEX(ArchetypeDemand!$I$56:$AH$100,,MATCH(S$129,ArchetypeDemand!$I$4:$AH$4,0)),ArchetypeDemand!$F$56:$F$100,$F182)*'SHWLP-Apt'!$R$11</f>
        <v>0.14818329979593128</v>
      </c>
      <c r="T182" s="1136">
        <f>SUMIFS(INDEX(ArchetypeDemand!$I$56:$AH$100,,MATCH(T$129,ArchetypeDemand!$I$4:$AH$4,0)),ArchetypeDemand!$F$56:$F$100,$F182)*'SHWLP-Apt'!$R$11</f>
        <v>0.6312711642070743</v>
      </c>
      <c r="U182" s="1136">
        <f>SUMIFS(INDEX(ArchetypeDemand!$I$56:$AH$100,,MATCH(U$129,ArchetypeDemand!$I$4:$AH$4,0)),ArchetypeDemand!$F$56:$F$100,$F182)*'SHWLP-Apt'!$R$11</f>
        <v>0.13261512330255193</v>
      </c>
      <c r="V182" s="1136">
        <f>SUMIFS(INDEX(ArchetypeDemand!$I$56:$AH$100,,MATCH(V$129,ArchetypeDemand!$I$4:$AH$4,0)),ArchetypeDemand!$F$56:$F$100,$F182)*'SHWLP-Apt'!$R$11</f>
        <v>0.2597483009336391</v>
      </c>
      <c r="W182" s="1136">
        <f>SUMIFS(INDEX(ArchetypeDemand!$I$56:$AH$100,,MATCH(W$129,ArchetypeDemand!$I$4:$AH$4,0)),ArchetypeDemand!$F$56:$F$100,$F182)*'SHWLP-Apt'!$R$11</f>
        <v>0.1483352733663337</v>
      </c>
      <c r="X182" s="1136">
        <f>SUMIFS(INDEX(ArchetypeDemand!$I$56:$AH$100,,MATCH(X$129,ArchetypeDemand!$I$4:$AH$4,0)),ArchetypeDemand!$F$56:$F$100,$F182)*'SHWLP-Apt'!$R$11</f>
        <v>0.17383033512756296</v>
      </c>
      <c r="Y182" s="1136">
        <f>SUMIFS(INDEX(ArchetypeDemand!$I$56:$AH$100,,MATCH(Y$129,ArchetypeDemand!$I$4:$AH$4,0)),ArchetypeDemand!$F$56:$F$100,$F182)*'SHWLP-Apt'!$R$11</f>
        <v>0.56162419254518781</v>
      </c>
      <c r="Z182" s="1136">
        <f>SUMIFS(INDEX(ArchetypeDemand!$I$56:$AH$100,,MATCH(Z$129,ArchetypeDemand!$I$4:$AH$4,0)),ArchetypeDemand!$F$56:$F$100,$F182)*'SHWLP-Apt'!$R$11</f>
        <v>2.1869487698982514E-2</v>
      </c>
      <c r="AA182" s="1136">
        <f>SUMIFS(INDEX(ArchetypeDemand!$I$56:$AH$100,,MATCH(AA$129,ArchetypeDemand!$I$4:$AH$4,0)),ArchetypeDemand!$F$56:$F$100,$F182)*'SHWLP-Apt'!$R$11</f>
        <v>0.10147135244930743</v>
      </c>
      <c r="AB182" s="1136">
        <f>SUMIFS(INDEX(ArchetypeDemand!$I$56:$AH$100,,MATCH(AB$129,ArchetypeDemand!$I$4:$AH$4,0)),ArchetypeDemand!$F$56:$F$100,$F182)*'SHWLP-Apt'!$R$11</f>
        <v>3.5724907088241761E-2</v>
      </c>
      <c r="AC182" s="1136">
        <f>SUMIFS(INDEX(ArchetypeDemand!$I$56:$AH$100,,MATCH(AC$129,ArchetypeDemand!$I$4:$AH$4,0)),ArchetypeDemand!$F$56:$F$100,$F182)*'SHWLP-Apt'!$R$11</f>
        <v>0.1228246677688046</v>
      </c>
      <c r="AD182" s="1136">
        <f>SUMIFS(INDEX(ArchetypeDemand!$I$56:$AH$100,,MATCH(AD$129,ArchetypeDemand!$I$4:$AH$4,0)),ArchetypeDemand!$F$56:$F$100,$F182)*'SHWLP-Apt'!$R$11</f>
        <v>6.2224793465879114E-2</v>
      </c>
      <c r="AE182" s="1136">
        <f>SUMIFS(INDEX(ArchetypeDemand!$I$56:$AH$100,,MATCH(AE$129,ArchetypeDemand!$I$4:$AH$4,0)),ArchetypeDemand!$F$56:$F$100,$F182)*'SHWLP-Apt'!$R$11</f>
        <v>0.10716159170615577</v>
      </c>
      <c r="AF182" s="1136">
        <f>SUMIFS(INDEX(ArchetypeDemand!$I$56:$AH$100,,MATCH(AF$129,ArchetypeDemand!$I$4:$AH$4,0)),ArchetypeDemand!$F$56:$F$100,$F182)*'SHWLP-Apt'!$R$11</f>
        <v>5.033893197082881E-2</v>
      </c>
    </row>
    <row r="183" spans="3:32">
      <c r="C183" s="1134" t="s">
        <v>1182</v>
      </c>
      <c r="D183" s="1134" t="s">
        <v>1094</v>
      </c>
      <c r="E183" s="1134" t="s">
        <v>405</v>
      </c>
      <c r="F183" s="1134" t="s">
        <v>1169</v>
      </c>
      <c r="G183" s="1134">
        <f>SUMIFS(INDEX(ArchetypeDemand!$I$56:$AH$100,,MATCH(G$129,ArchetypeDemand!$I$4:$AH$4,0)),ArchetypeDemand!$F$56:$F$100,$F183)*'SHWLP-Apt'!$R$11</f>
        <v>2.2503177760048294E-2</v>
      </c>
      <c r="H183" s="1134">
        <f>SUMIFS(INDEX(ArchetypeDemand!$I$56:$AH$100,,MATCH(H$129,ArchetypeDemand!$I$4:$AH$4,0)),ArchetypeDemand!$F$56:$F$100,$F183)*'SHWLP-Apt'!$R$11</f>
        <v>1.3421951934401106</v>
      </c>
      <c r="I183" s="1134">
        <f>SUMIFS(INDEX(ArchetypeDemand!$I$56:$AH$100,,MATCH(I$129,ArchetypeDemand!$I$4:$AH$4,0)),ArchetypeDemand!$F$56:$F$100,$F183)*'SHWLP-Apt'!$R$11</f>
        <v>9.752037898907473E-2</v>
      </c>
      <c r="J183" s="1134">
        <f>SUMIFS(INDEX(ArchetypeDemand!$I$56:$AH$100,,MATCH(J$129,ArchetypeDemand!$I$4:$AH$4,0)),ArchetypeDemand!$F$56:$F$100,$F183)*'SHWLP-Apt'!$R$11</f>
        <v>2.3129941773612696E-2</v>
      </c>
      <c r="K183" s="1134">
        <f>SUMIFS(INDEX(ArchetypeDemand!$I$56:$AH$100,,MATCH(K$129,ArchetypeDemand!$I$4:$AH$4,0)),ArchetypeDemand!$F$56:$F$100,$F183)*'SHWLP-Apt'!$R$11</f>
        <v>1.6990033509019325E-2</v>
      </c>
      <c r="L183" s="1134">
        <f>SUMIFS(INDEX(ArchetypeDemand!$I$56:$AH$100,,MATCH(L$129,ArchetypeDemand!$I$4:$AH$4,0)),ArchetypeDemand!$F$56:$F$100,$F183)*'SHWLP-Apt'!$R$11</f>
        <v>9.6991792374253143E-3</v>
      </c>
      <c r="M183" s="1134">
        <f>SUMIFS(INDEX(ArchetypeDemand!$I$56:$AH$100,,MATCH(M$129,ArchetypeDemand!$I$4:$AH$4,0)),ArchetypeDemand!$F$56:$F$100,$F183)*'SHWLP-Apt'!$R$11</f>
        <v>3.680916493723721E-2</v>
      </c>
      <c r="N183" s="1134">
        <f>SUMIFS(INDEX(ArchetypeDemand!$I$56:$AH$100,,MATCH(N$129,ArchetypeDemand!$I$4:$AH$4,0)),ArchetypeDemand!$F$56:$F$100,$F183)*'SHWLP-Apt'!$R$11</f>
        <v>3.9744144040187113E-2</v>
      </c>
      <c r="O183" s="1134">
        <f>SUMIFS(INDEX(ArchetypeDemand!$I$56:$AH$100,,MATCH(O$129,ArchetypeDemand!$I$4:$AH$4,0)),ArchetypeDemand!$F$56:$F$100,$F183)*'SHWLP-Apt'!$R$11</f>
        <v>3.0205609725523823E-2</v>
      </c>
      <c r="P183" s="1134">
        <f>SUMIFS(INDEX(ArchetypeDemand!$I$56:$AH$100,,MATCH(P$129,ArchetypeDemand!$I$4:$AH$4,0)),ArchetypeDemand!$F$56:$F$100,$F183)*'SHWLP-Apt'!$R$11</f>
        <v>4.9608834739950966E-2</v>
      </c>
      <c r="Q183" s="1134">
        <f>SUMIFS(INDEX(ArchetypeDemand!$I$56:$AH$100,,MATCH(Q$129,ArchetypeDemand!$I$4:$AH$4,0)),ArchetypeDemand!$F$56:$F$100,$F183)*'SHWLP-Apt'!$R$11</f>
        <v>5.2708733523215354E-2</v>
      </c>
      <c r="R183" s="1134">
        <f>SUMIFS(INDEX(ArchetypeDemand!$I$56:$AH$100,,MATCH(R$129,ArchetypeDemand!$I$4:$AH$4,0)),ArchetypeDemand!$F$56:$F$100,$F183)*'SHWLP-Apt'!$R$11</f>
        <v>4.9343821683962709E-2</v>
      </c>
      <c r="S183" s="1134">
        <f>SUMIFS(INDEX(ArchetypeDemand!$I$56:$AH$100,,MATCH(S$129,ArchetypeDemand!$I$4:$AH$4,0)),ArchetypeDemand!$F$56:$F$100,$F183)*'SHWLP-Apt'!$R$11</f>
        <v>3.9654685860883013E-2</v>
      </c>
      <c r="T183" s="1134">
        <f>SUMIFS(INDEX(ArchetypeDemand!$I$56:$AH$100,,MATCH(T$129,ArchetypeDemand!$I$4:$AH$4,0)),ArchetypeDemand!$F$56:$F$100,$F183)*'SHWLP-Apt'!$R$11</f>
        <v>0.24093516100570003</v>
      </c>
      <c r="U183" s="1134">
        <f>SUMIFS(INDEX(ArchetypeDemand!$I$56:$AH$100,,MATCH(U$129,ArchetypeDemand!$I$4:$AH$4,0)),ArchetypeDemand!$F$56:$F$100,$F183)*'SHWLP-Apt'!$R$11</f>
        <v>4.0272690818873129E-2</v>
      </c>
      <c r="V183" s="1134">
        <f>SUMIFS(INDEX(ArchetypeDemand!$I$56:$AH$100,,MATCH(V$129,ArchetypeDemand!$I$4:$AH$4,0)),ArchetypeDemand!$F$56:$F$100,$F183)*'SHWLP-Apt'!$R$11</f>
        <v>8.7399585534274793E-2</v>
      </c>
      <c r="W183" s="1134">
        <f>SUMIFS(INDEX(ArchetypeDemand!$I$56:$AH$100,,MATCH(W$129,ArchetypeDemand!$I$4:$AH$4,0)),ArchetypeDemand!$F$56:$F$100,$F183)*'SHWLP-Apt'!$R$11</f>
        <v>6.1401076270490587E-2</v>
      </c>
      <c r="X183" s="1134">
        <f>SUMIFS(INDEX(ArchetypeDemand!$I$56:$AH$100,,MATCH(X$129,ArchetypeDemand!$I$4:$AH$4,0)),ArchetypeDemand!$F$56:$F$100,$F183)*'SHWLP-Apt'!$R$11</f>
        <v>4.7442777054465875E-2</v>
      </c>
      <c r="Y183" s="1134">
        <f>SUMIFS(INDEX(ArchetypeDemand!$I$56:$AH$100,,MATCH(Y$129,ArchetypeDemand!$I$4:$AH$4,0)),ArchetypeDemand!$F$56:$F$100,$F183)*'SHWLP-Apt'!$R$11</f>
        <v>0.15325218737188109</v>
      </c>
      <c r="Z183" s="1134">
        <f>SUMIFS(INDEX(ArchetypeDemand!$I$56:$AH$100,,MATCH(Z$129,ArchetypeDemand!$I$4:$AH$4,0)),ArchetypeDemand!$F$56:$F$100,$F183)*'SHWLP-Apt'!$R$11</f>
        <v>8.2838968556751963E-3</v>
      </c>
      <c r="AA183" s="1134">
        <f>SUMIFS(INDEX(ArchetypeDemand!$I$56:$AH$100,,MATCH(AA$129,ArchetypeDemand!$I$4:$AH$4,0)),ArchetypeDemand!$F$56:$F$100,$F183)*'SHWLP-Apt'!$R$11</f>
        <v>3.8889901599514297E-2</v>
      </c>
      <c r="AB183" s="1134">
        <f>SUMIFS(INDEX(ArchetypeDemand!$I$56:$AH$100,,MATCH(AB$129,ArchetypeDemand!$I$4:$AH$4,0)),ArchetypeDemand!$F$56:$F$100,$F183)*'SHWLP-Apt'!$R$11</f>
        <v>1.0800553305747506E-2</v>
      </c>
      <c r="AC183" s="1134">
        <f>SUMIFS(INDEX(ArchetypeDemand!$I$56:$AH$100,,MATCH(AC$129,ArchetypeDemand!$I$4:$AH$4,0)),ArchetypeDemand!$F$56:$F$100,$F183)*'SHWLP-Apt'!$R$11</f>
        <v>2.1088226020630027E-2</v>
      </c>
      <c r="AD183" s="1134">
        <f>SUMIFS(INDEX(ArchetypeDemand!$I$56:$AH$100,,MATCH(AD$129,ArchetypeDemand!$I$4:$AH$4,0)),ArchetypeDemand!$F$56:$F$100,$F183)*'SHWLP-Apt'!$R$11</f>
        <v>2.2876762303632031E-2</v>
      </c>
      <c r="AE183" s="1134">
        <f>SUMIFS(INDEX(ArchetypeDemand!$I$56:$AH$100,,MATCH(AE$129,ArchetypeDemand!$I$4:$AH$4,0)),ArchetypeDemand!$F$56:$F$100,$F183)*'SHWLP-Apt'!$R$11</f>
        <v>3.6709334183077591E-2</v>
      </c>
      <c r="AF183" s="1134">
        <f>SUMIFS(INDEX(ArchetypeDemand!$I$56:$AH$100,,MATCH(AF$129,ArchetypeDemand!$I$4:$AH$4,0)),ArchetypeDemand!$F$56:$F$100,$F183)*'SHWLP-Apt'!$R$11</f>
        <v>2.1072111057556242E-2</v>
      </c>
    </row>
    <row r="184" spans="3:32" ht="13.5" thickBot="1">
      <c r="C184" s="1138" t="s">
        <v>1182</v>
      </c>
      <c r="D184" s="1138" t="s">
        <v>1094</v>
      </c>
      <c r="E184" s="1138" t="s">
        <v>405</v>
      </c>
      <c r="F184" s="1138" t="s">
        <v>1170</v>
      </c>
      <c r="G184" s="1138">
        <f>SUMIFS(INDEX(ArchetypeDemand!$I$56:$AH$100,,MATCH(G$129,ArchetypeDemand!$I$4:$AH$4,0)),ArchetypeDemand!$F$56:$F$100,$F184)*'SHWLP-Apt'!$R$11</f>
        <v>2.5532451689285567E-2</v>
      </c>
      <c r="H184" s="1138">
        <f>SUMIFS(INDEX(ArchetypeDemand!$I$56:$AH$100,,MATCH(H$129,ArchetypeDemand!$I$4:$AH$4,0)),ArchetypeDemand!$F$56:$F$100,$F184)*'SHWLP-Apt'!$R$11</f>
        <v>1.2728547128819312</v>
      </c>
      <c r="I184" s="1138">
        <f>SUMIFS(INDEX(ArchetypeDemand!$I$56:$AH$100,,MATCH(I$129,ArchetypeDemand!$I$4:$AH$4,0)),ArchetypeDemand!$F$56:$F$100,$F184)*'SHWLP-Apt'!$R$11</f>
        <v>8.2778926351191329E-2</v>
      </c>
      <c r="J184" s="1138">
        <f>SUMIFS(INDEX(ArchetypeDemand!$I$56:$AH$100,,MATCH(J$129,ArchetypeDemand!$I$4:$AH$4,0)),ArchetypeDemand!$F$56:$F$100,$F184)*'SHWLP-Apt'!$R$11</f>
        <v>3.6039676717024439E-2</v>
      </c>
      <c r="K184" s="1138">
        <f>SUMIFS(INDEX(ArchetypeDemand!$I$56:$AH$100,,MATCH(K$129,ArchetypeDemand!$I$4:$AH$4,0)),ArchetypeDemand!$F$56:$F$100,$F184)*'SHWLP-Apt'!$R$11</f>
        <v>2.6015988810685835E-2</v>
      </c>
      <c r="L184" s="1138">
        <f>SUMIFS(INDEX(ArchetypeDemand!$I$56:$AH$100,,MATCH(L$129,ArchetypeDemand!$I$4:$AH$4,0)),ArchetypeDemand!$F$56:$F$100,$F184)*'SHWLP-Apt'!$R$11</f>
        <v>1.3190883762898425E-2</v>
      </c>
      <c r="M184" s="1138">
        <f>SUMIFS(INDEX(ArchetypeDemand!$I$56:$AH$100,,MATCH(M$129,ArchetypeDemand!$I$4:$AH$4,0)),ArchetypeDemand!$F$56:$F$100,$F184)*'SHWLP-Apt'!$R$11</f>
        <v>4.2130971916114882E-2</v>
      </c>
      <c r="N184" s="1138">
        <f>SUMIFS(INDEX(ArchetypeDemand!$I$56:$AH$100,,MATCH(N$129,ArchetypeDemand!$I$4:$AH$4,0)),ArchetypeDemand!$F$56:$F$100,$F184)*'SHWLP-Apt'!$R$11</f>
        <v>4.3150784957917437E-2</v>
      </c>
      <c r="O184" s="1138">
        <f>SUMIFS(INDEX(ArchetypeDemand!$I$56:$AH$100,,MATCH(O$129,ArchetypeDemand!$I$4:$AH$4,0)),ArchetypeDemand!$F$56:$F$100,$F184)*'SHWLP-Apt'!$R$11</f>
        <v>3.0717569212397107E-2</v>
      </c>
      <c r="P184" s="1138">
        <f>SUMIFS(INDEX(ArchetypeDemand!$I$56:$AH$100,,MATCH(P$129,ArchetypeDemand!$I$4:$AH$4,0)),ArchetypeDemand!$F$56:$F$100,$F184)*'SHWLP-Apt'!$R$11</f>
        <v>3.8824305448657274E-2</v>
      </c>
      <c r="Q184" s="1138">
        <f>SUMIFS(INDEX(ArchetypeDemand!$I$56:$AH$100,,MATCH(Q$129,ArchetypeDemand!$I$4:$AH$4,0)),ArchetypeDemand!$F$56:$F$100,$F184)*'SHWLP-Apt'!$R$11</f>
        <v>6.2292139618345413E-2</v>
      </c>
      <c r="R184" s="1138">
        <f>SUMIFS(INDEX(ArchetypeDemand!$I$56:$AH$100,,MATCH(R$129,ArchetypeDemand!$I$4:$AH$4,0)),ArchetypeDemand!$F$56:$F$100,$F184)*'SHWLP-Apt'!$R$11</f>
        <v>8.4847303139496844E-2</v>
      </c>
      <c r="S184" s="1138">
        <f>SUMIFS(INDEX(ArchetypeDemand!$I$56:$AH$100,,MATCH(S$129,ArchetypeDemand!$I$4:$AH$4,0)),ArchetypeDemand!$F$56:$F$100,$F184)*'SHWLP-Apt'!$R$11</f>
        <v>6.0525573156084603E-2</v>
      </c>
      <c r="T184" s="1138">
        <f>SUMIFS(INDEX(ArchetypeDemand!$I$56:$AH$100,,MATCH(T$129,ArchetypeDemand!$I$4:$AH$4,0)),ArchetypeDemand!$F$56:$F$100,$F184)*'SHWLP-Apt'!$R$11</f>
        <v>0.34772519961739673</v>
      </c>
      <c r="U184" s="1138">
        <f>SUMIFS(INDEX(ArchetypeDemand!$I$56:$AH$100,,MATCH(U$129,ArchetypeDemand!$I$4:$AH$4,0)),ArchetypeDemand!$F$56:$F$100,$F184)*'SHWLP-Apt'!$R$11</f>
        <v>6.1832818226956722E-2</v>
      </c>
      <c r="V184" s="1138">
        <f>SUMIFS(INDEX(ArchetypeDemand!$I$56:$AH$100,,MATCH(V$129,ArchetypeDemand!$I$4:$AH$4,0)),ArchetypeDemand!$F$56:$F$100,$F184)*'SHWLP-Apt'!$R$11</f>
        <v>0.10373595666217662</v>
      </c>
      <c r="W184" s="1138">
        <f>SUMIFS(INDEX(ArchetypeDemand!$I$56:$AH$100,,MATCH(W$129,ArchetypeDemand!$I$4:$AH$4,0)),ArchetypeDemand!$F$56:$F$100,$F184)*'SHWLP-Apt'!$R$11</f>
        <v>0.10091662040496473</v>
      </c>
      <c r="X184" s="1138">
        <f>SUMIFS(INDEX(ArchetypeDemand!$I$56:$AH$100,,MATCH(X$129,ArchetypeDemand!$I$4:$AH$4,0)),ArchetypeDemand!$F$56:$F$100,$F184)*'SHWLP-Apt'!$R$11</f>
        <v>5.7310874681794771E-2</v>
      </c>
      <c r="Y184" s="1138">
        <f>SUMIFS(INDEX(ArchetypeDemand!$I$56:$AH$100,,MATCH(Y$129,ArchetypeDemand!$I$4:$AH$4,0)),ArchetypeDemand!$F$56:$F$100,$F184)*'SHWLP-Apt'!$R$11</f>
        <v>0.11223469016352468</v>
      </c>
      <c r="Z184" s="1138">
        <f>SUMIFS(INDEX(ArchetypeDemand!$I$56:$AH$100,,MATCH(Z$129,ArchetypeDemand!$I$4:$AH$4,0)),ArchetypeDemand!$F$56:$F$100,$F184)*'SHWLP-Apt'!$R$11</f>
        <v>7.9525409814481876E-3</v>
      </c>
      <c r="AA184" s="1138">
        <f>SUMIFS(INDEX(ArchetypeDemand!$I$56:$AH$100,,MATCH(AA$129,ArchetypeDemand!$I$4:$AH$4,0)),ArchetypeDemand!$F$56:$F$100,$F184)*'SHWLP-Apt'!$R$11</f>
        <v>4.2912994868429567E-2</v>
      </c>
      <c r="AB184" s="1138">
        <f>SUMIFS(INDEX(ArchetypeDemand!$I$56:$AH$100,,MATCH(AB$129,ArchetypeDemand!$I$4:$AH$4,0)),ArchetypeDemand!$F$56:$F$100,$F184)*'SHWLP-Apt'!$R$11</f>
        <v>1.8277859440495783E-2</v>
      </c>
      <c r="AC184" s="1138">
        <f>SUMIFS(INDEX(ArchetypeDemand!$I$56:$AH$100,,MATCH(AC$129,ArchetypeDemand!$I$4:$AH$4,0)),ArchetypeDemand!$F$56:$F$100,$F184)*'SHWLP-Apt'!$R$11</f>
        <v>1.4248801365290558E-2</v>
      </c>
      <c r="AD184" s="1138">
        <f>SUMIFS(INDEX(ArchetypeDemand!$I$56:$AH$100,,MATCH(AD$129,ArchetypeDemand!$I$4:$AH$4,0)),ArchetypeDemand!$F$56:$F$100,$F184)*'SHWLP-Apt'!$R$11</f>
        <v>2.745211476435843E-2</v>
      </c>
      <c r="AE184" s="1138">
        <f>SUMIFS(INDEX(ArchetypeDemand!$I$56:$AH$100,,MATCH(AE$129,ArchetypeDemand!$I$4:$AH$4,0)),ArchetypeDemand!$F$56:$F$100,$F184)*'SHWLP-Apt'!$R$11</f>
        <v>4.4496162646154649E-2</v>
      </c>
      <c r="AF184" s="1138">
        <f>SUMIFS(INDEX(ArchetypeDemand!$I$56:$AH$100,,MATCH(AF$129,ArchetypeDemand!$I$4:$AH$4,0)),ArchetypeDemand!$F$56:$F$100,$F184)*'SHWLP-Apt'!$R$11</f>
        <v>5.2680277643890619E-2</v>
      </c>
    </row>
    <row r="185" spans="3:32" ht="13.5" thickBot="1">
      <c r="C185" s="1141" t="s">
        <v>1183</v>
      </c>
      <c r="D185" s="1141" t="s">
        <v>1094</v>
      </c>
      <c r="E185" s="1141" t="s">
        <v>405</v>
      </c>
      <c r="F185" s="1141" t="s">
        <v>934</v>
      </c>
      <c r="G185" s="1141">
        <f>SUM(ArchetypeDemand!I56:I100)*'SHWLP-Apt'!$R$37</f>
        <v>0.41299881426018237</v>
      </c>
      <c r="H185" s="1141">
        <f>SUM(ArchetypeDemand!J56:J100)*'SHWLP-Apt'!$R$37</f>
        <v>40.035719768867267</v>
      </c>
      <c r="I185" s="1141">
        <f>SUM(ArchetypeDemand!K56:K100)*'SHWLP-Apt'!$R$37</f>
        <v>2.3907527500526169</v>
      </c>
      <c r="J185" s="1141">
        <f>SUM(ArchetypeDemand!L56:L100)*'SHWLP-Apt'!$R$37</f>
        <v>0.56860894493053471</v>
      </c>
      <c r="K185" s="1141">
        <f>SUM(ArchetypeDemand!M56:M100)*'SHWLP-Apt'!$R$37</f>
        <v>0.4658913902166219</v>
      </c>
      <c r="L185" s="1141">
        <f>SUM(ArchetypeDemand!N56:N100)*'SHWLP-Apt'!$R$37</f>
        <v>0.22448245111294246</v>
      </c>
      <c r="M185" s="1141">
        <f>SUM(ArchetypeDemand!O56:O100)*'SHWLP-Apt'!$R$37</f>
        <v>0.98659105115593038</v>
      </c>
      <c r="N185" s="1141">
        <f>SUM(ArchetypeDemand!P56:P100)*'SHWLP-Apt'!$R$37</f>
        <v>1.7568889496056241</v>
      </c>
      <c r="O185" s="1141">
        <f>SUM(ArchetypeDemand!Q56:Q100)*'SHWLP-Apt'!$R$37</f>
        <v>0.38157443191032209</v>
      </c>
      <c r="P185" s="1141">
        <f>SUM(ArchetypeDemand!R56:R100)*'SHWLP-Apt'!$R$37</f>
        <v>0.9379387593661056</v>
      </c>
      <c r="Q185" s="1141">
        <f>SUM(ArchetypeDemand!S56:S100)*'SHWLP-Apt'!$R$37</f>
        <v>0.86651910119027975</v>
      </c>
      <c r="R185" s="1141">
        <f>SUM(ArchetypeDemand!T56:T100)*'SHWLP-Apt'!$R$37</f>
        <v>1.4652664211735229</v>
      </c>
      <c r="S185" s="1141">
        <f>SUM(ArchetypeDemand!U56:U100)*'SHWLP-Apt'!$R$37</f>
        <v>0.80880825190243921</v>
      </c>
      <c r="T185" s="1141">
        <f>SUM(ArchetypeDemand!V56:V100)*'SHWLP-Apt'!$R$37</f>
        <v>5.897364647420555</v>
      </c>
      <c r="U185" s="1141">
        <f>SUM(ArchetypeDemand!W56:W100)*'SHWLP-Apt'!$R$37</f>
        <v>0.94349424325675602</v>
      </c>
      <c r="V185" s="1141">
        <f>SUM(ArchetypeDemand!X56:X100)*'SHWLP-Apt'!$R$37</f>
        <v>2.4223518727928002</v>
      </c>
      <c r="W185" s="1141">
        <f>SUM(ArchetypeDemand!Y56:Y100)*'SHWLP-Apt'!$R$37</f>
        <v>0.77342340135377785</v>
      </c>
      <c r="X185" s="1141">
        <f>SUM(ArchetypeDemand!Z56:Z100)*'SHWLP-Apt'!$R$37</f>
        <v>1.0386529269120321</v>
      </c>
      <c r="Y185" s="1141">
        <f>SUM(ArchetypeDemand!AA56:AA100)*'SHWLP-Apt'!$R$37</f>
        <v>3.2081869074946558</v>
      </c>
      <c r="Z185" s="1141">
        <f>SUM(ArchetypeDemand!AB56:AB100)*'SHWLP-Apt'!$R$37</f>
        <v>0.176299859121054</v>
      </c>
      <c r="AA185" s="1141">
        <f>SUM(ArchetypeDemand!AC56:AC100)*'SHWLP-Apt'!$R$37</f>
        <v>0.69520638622831099</v>
      </c>
      <c r="AB185" s="1141">
        <f>SUM(ArchetypeDemand!AD56:AD100)*'SHWLP-Apt'!$R$37</f>
        <v>0.21961889132587589</v>
      </c>
      <c r="AC185" s="1141">
        <f>SUM(ArchetypeDemand!AE56:AE100)*'SHWLP-Apt'!$R$37</f>
        <v>0.54416577871441596</v>
      </c>
      <c r="AD185" s="1141">
        <f>SUM(ArchetypeDemand!AF56:AF100)*'SHWLP-Apt'!$R$37</f>
        <v>0.41266380550694876</v>
      </c>
      <c r="AE185" s="1141">
        <f>SUM(ArchetypeDemand!AG56:AG100)*'SHWLP-Apt'!$R$37</f>
        <v>0.77691620260515704</v>
      </c>
      <c r="AF185" s="1141">
        <f>SUM(ArchetypeDemand!AH56:AH100)*'SHWLP-Apt'!$R$37</f>
        <v>0.33360286434414516</v>
      </c>
    </row>
    <row r="186" spans="3:32" ht="15">
      <c r="C186" s="1137" t="s">
        <v>1202</v>
      </c>
      <c r="D186" s="1137"/>
      <c r="E186" s="1137"/>
      <c r="F186" s="1137"/>
      <c r="G186" s="1137"/>
      <c r="H186" s="1137"/>
      <c r="I186" s="1137"/>
      <c r="J186" s="1137"/>
      <c r="K186" s="1137"/>
      <c r="L186" s="1137"/>
      <c r="M186" s="1137"/>
      <c r="N186" s="1137"/>
      <c r="O186" s="1137"/>
      <c r="P186" s="1137"/>
      <c r="Q186" s="1137"/>
      <c r="R186" s="1137"/>
      <c r="S186" s="1137"/>
      <c r="T186" s="1137"/>
      <c r="U186" s="1137"/>
      <c r="V186" s="1137"/>
      <c r="W186" s="1137"/>
      <c r="X186" s="1137"/>
      <c r="Y186" s="1137"/>
      <c r="Z186" s="1137"/>
      <c r="AA186" s="1137"/>
      <c r="AB186" s="1137"/>
      <c r="AC186" s="1137"/>
      <c r="AD186" s="1137"/>
      <c r="AE186" s="1137"/>
      <c r="AF186" s="1137"/>
    </row>
    <row r="187" spans="3:32">
      <c r="C187" s="1145" t="s">
        <v>1184</v>
      </c>
      <c r="D187" s="1134" t="s">
        <v>1094</v>
      </c>
      <c r="E187" s="1134" t="s">
        <v>405</v>
      </c>
      <c r="F187" s="1134" t="s">
        <v>1165</v>
      </c>
      <c r="G187" s="1134">
        <f>SUMIFS(INDEX(ArchetypeDemand!$I$56:$AH$100,,MATCH(G$129,ArchetypeDemand!$I$4:$AH$4,0)),ArchetypeDemand!$F$56:$F$100,$F187)*'SHWLP-Apt'!$R$12</f>
        <v>1.6139367252423056E-2</v>
      </c>
      <c r="H187" s="1134">
        <f>SUMIFS(INDEX(ArchetypeDemand!$I$56:$AH$100,,MATCH(H$129,ArchetypeDemand!$I$4:$AH$4,0)),ArchetypeDemand!$F$56:$F$100,$F187)*'SHWLP-Apt'!$R$12</f>
        <v>5.6752393199042501</v>
      </c>
      <c r="I187" s="1134">
        <f>SUMIFS(INDEX(ArchetypeDemand!$I$56:$AH$100,,MATCH(I$129,ArchetypeDemand!$I$4:$AH$4,0)),ArchetypeDemand!$F$56:$F$100,$F187)*'SHWLP-Apt'!$R$12</f>
        <v>0.19829813186194306</v>
      </c>
      <c r="J187" s="1134">
        <f>SUMIFS(INDEX(ArchetypeDemand!$I$56:$AH$100,,MATCH(J$129,ArchetypeDemand!$I$4:$AH$4,0)),ArchetypeDemand!$F$56:$F$100,$F187)*'SHWLP-Apt'!$R$12</f>
        <v>4.8846451910027747E-2</v>
      </c>
      <c r="K187" s="1134">
        <f>SUMIFS(INDEX(ArchetypeDemand!$I$56:$AH$100,,MATCH(K$129,ArchetypeDemand!$I$4:$AH$4,0)),ArchetypeDemand!$F$56:$F$100,$F187)*'SHWLP-Apt'!$R$12</f>
        <v>4.4822261704508044E-2</v>
      </c>
      <c r="L187" s="1134">
        <f>SUMIFS(INDEX(ArchetypeDemand!$I$56:$AH$100,,MATCH(L$129,ArchetypeDemand!$I$4:$AH$4,0)),ArchetypeDemand!$F$56:$F$100,$F187)*'SHWLP-Apt'!$R$12</f>
        <v>7.5861090477673801E-3</v>
      </c>
      <c r="M187" s="1134">
        <f>SUMIFS(INDEX(ArchetypeDemand!$I$56:$AH$100,,MATCH(M$129,ArchetypeDemand!$I$4:$AH$4,0)),ArchetypeDemand!$F$56:$F$100,$F187)*'SHWLP-Apt'!$R$12</f>
        <v>0.11862492698108811</v>
      </c>
      <c r="N187" s="1134">
        <f>SUMIFS(INDEX(ArchetypeDemand!$I$56:$AH$100,,MATCH(N$129,ArchetypeDemand!$I$4:$AH$4,0)),ArchetypeDemand!$F$56:$F$100,$F187)*'SHWLP-Apt'!$R$12</f>
        <v>0.19211398665486085</v>
      </c>
      <c r="O187" s="1134">
        <f>SUMIFS(INDEX(ArchetypeDemand!$I$56:$AH$100,,MATCH(O$129,ArchetypeDemand!$I$4:$AH$4,0)),ArchetypeDemand!$F$56:$F$100,$F187)*'SHWLP-Apt'!$R$12</f>
        <v>1.4995759181539172E-2</v>
      </c>
      <c r="P187" s="1134">
        <f>SUMIFS(INDEX(ArchetypeDemand!$I$56:$AH$100,,MATCH(P$129,ArchetypeDemand!$I$4:$AH$4,0)),ArchetypeDemand!$F$56:$F$100,$F187)*'SHWLP-Apt'!$R$12</f>
        <v>7.0856243566339169E-2</v>
      </c>
      <c r="Q187" s="1134">
        <f>SUMIFS(INDEX(ArchetypeDemand!$I$56:$AH$100,,MATCH(Q$129,ArchetypeDemand!$I$4:$AH$4,0)),ArchetypeDemand!$F$56:$F$100,$F187)*'SHWLP-Apt'!$R$12</f>
        <v>3.6608727507455939E-2</v>
      </c>
      <c r="R187" s="1134">
        <f>SUMIFS(INDEX(ArchetypeDemand!$I$56:$AH$100,,MATCH(R$129,ArchetypeDemand!$I$4:$AH$4,0)),ArchetypeDemand!$F$56:$F$100,$F187)*'SHWLP-Apt'!$R$12</f>
        <v>0.17889414479126198</v>
      </c>
      <c r="S187" s="1134">
        <f>SUMIFS(INDEX(ArchetypeDemand!$I$56:$AH$100,,MATCH(S$129,ArchetypeDemand!$I$4:$AH$4,0)),ArchetypeDemand!$F$56:$F$100,$F187)*'SHWLP-Apt'!$R$12</f>
        <v>4.0552049617512451E-2</v>
      </c>
      <c r="T187" s="1134">
        <f>SUMIFS(INDEX(ArchetypeDemand!$I$56:$AH$100,,MATCH(T$129,ArchetypeDemand!$I$4:$AH$4,0)),ArchetypeDemand!$F$56:$F$100,$F187)*'SHWLP-Apt'!$R$12</f>
        <v>0.79101431135029865</v>
      </c>
      <c r="U187" s="1134">
        <f>SUMIFS(INDEX(ArchetypeDemand!$I$56:$AH$100,,MATCH(U$129,ArchetypeDemand!$I$4:$AH$4,0)),ArchetypeDemand!$F$56:$F$100,$F187)*'SHWLP-Apt'!$R$12</f>
        <v>5.3236119085958357E-2</v>
      </c>
      <c r="V187" s="1134">
        <f>SUMIFS(INDEX(ArchetypeDemand!$I$56:$AH$100,,MATCH(V$129,ArchetypeDemand!$I$4:$AH$4,0)),ArchetypeDemand!$F$56:$F$100,$F187)*'SHWLP-Apt'!$R$12</f>
        <v>0.1284929854940543</v>
      </c>
      <c r="W187" s="1134">
        <f>SUMIFS(INDEX(ArchetypeDemand!$I$56:$AH$100,,MATCH(W$129,ArchetypeDemand!$I$4:$AH$4,0)),ArchetypeDemand!$F$56:$F$100,$F187)*'SHWLP-Apt'!$R$12</f>
        <v>2.2053652873893815E-2</v>
      </c>
      <c r="X187" s="1134">
        <f>SUMIFS(INDEX(ArchetypeDemand!$I$56:$AH$100,,MATCH(X$129,ArchetypeDemand!$I$4:$AH$4,0)),ArchetypeDemand!$F$56:$F$100,$F187)*'SHWLP-Apt'!$R$12</f>
        <v>5.4708776273901985E-2</v>
      </c>
      <c r="Y187" s="1134">
        <f>SUMIFS(INDEX(ArchetypeDemand!$I$56:$AH$100,,MATCH(Y$129,ArchetypeDemand!$I$4:$AH$4,0)),ArchetypeDemand!$F$56:$F$100,$F187)*'SHWLP-Apt'!$R$12</f>
        <v>0.17241119388565704</v>
      </c>
      <c r="Z187" s="1134">
        <f>SUMIFS(INDEX(ArchetypeDemand!$I$56:$AH$100,,MATCH(Z$129,ArchetypeDemand!$I$4:$AH$4,0)),ArchetypeDemand!$F$56:$F$100,$F187)*'SHWLP-Apt'!$R$12</f>
        <v>3.4305078743501988E-3</v>
      </c>
      <c r="AA187" s="1134">
        <f>SUMIFS(INDEX(ArchetypeDemand!$I$56:$AH$100,,MATCH(AA$129,ArchetypeDemand!$I$4:$AH$4,0)),ArchetypeDemand!$F$56:$F$100,$F187)*'SHWLP-Apt'!$R$12</f>
        <v>2.841345171071688E-2</v>
      </c>
      <c r="AB187" s="1134">
        <f>SUMIFS(INDEX(ArchetypeDemand!$I$56:$AH$100,,MATCH(AB$129,ArchetypeDemand!$I$4:$AH$4,0)),ArchetypeDemand!$F$56:$F$100,$F187)*'SHWLP-Apt'!$R$12</f>
        <v>1.0092795616134733E-2</v>
      </c>
      <c r="AC187" s="1134">
        <f>SUMIFS(INDEX(ArchetypeDemand!$I$56:$AH$100,,MATCH(AC$129,ArchetypeDemand!$I$4:$AH$4,0)),ArchetypeDemand!$F$56:$F$100,$F187)*'SHWLP-Apt'!$R$12</f>
        <v>2.8472589824024803E-2</v>
      </c>
      <c r="AD187" s="1134">
        <f>SUMIFS(INDEX(ArchetypeDemand!$I$56:$AH$100,,MATCH(AD$129,ArchetypeDemand!$I$4:$AH$4,0)),ArchetypeDemand!$F$56:$F$100,$F187)*'SHWLP-Apt'!$R$12</f>
        <v>2.6447278278118051E-2</v>
      </c>
      <c r="AE187" s="1134">
        <f>SUMIFS(INDEX(ArchetypeDemand!$I$56:$AH$100,,MATCH(AE$129,ArchetypeDemand!$I$4:$AH$4,0)),ArchetypeDemand!$F$56:$F$100,$F187)*'SHWLP-Apt'!$R$12</f>
        <v>5.4794029695842614E-2</v>
      </c>
      <c r="AF187" s="1134">
        <f>SUMIFS(INDEX(ArchetypeDemand!$I$56:$AH$100,,MATCH(AF$129,ArchetypeDemand!$I$4:$AH$4,0)),ArchetypeDemand!$F$56:$F$100,$F187)*'SHWLP-Apt'!$R$12</f>
        <v>2.1725935063723955E-2</v>
      </c>
    </row>
    <row r="188" spans="3:32">
      <c r="C188" s="1136" t="s">
        <v>1184</v>
      </c>
      <c r="D188" s="1136" t="s">
        <v>1094</v>
      </c>
      <c r="E188" s="1136" t="s">
        <v>405</v>
      </c>
      <c r="F188" s="1136" t="s">
        <v>1166</v>
      </c>
      <c r="G188" s="1136">
        <f>SUMIFS(INDEX(ArchetypeDemand!$I$56:$AH$100,,MATCH(G$129,ArchetypeDemand!$I$4:$AH$4,0)),ArchetypeDemand!$F$56:$F$100,$F188)*'SHWLP-Apt'!$R$12</f>
        <v>7.4942709644323743E-2</v>
      </c>
      <c r="H188" s="1136">
        <f>SUMIFS(INDEX(ArchetypeDemand!$I$56:$AH$100,,MATCH(H$129,ArchetypeDemand!$I$4:$AH$4,0)),ArchetypeDemand!$F$56:$F$100,$F188)*'SHWLP-Apt'!$R$12</f>
        <v>6.2638516007740987</v>
      </c>
      <c r="I188" s="1136">
        <f>SUMIFS(INDEX(ArchetypeDemand!$I$56:$AH$100,,MATCH(I$129,ArchetypeDemand!$I$4:$AH$4,0)),ArchetypeDemand!$F$56:$F$100,$F188)*'SHWLP-Apt'!$R$12</f>
        <v>0.44931414013023763</v>
      </c>
      <c r="J188" s="1136">
        <f>SUMIFS(INDEX(ArchetypeDemand!$I$56:$AH$100,,MATCH(J$129,ArchetypeDemand!$I$4:$AH$4,0)),ArchetypeDemand!$F$56:$F$100,$F188)*'SHWLP-Apt'!$R$12</f>
        <v>0.11036557716328467</v>
      </c>
      <c r="K188" s="1136">
        <f>SUMIFS(INDEX(ArchetypeDemand!$I$56:$AH$100,,MATCH(K$129,ArchetypeDemand!$I$4:$AH$4,0)),ArchetypeDemand!$F$56:$F$100,$F188)*'SHWLP-Apt'!$R$12</f>
        <v>7.1208228677507465E-2</v>
      </c>
      <c r="L188" s="1136">
        <f>SUMIFS(INDEX(ArchetypeDemand!$I$56:$AH$100,,MATCH(L$129,ArchetypeDemand!$I$4:$AH$4,0)),ArchetypeDemand!$F$56:$F$100,$F188)*'SHWLP-Apt'!$R$12</f>
        <v>2.902907291765883E-2</v>
      </c>
      <c r="M188" s="1136">
        <f>SUMIFS(INDEX(ArchetypeDemand!$I$56:$AH$100,,MATCH(M$129,ArchetypeDemand!$I$4:$AH$4,0)),ArchetypeDemand!$F$56:$F$100,$F188)*'SHWLP-Apt'!$R$12</f>
        <v>0.18386321366240105</v>
      </c>
      <c r="N188" s="1136">
        <f>SUMIFS(INDEX(ArchetypeDemand!$I$56:$AH$100,,MATCH(N$129,ArchetypeDemand!$I$4:$AH$4,0)),ArchetypeDemand!$F$56:$F$100,$F188)*'SHWLP-Apt'!$R$12</f>
        <v>0.35055003012252434</v>
      </c>
      <c r="O188" s="1136">
        <f>SUMIFS(INDEX(ArchetypeDemand!$I$56:$AH$100,,MATCH(O$129,ArchetypeDemand!$I$4:$AH$4,0)),ArchetypeDemand!$F$56:$F$100,$F188)*'SHWLP-Apt'!$R$12</f>
        <v>4.9148110739835375E-2</v>
      </c>
      <c r="P188" s="1136">
        <f>SUMIFS(INDEX(ArchetypeDemand!$I$56:$AH$100,,MATCH(P$129,ArchetypeDemand!$I$4:$AH$4,0)),ArchetypeDemand!$F$56:$F$100,$F188)*'SHWLP-Apt'!$R$12</f>
        <v>0.13377891393811842</v>
      </c>
      <c r="Q188" s="1136">
        <f>SUMIFS(INDEX(ArchetypeDemand!$I$56:$AH$100,,MATCH(Q$129,ArchetypeDemand!$I$4:$AH$4,0)),ArchetypeDemand!$F$56:$F$100,$F188)*'SHWLP-Apt'!$R$12</f>
        <v>0.11237013421348586</v>
      </c>
      <c r="R188" s="1136">
        <f>SUMIFS(INDEX(ArchetypeDemand!$I$56:$AH$100,,MATCH(R$129,ArchetypeDemand!$I$4:$AH$4,0)),ArchetypeDemand!$F$56:$F$100,$F188)*'SHWLP-Apt'!$R$12</f>
        <v>0.23702025107303751</v>
      </c>
      <c r="S188" s="1136">
        <f>SUMIFS(INDEX(ArchetypeDemand!$I$56:$AH$100,,MATCH(S$129,ArchetypeDemand!$I$4:$AH$4,0)),ArchetypeDemand!$F$56:$F$100,$F188)*'SHWLP-Apt'!$R$12</f>
        <v>0.11707340073355434</v>
      </c>
      <c r="T188" s="1136">
        <f>SUMIFS(INDEX(ArchetypeDemand!$I$56:$AH$100,,MATCH(T$129,ArchetypeDemand!$I$4:$AH$4,0)),ArchetypeDemand!$F$56:$F$100,$F188)*'SHWLP-Apt'!$R$12</f>
        <v>0.88947344823373276</v>
      </c>
      <c r="U188" s="1136">
        <f>SUMIFS(INDEX(ArchetypeDemand!$I$56:$AH$100,,MATCH(U$129,ArchetypeDemand!$I$4:$AH$4,0)),ArchetypeDemand!$F$56:$F$100,$F188)*'SHWLP-Apt'!$R$12</f>
        <v>0.1491262086650133</v>
      </c>
      <c r="V188" s="1136">
        <f>SUMIFS(INDEX(ArchetypeDemand!$I$56:$AH$100,,MATCH(V$129,ArchetypeDemand!$I$4:$AH$4,0)),ArchetypeDemand!$F$56:$F$100,$F188)*'SHWLP-Apt'!$R$12</f>
        <v>0.50143049732583389</v>
      </c>
      <c r="W188" s="1136">
        <f>SUMIFS(INDEX(ArchetypeDemand!$I$56:$AH$100,,MATCH(W$129,ArchetypeDemand!$I$4:$AH$4,0)),ArchetypeDemand!$F$56:$F$100,$F188)*'SHWLP-Apt'!$R$12</f>
        <v>7.2093517624524775E-2</v>
      </c>
      <c r="X188" s="1136">
        <f>SUMIFS(INDEX(ArchetypeDemand!$I$56:$AH$100,,MATCH(X$129,ArchetypeDemand!$I$4:$AH$4,0)),ArchetypeDemand!$F$56:$F$100,$F188)*'SHWLP-Apt'!$R$12</f>
        <v>0.14931637314836133</v>
      </c>
      <c r="Y188" s="1136">
        <f>SUMIFS(INDEX(ArchetypeDemand!$I$56:$AH$100,,MATCH(Y$129,ArchetypeDemand!$I$4:$AH$4,0)),ArchetypeDemand!$F$56:$F$100,$F188)*'SHWLP-Apt'!$R$12</f>
        <v>0.46580180410885946</v>
      </c>
      <c r="Z188" s="1136">
        <f>SUMIFS(INDEX(ArchetypeDemand!$I$56:$AH$100,,MATCH(Z$129,ArchetypeDemand!$I$4:$AH$4,0)),ArchetypeDemand!$F$56:$F$100,$F188)*'SHWLP-Apt'!$R$12</f>
        <v>3.0406774340831309E-2</v>
      </c>
      <c r="AA188" s="1136">
        <f>SUMIFS(INDEX(ArchetypeDemand!$I$56:$AH$100,,MATCH(AA$129,ArchetypeDemand!$I$4:$AH$4,0)),ArchetypeDemand!$F$56:$F$100,$F188)*'SHWLP-Apt'!$R$12</f>
        <v>9.7185311907914032E-2</v>
      </c>
      <c r="AB188" s="1136">
        <f>SUMIFS(INDEX(ArchetypeDemand!$I$56:$AH$100,,MATCH(AB$129,ArchetypeDemand!$I$4:$AH$4,0)),ArchetypeDemand!$F$56:$F$100,$F188)*'SHWLP-Apt'!$R$12</f>
        <v>3.2450531199168992E-2</v>
      </c>
      <c r="AC188" s="1136">
        <f>SUMIFS(INDEX(ArchetypeDemand!$I$56:$AH$100,,MATCH(AC$129,ArchetypeDemand!$I$4:$AH$4,0)),ArchetypeDemand!$F$56:$F$100,$F188)*'SHWLP-Apt'!$R$12</f>
        <v>6.6382651066530143E-2</v>
      </c>
      <c r="AD188" s="1136">
        <f>SUMIFS(INDEX(ArchetypeDemand!$I$56:$AH$100,,MATCH(AD$129,ArchetypeDemand!$I$4:$AH$4,0)),ArchetypeDemand!$F$56:$F$100,$F188)*'SHWLP-Apt'!$R$12</f>
        <v>5.619609375292197E-2</v>
      </c>
      <c r="AE188" s="1136">
        <f>SUMIFS(INDEX(ArchetypeDemand!$I$56:$AH$100,,MATCH(AE$129,ArchetypeDemand!$I$4:$AH$4,0)),ArchetypeDemand!$F$56:$F$100,$F188)*'SHWLP-Apt'!$R$12</f>
        <v>0.1371528778034414</v>
      </c>
      <c r="AF188" s="1136">
        <f>SUMIFS(INDEX(ArchetypeDemand!$I$56:$AH$100,,MATCH(AF$129,ArchetypeDemand!$I$4:$AH$4,0)),ArchetypeDemand!$F$56:$F$100,$F188)*'SHWLP-Apt'!$R$12</f>
        <v>4.2419674547237413E-2</v>
      </c>
    </row>
    <row r="189" spans="3:32">
      <c r="C189" s="1134" t="s">
        <v>1184</v>
      </c>
      <c r="D189" s="1134" t="s">
        <v>1094</v>
      </c>
      <c r="E189" s="1134" t="s">
        <v>405</v>
      </c>
      <c r="F189" s="1134" t="s">
        <v>1167</v>
      </c>
      <c r="G189" s="1134">
        <f>SUMIFS(INDEX(ArchetypeDemand!$I$56:$AH$100,,MATCH(G$129,ArchetypeDemand!$I$4:$AH$4,0)),ArchetypeDemand!$F$56:$F$100,$F189)*'SHWLP-Apt'!$R$12</f>
        <v>5.315230222056657E-2</v>
      </c>
      <c r="H189" s="1134">
        <f>SUMIFS(INDEX(ArchetypeDemand!$I$56:$AH$100,,MATCH(H$129,ArchetypeDemand!$I$4:$AH$4,0)),ArchetypeDemand!$F$56:$F$100,$F189)*'SHWLP-Apt'!$R$12</f>
        <v>3.8274174603768882</v>
      </c>
      <c r="I189" s="1134">
        <f>SUMIFS(INDEX(ArchetypeDemand!$I$56:$AH$100,,MATCH(I$129,ArchetypeDemand!$I$4:$AH$4,0)),ArchetypeDemand!$F$56:$F$100,$F189)*'SHWLP-Apt'!$R$12</f>
        <v>0.25240568679525222</v>
      </c>
      <c r="J189" s="1134">
        <f>SUMIFS(INDEX(ArchetypeDemand!$I$56:$AH$100,,MATCH(J$129,ArchetypeDemand!$I$4:$AH$4,0)),ArchetypeDemand!$F$56:$F$100,$F189)*'SHWLP-Apt'!$R$12</f>
        <v>5.492965652392838E-2</v>
      </c>
      <c r="K189" s="1134">
        <f>SUMIFS(INDEX(ArchetypeDemand!$I$56:$AH$100,,MATCH(K$129,ArchetypeDemand!$I$4:$AH$4,0)),ArchetypeDemand!$F$56:$F$100,$F189)*'SHWLP-Apt'!$R$12</f>
        <v>5.9714970715523813E-2</v>
      </c>
      <c r="L189" s="1134">
        <f>SUMIFS(INDEX(ArchetypeDemand!$I$56:$AH$100,,MATCH(L$129,ArchetypeDemand!$I$4:$AH$4,0)),ArchetypeDemand!$F$56:$F$100,$F189)*'SHWLP-Apt'!$R$12</f>
        <v>4.0713731198980613E-2</v>
      </c>
      <c r="M189" s="1134">
        <f>SUMIFS(INDEX(ArchetypeDemand!$I$56:$AH$100,,MATCH(M$129,ArchetypeDemand!$I$4:$AH$4,0)),ArchetypeDemand!$F$56:$F$100,$F189)*'SHWLP-Apt'!$R$12</f>
        <v>7.9096660588024961E-2</v>
      </c>
      <c r="N189" s="1134">
        <f>SUMIFS(INDEX(ArchetypeDemand!$I$56:$AH$100,,MATCH(N$129,ArchetypeDemand!$I$4:$AH$4,0)),ArchetypeDemand!$F$56:$F$100,$F189)*'SHWLP-Apt'!$R$12</f>
        <v>0.17287032735462901</v>
      </c>
      <c r="O189" s="1134">
        <f>SUMIFS(INDEX(ArchetypeDemand!$I$56:$AH$100,,MATCH(O$129,ArchetypeDemand!$I$4:$AH$4,0)),ArchetypeDemand!$F$56:$F$100,$F189)*'SHWLP-Apt'!$R$12</f>
        <v>5.5893929860989247E-2</v>
      </c>
      <c r="P189" s="1134">
        <f>SUMIFS(INDEX(ArchetypeDemand!$I$56:$AH$100,,MATCH(P$129,ArchetypeDemand!$I$4:$AH$4,0)),ArchetypeDemand!$F$56:$F$100,$F189)*'SHWLP-Apt'!$R$12</f>
        <v>0.13398191684242514</v>
      </c>
      <c r="Q189" s="1134">
        <f>SUMIFS(INDEX(ArchetypeDemand!$I$56:$AH$100,,MATCH(Q$129,ArchetypeDemand!$I$4:$AH$4,0)),ArchetypeDemand!$F$56:$F$100,$F189)*'SHWLP-Apt'!$R$12</f>
        <v>0.12289308992578554</v>
      </c>
      <c r="R189" s="1134">
        <f>SUMIFS(INDEX(ArchetypeDemand!$I$56:$AH$100,,MATCH(R$129,ArchetypeDemand!$I$4:$AH$4,0)),ArchetypeDemand!$F$56:$F$100,$F189)*'SHWLP-Apt'!$R$12</f>
        <v>0.14583683309750814</v>
      </c>
      <c r="S189" s="1134">
        <f>SUMIFS(INDEX(ArchetypeDemand!$I$56:$AH$100,,MATCH(S$129,ArchetypeDemand!$I$4:$AH$4,0)),ArchetypeDemand!$F$56:$F$100,$F189)*'SHWLP-Apt'!$R$12</f>
        <v>0.10607321542973044</v>
      </c>
      <c r="T189" s="1134">
        <f>SUMIFS(INDEX(ArchetypeDemand!$I$56:$AH$100,,MATCH(T$129,ArchetypeDemand!$I$4:$AH$4,0)),ArchetypeDemand!$F$56:$F$100,$F189)*'SHWLP-Apt'!$R$12</f>
        <v>0.52036548516206682</v>
      </c>
      <c r="U189" s="1134">
        <f>SUMIFS(INDEX(ArchetypeDemand!$I$56:$AH$100,,MATCH(U$129,ArchetypeDemand!$I$4:$AH$4,0)),ArchetypeDemand!$F$56:$F$100,$F189)*'SHWLP-Apt'!$R$12</f>
        <v>0.1311315185308525</v>
      </c>
      <c r="V189" s="1134">
        <f>SUMIFS(INDEX(ArchetypeDemand!$I$56:$AH$100,,MATCH(V$129,ArchetypeDemand!$I$4:$AH$4,0)),ArchetypeDemand!$F$56:$F$100,$F189)*'SHWLP-Apt'!$R$12</f>
        <v>0.29770633973082283</v>
      </c>
      <c r="W189" s="1134">
        <f>SUMIFS(INDEX(ArchetypeDemand!$I$56:$AH$100,,MATCH(W$129,ArchetypeDemand!$I$4:$AH$4,0)),ArchetypeDemand!$F$56:$F$100,$F189)*'SHWLP-Apt'!$R$12</f>
        <v>0.12358888735632816</v>
      </c>
      <c r="X189" s="1134">
        <f>SUMIFS(INDEX(ArchetypeDemand!$I$56:$AH$100,,MATCH(X$129,ArchetypeDemand!$I$4:$AH$4,0)),ArchetypeDemand!$F$56:$F$100,$F189)*'SHWLP-Apt'!$R$12</f>
        <v>0.15360296759281186</v>
      </c>
      <c r="Y189" s="1134">
        <f>SUMIFS(INDEX(ArchetypeDemand!$I$56:$AH$100,,MATCH(Y$129,ArchetypeDemand!$I$4:$AH$4,0)),ArchetypeDemand!$F$56:$F$100,$F189)*'SHWLP-Apt'!$R$12</f>
        <v>0.48213456317825026</v>
      </c>
      <c r="Z189" s="1134">
        <f>SUMIFS(INDEX(ArchetypeDemand!$I$56:$AH$100,,MATCH(Z$129,ArchetypeDemand!$I$4:$AH$4,0)),ArchetypeDemand!$F$56:$F$100,$F189)*'SHWLP-Apt'!$R$12</f>
        <v>3.1186435221365445E-2</v>
      </c>
      <c r="AA189" s="1134">
        <f>SUMIFS(INDEX(ArchetypeDemand!$I$56:$AH$100,,MATCH(AA$129,ArchetypeDemand!$I$4:$AH$4,0)),ArchetypeDemand!$F$56:$F$100,$F189)*'SHWLP-Apt'!$R$12</f>
        <v>0.11527608425440886</v>
      </c>
      <c r="AB189" s="1134">
        <f>SUMIFS(INDEX(ArchetypeDemand!$I$56:$AH$100,,MATCH(AB$129,ArchetypeDemand!$I$4:$AH$4,0)),ArchetypeDemand!$F$56:$F$100,$F189)*'SHWLP-Apt'!$R$12</f>
        <v>3.0300194794404774E-2</v>
      </c>
      <c r="AC189" s="1134">
        <f>SUMIFS(INDEX(ArchetypeDemand!$I$56:$AH$100,,MATCH(AC$129,ArchetypeDemand!$I$4:$AH$4,0)),ArchetypeDemand!$F$56:$F$100,$F189)*'SHWLP-Apt'!$R$12</f>
        <v>8.6766818666757575E-2</v>
      </c>
      <c r="AD189" s="1134">
        <f>SUMIFS(INDEX(ArchetypeDemand!$I$56:$AH$100,,MATCH(AD$129,ArchetypeDemand!$I$4:$AH$4,0)),ArchetypeDemand!$F$56:$F$100,$F189)*'SHWLP-Apt'!$R$12</f>
        <v>5.8564511497297994E-2</v>
      </c>
      <c r="AE189" s="1134">
        <f>SUMIFS(INDEX(ArchetypeDemand!$I$56:$AH$100,,MATCH(AE$129,ArchetypeDemand!$I$4:$AH$4,0)),ArchetypeDemand!$F$56:$F$100,$F189)*'SHWLP-Apt'!$R$12</f>
        <v>8.4978945916381637E-2</v>
      </c>
      <c r="AF189" s="1134">
        <f>SUMIFS(INDEX(ArchetypeDemand!$I$56:$AH$100,,MATCH(AF$129,ArchetypeDemand!$I$4:$AH$4,0)),ArchetypeDemand!$F$56:$F$100,$F189)*'SHWLP-Apt'!$R$12</f>
        <v>3.4431554015614783E-2</v>
      </c>
    </row>
    <row r="190" spans="3:32">
      <c r="C190" s="1136" t="s">
        <v>1184</v>
      </c>
      <c r="D190" s="1136" t="s">
        <v>1094</v>
      </c>
      <c r="E190" s="1136" t="s">
        <v>405</v>
      </c>
      <c r="F190" s="1136" t="s">
        <v>1168</v>
      </c>
      <c r="G190" s="1136">
        <f>SUMIFS(INDEX(ArchetypeDemand!$I$56:$AH$100,,MATCH(G$129,ArchetypeDemand!$I$4:$AH$4,0)),ArchetypeDemand!$F$56:$F$100,$F190)*'SHWLP-Apt'!$R$12</f>
        <v>2.7492570114086158E-2</v>
      </c>
      <c r="H190" s="1136">
        <f>SUMIFS(INDEX(ArchetypeDemand!$I$56:$AH$100,,MATCH(H$129,ArchetypeDemand!$I$4:$AH$4,0)),ArchetypeDemand!$F$56:$F$100,$F190)*'SHWLP-Apt'!$R$12</f>
        <v>1.8412379680181992</v>
      </c>
      <c r="I190" s="1136">
        <f>SUMIFS(INDEX(ArchetypeDemand!$I$56:$AH$100,,MATCH(I$129,ArchetypeDemand!$I$4:$AH$4,0)),ArchetypeDemand!$F$56:$F$100,$F190)*'SHWLP-Apt'!$R$12</f>
        <v>0.14007715176269284</v>
      </c>
      <c r="J190" s="1136">
        <f>SUMIFS(INDEX(ArchetypeDemand!$I$56:$AH$100,,MATCH(J$129,ArchetypeDemand!$I$4:$AH$4,0)),ArchetypeDemand!$F$56:$F$100,$F190)*'SHWLP-Apt'!$R$12</f>
        <v>2.5566337829109522E-2</v>
      </c>
      <c r="K190" s="1136">
        <f>SUMIFS(INDEX(ArchetypeDemand!$I$56:$AH$100,,MATCH(K$129,ArchetypeDemand!$I$4:$AH$4,0)),ArchetypeDemand!$F$56:$F$100,$F190)*'SHWLP-Apt'!$R$12</f>
        <v>2.3236369357923489E-2</v>
      </c>
      <c r="L190" s="1136">
        <f>SUMIFS(INDEX(ArchetypeDemand!$I$56:$AH$100,,MATCH(L$129,ArchetypeDemand!$I$4:$AH$4,0)),ArchetypeDemand!$F$56:$F$100,$F190)*'SHWLP-Apt'!$R$12</f>
        <v>1.7526987421982689E-2</v>
      </c>
      <c r="M190" s="1136">
        <f>SUMIFS(INDEX(ArchetypeDemand!$I$56:$AH$100,,MATCH(M$129,ArchetypeDemand!$I$4:$AH$4,0)),ArchetypeDemand!$F$56:$F$100,$F190)*'SHWLP-Apt'!$R$12</f>
        <v>4.5496232211581646E-2</v>
      </c>
      <c r="N190" s="1136">
        <f>SUMIFS(INDEX(ArchetypeDemand!$I$56:$AH$100,,MATCH(N$129,ArchetypeDemand!$I$4:$AH$4,0)),ArchetypeDemand!$F$56:$F$100,$F190)*'SHWLP-Apt'!$R$12</f>
        <v>7.2140631198995123E-2</v>
      </c>
      <c r="O190" s="1136">
        <f>SUMIFS(INDEX(ArchetypeDemand!$I$56:$AH$100,,MATCH(O$129,ArchetypeDemand!$I$4:$AH$4,0)),ArchetypeDemand!$F$56:$F$100,$F190)*'SHWLP-Apt'!$R$12</f>
        <v>3.0838030268131998E-2</v>
      </c>
      <c r="P190" s="1136">
        <f>SUMIFS(INDEX(ArchetypeDemand!$I$56:$AH$100,,MATCH(P$129,ArchetypeDemand!$I$4:$AH$4,0)),ArchetypeDemand!$F$56:$F$100,$F190)*'SHWLP-Apt'!$R$12</f>
        <v>6.1103874196318124E-2</v>
      </c>
      <c r="Q190" s="1136">
        <f>SUMIFS(INDEX(ArchetypeDemand!$I$56:$AH$100,,MATCH(Q$129,ArchetypeDemand!$I$4:$AH$4,0)),ArchetypeDemand!$F$56:$F$100,$F190)*'SHWLP-Apt'!$R$12</f>
        <v>8.1740816693756435E-2</v>
      </c>
      <c r="R190" s="1136">
        <f>SUMIFS(INDEX(ArchetypeDemand!$I$56:$AH$100,,MATCH(R$129,ArchetypeDemand!$I$4:$AH$4,0)),ArchetypeDemand!$F$56:$F$100,$F190)*'SHWLP-Apt'!$R$12</f>
        <v>6.4564656206275453E-2</v>
      </c>
      <c r="S190" s="1136">
        <f>SUMIFS(INDEX(ArchetypeDemand!$I$56:$AH$100,,MATCH(S$129,ArchetypeDemand!$I$4:$AH$4,0)),ArchetypeDemand!$F$56:$F$100,$F190)*'SHWLP-Apt'!$R$12</f>
        <v>6.9733317551026491E-2</v>
      </c>
      <c r="T190" s="1136">
        <f>SUMIFS(INDEX(ArchetypeDemand!$I$56:$AH$100,,MATCH(T$129,ArchetypeDemand!$I$4:$AH$4,0)),ArchetypeDemand!$F$56:$F$100,$F190)*'SHWLP-Apt'!$R$12</f>
        <v>0.29706878315627028</v>
      </c>
      <c r="U190" s="1136">
        <f>SUMIFS(INDEX(ArchetypeDemand!$I$56:$AH$100,,MATCH(U$129,ArchetypeDemand!$I$4:$AH$4,0)),ArchetypeDemand!$F$56:$F$100,$F190)*'SHWLP-Apt'!$R$12</f>
        <v>6.2407116848259739E-2</v>
      </c>
      <c r="V190" s="1136">
        <f>SUMIFS(INDEX(ArchetypeDemand!$I$56:$AH$100,,MATCH(V$129,ArchetypeDemand!$I$4:$AH$4,0)),ArchetypeDemand!$F$56:$F$100,$F190)*'SHWLP-Apt'!$R$12</f>
        <v>0.12223449455700666</v>
      </c>
      <c r="W190" s="1136">
        <f>SUMIFS(INDEX(ArchetypeDemand!$I$56:$AH$100,,MATCH(W$129,ArchetypeDemand!$I$4:$AH$4,0)),ArchetypeDemand!$F$56:$F$100,$F190)*'SHWLP-Apt'!$R$12</f>
        <v>6.9804834525333509E-2</v>
      </c>
      <c r="X190" s="1136">
        <f>SUMIFS(INDEX(ArchetypeDemand!$I$56:$AH$100,,MATCH(X$129,ArchetypeDemand!$I$4:$AH$4,0)),ArchetypeDemand!$F$56:$F$100,$F190)*'SHWLP-Apt'!$R$12</f>
        <v>8.1802510648264937E-2</v>
      </c>
      <c r="Y190" s="1136">
        <f>SUMIFS(INDEX(ArchetypeDemand!$I$56:$AH$100,,MATCH(Y$129,ArchetypeDemand!$I$4:$AH$4,0)),ArchetypeDemand!$F$56:$F$100,$F190)*'SHWLP-Apt'!$R$12</f>
        <v>0.2642937376683237</v>
      </c>
      <c r="Z190" s="1136">
        <f>SUMIFS(INDEX(ArchetypeDemand!$I$56:$AH$100,,MATCH(Z$129,ArchetypeDemand!$I$4:$AH$4,0)),ArchetypeDemand!$F$56:$F$100,$F190)*'SHWLP-Apt'!$R$12</f>
        <v>1.0291523623050596E-2</v>
      </c>
      <c r="AA190" s="1136">
        <f>SUMIFS(INDEX(ArchetypeDemand!$I$56:$AH$100,,MATCH(AA$129,ArchetypeDemand!$I$4:$AH$4,0)),ArchetypeDemand!$F$56:$F$100,$F190)*'SHWLP-Apt'!$R$12</f>
        <v>4.7751224682027027E-2</v>
      </c>
      <c r="AB190" s="1136">
        <f>SUMIFS(INDEX(ArchetypeDemand!$I$56:$AH$100,,MATCH(AB$129,ArchetypeDemand!$I$4:$AH$4,0)),ArchetypeDemand!$F$56:$F$100,$F190)*'SHWLP-Apt'!$R$12</f>
        <v>1.6811720982702005E-2</v>
      </c>
      <c r="AC190" s="1136">
        <f>SUMIFS(INDEX(ArchetypeDemand!$I$56:$AH$100,,MATCH(AC$129,ArchetypeDemand!$I$4:$AH$4,0)),ArchetypeDemand!$F$56:$F$100,$F190)*'SHWLP-Apt'!$R$12</f>
        <v>5.7799843655908054E-2</v>
      </c>
      <c r="AD190" s="1136">
        <f>SUMIFS(INDEX(ArchetypeDemand!$I$56:$AH$100,,MATCH(AD$129,ArchetypeDemand!$I$4:$AH$4,0)),ArchetypeDemand!$F$56:$F$100,$F190)*'SHWLP-Apt'!$R$12</f>
        <v>2.9282255748648997E-2</v>
      </c>
      <c r="AE190" s="1136">
        <f>SUMIFS(INDEX(ArchetypeDemand!$I$56:$AH$100,,MATCH(AE$129,ArchetypeDemand!$I$4:$AH$4,0)),ArchetypeDemand!$F$56:$F$100,$F190)*'SHWLP-Apt'!$R$12</f>
        <v>5.0428984332308607E-2</v>
      </c>
      <c r="AF190" s="1136">
        <f>SUMIFS(INDEX(ArchetypeDemand!$I$56:$AH$100,,MATCH(AF$129,ArchetypeDemand!$I$4:$AH$4,0)),ArchetypeDemand!$F$56:$F$100,$F190)*'SHWLP-Apt'!$R$12</f>
        <v>2.3688909162742969E-2</v>
      </c>
    </row>
    <row r="191" spans="3:32">
      <c r="C191" s="1134" t="s">
        <v>1184</v>
      </c>
      <c r="D191" s="1134" t="s">
        <v>1094</v>
      </c>
      <c r="E191" s="1134" t="s">
        <v>405</v>
      </c>
      <c r="F191" s="1134" t="s">
        <v>1169</v>
      </c>
      <c r="G191" s="1134">
        <f>SUMIFS(INDEX(ArchetypeDemand!$I$56:$AH$100,,MATCH(G$129,ArchetypeDemand!$I$4:$AH$4,0)),ArchetypeDemand!$F$56:$F$100,$F191)*'SHWLP-Apt'!$R$12</f>
        <v>1.0589730710610963E-2</v>
      </c>
      <c r="H191" s="1134">
        <f>SUMIFS(INDEX(ArchetypeDemand!$I$56:$AH$100,,MATCH(H$129,ArchetypeDemand!$I$4:$AH$4,0)),ArchetypeDemand!$F$56:$F$100,$F191)*'SHWLP-Apt'!$R$12</f>
        <v>0.6316212675012286</v>
      </c>
      <c r="I191" s="1134">
        <f>SUMIFS(INDEX(ArchetypeDemand!$I$56:$AH$100,,MATCH(I$129,ArchetypeDemand!$I$4:$AH$4,0)),ArchetypeDemand!$F$56:$F$100,$F191)*'SHWLP-Apt'!$R$12</f>
        <v>4.589194305368223E-2</v>
      </c>
      <c r="J191" s="1134">
        <f>SUMIFS(INDEX(ArchetypeDemand!$I$56:$AH$100,,MATCH(J$129,ArchetypeDemand!$I$4:$AH$4,0)),ArchetypeDemand!$F$56:$F$100,$F191)*'SHWLP-Apt'!$R$12</f>
        <v>1.0884678481700093E-2</v>
      </c>
      <c r="K191" s="1134">
        <f>SUMIFS(INDEX(ArchetypeDemand!$I$56:$AH$100,,MATCH(K$129,ArchetypeDemand!$I$4:$AH$4,0)),ArchetypeDemand!$F$56:$F$100,$F191)*'SHWLP-Apt'!$R$12</f>
        <v>7.9953098865973293E-3</v>
      </c>
      <c r="L191" s="1134">
        <f>SUMIFS(INDEX(ArchetypeDemand!$I$56:$AH$100,,MATCH(L$129,ArchetypeDemand!$I$4:$AH$4,0)),ArchetypeDemand!$F$56:$F$100,$F191)*'SHWLP-Apt'!$R$12</f>
        <v>4.5643196411413248E-3</v>
      </c>
      <c r="M191" s="1134">
        <f>SUMIFS(INDEX(ArchetypeDemand!$I$56:$AH$100,,MATCH(M$129,ArchetypeDemand!$I$4:$AH$4,0)),ArchetypeDemand!$F$56:$F$100,$F191)*'SHWLP-Apt'!$R$12</f>
        <v>1.7321959970464571E-2</v>
      </c>
      <c r="N191" s="1134">
        <f>SUMIFS(INDEX(ArchetypeDemand!$I$56:$AH$100,,MATCH(N$129,ArchetypeDemand!$I$4:$AH$4,0)),ArchetypeDemand!$F$56:$F$100,$F191)*'SHWLP-Apt'!$R$12</f>
        <v>1.8703126607146878E-2</v>
      </c>
      <c r="O191" s="1134">
        <f>SUMIFS(INDEX(ArchetypeDemand!$I$56:$AH$100,,MATCH(O$129,ArchetypeDemand!$I$4:$AH$4,0)),ArchetypeDemand!$F$56:$F$100,$F191)*'SHWLP-Apt'!$R$12</f>
        <v>1.4214404576717094E-2</v>
      </c>
      <c r="P191" s="1134">
        <f>SUMIFS(INDEX(ArchetypeDemand!$I$56:$AH$100,,MATCH(P$129,ArchetypeDemand!$I$4:$AH$4,0)),ArchetypeDemand!$F$56:$F$100,$F191)*'SHWLP-Apt'!$R$12</f>
        <v>2.3345333995271045E-2</v>
      </c>
      <c r="Q191" s="1134">
        <f>SUMIFS(INDEX(ArchetypeDemand!$I$56:$AH$100,,MATCH(Q$129,ArchetypeDemand!$I$4:$AH$4,0)),ArchetypeDemand!$F$56:$F$100,$F191)*'SHWLP-Apt'!$R$12</f>
        <v>2.4804109893277818E-2</v>
      </c>
      <c r="R191" s="1134">
        <f>SUMIFS(INDEX(ArchetypeDemand!$I$56:$AH$100,,MATCH(R$129,ArchetypeDemand!$I$4:$AH$4,0)),ArchetypeDemand!$F$56:$F$100,$F191)*'SHWLP-Apt'!$R$12</f>
        <v>2.3220621968923629E-2</v>
      </c>
      <c r="S191" s="1134">
        <f>SUMIFS(INDEX(ArchetypeDemand!$I$56:$AH$100,,MATCH(S$129,ArchetypeDemand!$I$4:$AH$4,0)),ArchetypeDemand!$F$56:$F$100,$F191)*'SHWLP-Apt'!$R$12</f>
        <v>1.866102864041554E-2</v>
      </c>
      <c r="T191" s="1134">
        <f>SUMIFS(INDEX(ArchetypeDemand!$I$56:$AH$100,,MATCH(T$129,ArchetypeDemand!$I$4:$AH$4,0)),ArchetypeDemand!$F$56:$F$100,$F191)*'SHWLP-Apt'!$R$12</f>
        <v>0.1133812522379765</v>
      </c>
      <c r="U191" s="1134">
        <f>SUMIFS(INDEX(ArchetypeDemand!$I$56:$AH$100,,MATCH(U$129,ArchetypeDemand!$I$4:$AH$4,0)),ArchetypeDemand!$F$56:$F$100,$F191)*'SHWLP-Apt'!$R$12</f>
        <v>1.8951854502999122E-2</v>
      </c>
      <c r="V191" s="1134">
        <f>SUMIFS(INDEX(ArchetypeDemand!$I$56:$AH$100,,MATCH(V$129,ArchetypeDemand!$I$4:$AH$4,0)),ArchetypeDemand!$F$56:$F$100,$F191)*'SHWLP-Apt'!$R$12</f>
        <v>4.1129216722011669E-2</v>
      </c>
      <c r="W191" s="1134">
        <f>SUMIFS(INDEX(ArchetypeDemand!$I$56:$AH$100,,MATCH(W$129,ArchetypeDemand!$I$4:$AH$4,0)),ArchetypeDemand!$F$56:$F$100,$F191)*'SHWLP-Apt'!$R$12</f>
        <v>2.889462412728969E-2</v>
      </c>
      <c r="X191" s="1134">
        <f>SUMIFS(INDEX(ArchetypeDemand!$I$56:$AH$100,,MATCH(X$129,ArchetypeDemand!$I$4:$AH$4,0)),ArchetypeDemand!$F$56:$F$100,$F191)*'SHWLP-Apt'!$R$12</f>
        <v>2.2326012731513356E-2</v>
      </c>
      <c r="Y191" s="1134">
        <f>SUMIFS(INDEX(ArchetypeDemand!$I$56:$AH$100,,MATCH(Y$129,ArchetypeDemand!$I$4:$AH$4,0)),ArchetypeDemand!$F$56:$F$100,$F191)*'SHWLP-Apt'!$R$12</f>
        <v>7.2118676410296997E-2</v>
      </c>
      <c r="Z191" s="1134">
        <f>SUMIFS(INDEX(ArchetypeDemand!$I$56:$AH$100,,MATCH(Z$129,ArchetypeDemand!$I$4:$AH$4,0)),ArchetypeDemand!$F$56:$F$100,$F191)*'SHWLP-Apt'!$R$12</f>
        <v>3.8983044026706807E-3</v>
      </c>
      <c r="AA191" s="1134">
        <f>SUMIFS(INDEX(ArchetypeDemand!$I$56:$AH$100,,MATCH(AA$129,ArchetypeDemand!$I$4:$AH$4,0)),ArchetypeDemand!$F$56:$F$100,$F191)*'SHWLP-Apt'!$R$12</f>
        <v>1.8301130164477319E-2</v>
      </c>
      <c r="AB191" s="1134">
        <f>SUMIFS(INDEX(ArchetypeDemand!$I$56:$AH$100,,MATCH(AB$129,ArchetypeDemand!$I$4:$AH$4,0)),ArchetypeDemand!$F$56:$F$100,$F191)*'SHWLP-Apt'!$R$12</f>
        <v>5.0826133203517683E-3</v>
      </c>
      <c r="AC191" s="1134">
        <f>SUMIFS(INDEX(ArchetypeDemand!$I$56:$AH$100,,MATCH(AC$129,ArchetypeDemand!$I$4:$AH$4,0)),ArchetypeDemand!$F$56:$F$100,$F191)*'SHWLP-Apt'!$R$12</f>
        <v>9.9238710685317783E-3</v>
      </c>
      <c r="AD191" s="1134">
        <f>SUMIFS(INDEX(ArchetypeDemand!$I$56:$AH$100,,MATCH(AD$129,ArchetypeDemand!$I$4:$AH$4,0)),ArchetypeDemand!$F$56:$F$100,$F191)*'SHWLP-Apt'!$R$12</f>
        <v>1.0765535201709192E-2</v>
      </c>
      <c r="AE191" s="1134">
        <f>SUMIFS(INDEX(ArchetypeDemand!$I$56:$AH$100,,MATCH(AE$129,ArchetypeDemand!$I$4:$AH$4,0)),ArchetypeDemand!$F$56:$F$100,$F191)*'SHWLP-Apt'!$R$12</f>
        <v>1.7274980792036515E-2</v>
      </c>
      <c r="AF191" s="1134">
        <f>SUMIFS(INDEX(ArchetypeDemand!$I$56:$AH$100,,MATCH(AF$129,ArchetypeDemand!$I$4:$AH$4,0)),ArchetypeDemand!$F$56:$F$100,$F191)*'SHWLP-Apt'!$R$12</f>
        <v>9.9162875564970561E-3</v>
      </c>
    </row>
    <row r="192" spans="3:32" ht="13.5" thickBot="1">
      <c r="C192" s="1138" t="s">
        <v>1184</v>
      </c>
      <c r="D192" s="1138" t="s">
        <v>1094</v>
      </c>
      <c r="E192" s="1138" t="s">
        <v>405</v>
      </c>
      <c r="F192" s="1138" t="s">
        <v>1170</v>
      </c>
      <c r="G192" s="1138">
        <f>SUMIFS(INDEX(ArchetypeDemand!$I$56:$AH$100,,MATCH(G$129,ArchetypeDemand!$I$4:$AH$4,0)),ArchetypeDemand!$F$56:$F$100,$F192)*'SHWLP-Apt'!$R$12</f>
        <v>1.2015271383193209E-2</v>
      </c>
      <c r="H192" s="1138">
        <f>SUMIFS(INDEX(ArchetypeDemand!$I$56:$AH$100,,MATCH(H$129,ArchetypeDemand!$I$4:$AH$4,0)),ArchetypeDemand!$F$56:$F$100,$F192)*'SHWLP-Apt'!$R$12</f>
        <v>0.59899045312090882</v>
      </c>
      <c r="I192" s="1138">
        <f>SUMIFS(INDEX(ArchetypeDemand!$I$56:$AH$100,,MATCH(I$129,ArchetypeDemand!$I$4:$AH$4,0)),ArchetypeDemand!$F$56:$F$100,$F192)*'SHWLP-Apt'!$R$12</f>
        <v>3.8954788871148865E-2</v>
      </c>
      <c r="J192" s="1138">
        <f>SUMIFS(INDEX(ArchetypeDemand!$I$56:$AH$100,,MATCH(J$129,ArchetypeDemand!$I$4:$AH$4,0)),ArchetypeDemand!$F$56:$F$100,$F192)*'SHWLP-Apt'!$R$12</f>
        <v>1.6959847866835031E-2</v>
      </c>
      <c r="K192" s="1138">
        <f>SUMIFS(INDEX(ArchetypeDemand!$I$56:$AH$100,,MATCH(K$129,ArchetypeDemand!$I$4:$AH$4,0)),ArchetypeDemand!$F$56:$F$100,$F192)*'SHWLP-Apt'!$R$12</f>
        <v>1.224281826385216E-2</v>
      </c>
      <c r="L192" s="1138">
        <f>SUMIFS(INDEX(ArchetypeDemand!$I$56:$AH$100,,MATCH(L$129,ArchetypeDemand!$I$4:$AH$4,0)),ArchetypeDemand!$F$56:$F$100,$F192)*'SHWLP-Apt'!$R$12</f>
        <v>6.2074747119522013E-3</v>
      </c>
      <c r="M192" s="1138">
        <f>SUMIFS(INDEX(ArchetypeDemand!$I$56:$AH$100,,MATCH(M$129,ArchetypeDemand!$I$4:$AH$4,0)),ArchetypeDemand!$F$56:$F$100,$F192)*'SHWLP-Apt'!$R$12</f>
        <v>1.9826339725230534E-2</v>
      </c>
      <c r="N192" s="1138">
        <f>SUMIFS(INDEX(ArchetypeDemand!$I$56:$AH$100,,MATCH(N$129,ArchetypeDemand!$I$4:$AH$4,0)),ArchetypeDemand!$F$56:$F$100,$F192)*'SHWLP-Apt'!$R$12</f>
        <v>2.0306251744902325E-2</v>
      </c>
      <c r="O192" s="1138">
        <f>SUMIFS(INDEX(ArchetypeDemand!$I$56:$AH$100,,MATCH(O$129,ArchetypeDemand!$I$4:$AH$4,0)),ArchetypeDemand!$F$56:$F$100,$F192)*'SHWLP-Apt'!$R$12</f>
        <v>1.4455326688186875E-2</v>
      </c>
      <c r="P192" s="1138">
        <f>SUMIFS(INDEX(ArchetypeDemand!$I$56:$AH$100,,MATCH(P$129,ArchetypeDemand!$I$4:$AH$4,0)),ArchetypeDemand!$F$56:$F$100,$F192)*'SHWLP-Apt'!$R$12</f>
        <v>1.8270261387603428E-2</v>
      </c>
      <c r="Q192" s="1138">
        <f>SUMIFS(INDEX(ArchetypeDemand!$I$56:$AH$100,,MATCH(Q$129,ArchetypeDemand!$I$4:$AH$4,0)),ArchetypeDemand!$F$56:$F$100,$F192)*'SHWLP-Apt'!$R$12</f>
        <v>2.9313948055691964E-2</v>
      </c>
      <c r="R192" s="1138">
        <f>SUMIFS(INDEX(ArchetypeDemand!$I$56:$AH$100,,MATCH(R$129,ArchetypeDemand!$I$4:$AH$4,0)),ArchetypeDemand!$F$56:$F$100,$F192)*'SHWLP-Apt'!$R$12</f>
        <v>3.9928142653880873E-2</v>
      </c>
      <c r="S192" s="1138">
        <f>SUMIFS(INDEX(ArchetypeDemand!$I$56:$AH$100,,MATCH(S$129,ArchetypeDemand!$I$4:$AH$4,0)),ArchetypeDemand!$F$56:$F$100,$F192)*'SHWLP-Apt'!$R$12</f>
        <v>2.8482622661686875E-2</v>
      </c>
      <c r="T192" s="1138">
        <f>SUMIFS(INDEX(ArchetypeDemand!$I$56:$AH$100,,MATCH(T$129,ArchetypeDemand!$I$4:$AH$4,0)),ArchetypeDemand!$F$56:$F$100,$F192)*'SHWLP-Apt'!$R$12</f>
        <v>0.16363538805524555</v>
      </c>
      <c r="U192" s="1138">
        <f>SUMIFS(INDEX(ArchetypeDemand!$I$56:$AH$100,,MATCH(U$129,ArchetypeDemand!$I$4:$AH$4,0)),ArchetypeDemand!$F$56:$F$100,$F192)*'SHWLP-Apt'!$R$12</f>
        <v>2.9097796812685522E-2</v>
      </c>
      <c r="V192" s="1138">
        <f>SUMIFS(INDEX(ArchetypeDemand!$I$56:$AH$100,,MATCH(V$129,ArchetypeDemand!$I$4:$AH$4,0)),ArchetypeDemand!$F$56:$F$100,$F192)*'SHWLP-Apt'!$R$12</f>
        <v>4.8816920782200769E-2</v>
      </c>
      <c r="W192" s="1138">
        <f>SUMIFS(INDEX(ArchetypeDemand!$I$56:$AH$100,,MATCH(W$129,ArchetypeDemand!$I$4:$AH$4,0)),ArchetypeDemand!$F$56:$F$100,$F192)*'SHWLP-Apt'!$R$12</f>
        <v>4.7490174308218697E-2</v>
      </c>
      <c r="X192" s="1138">
        <f>SUMIFS(INDEX(ArchetypeDemand!$I$56:$AH$100,,MATCH(X$129,ArchetypeDemand!$I$4:$AH$4,0)),ArchetypeDemand!$F$56:$F$100,$F192)*'SHWLP-Apt'!$R$12</f>
        <v>2.6969823379668131E-2</v>
      </c>
      <c r="Y192" s="1138">
        <f>SUMIFS(INDEX(ArchetypeDemand!$I$56:$AH$100,,MATCH(Y$129,ArchetypeDemand!$I$4:$AH$4,0)),ArchetypeDemand!$F$56:$F$100,$F192)*'SHWLP-Apt'!$R$12</f>
        <v>5.2816324782835149E-2</v>
      </c>
      <c r="Z192" s="1138">
        <f>SUMIFS(INDEX(ArchetypeDemand!$I$56:$AH$100,,MATCH(Z$129,ArchetypeDemand!$I$4:$AH$4,0)),ArchetypeDemand!$F$56:$F$100,$F192)*'SHWLP-Apt'!$R$12</f>
        <v>3.7423722265638535E-3</v>
      </c>
      <c r="AA192" s="1138">
        <f>SUMIFS(INDEX(ArchetypeDemand!$I$56:$AH$100,,MATCH(AA$129,ArchetypeDemand!$I$4:$AH$4,0)),ArchetypeDemand!$F$56:$F$100,$F192)*'SHWLP-Apt'!$R$12</f>
        <v>2.01943505263198E-2</v>
      </c>
      <c r="AB192" s="1138">
        <f>SUMIFS(INDEX(ArchetypeDemand!$I$56:$AH$100,,MATCH(AB$129,ArchetypeDemand!$I$4:$AH$4,0)),ArchetypeDemand!$F$56:$F$100,$F192)*'SHWLP-Apt'!$R$12</f>
        <v>8.6013456190568386E-3</v>
      </c>
      <c r="AC192" s="1138">
        <f>SUMIFS(INDEX(ArchetypeDemand!$I$56:$AH$100,,MATCH(AC$129,ArchetypeDemand!$I$4:$AH$4,0)),ArchetypeDemand!$F$56:$F$100,$F192)*'SHWLP-Apt'!$R$12</f>
        <v>6.7053182895484989E-3</v>
      </c>
      <c r="AD192" s="1138">
        <f>SUMIFS(INDEX(ArchetypeDemand!$I$56:$AH$100,,MATCH(AD$129,ArchetypeDemand!$I$4:$AH$4,0)),ArchetypeDemand!$F$56:$F$100,$F192)*'SHWLP-Apt'!$R$12</f>
        <v>1.2918642242051028E-2</v>
      </c>
      <c r="AE192" s="1138">
        <f>SUMIFS(INDEX(ArchetypeDemand!$I$56:$AH$100,,MATCH(AE$129,ArchetypeDemand!$I$4:$AH$4,0)),ArchetypeDemand!$F$56:$F$100,$F192)*'SHWLP-Apt'!$R$12</f>
        <v>2.0939370657013956E-2</v>
      </c>
      <c r="AF192" s="1138">
        <f>SUMIFS(INDEX(ArchetypeDemand!$I$56:$AH$100,,MATCH(AF$129,ArchetypeDemand!$I$4:$AH$4,0)),ArchetypeDemand!$F$56:$F$100,$F192)*'SHWLP-Apt'!$R$12</f>
        <v>2.4790718891242645E-2</v>
      </c>
    </row>
    <row r="193" spans="3:32" ht="13.5" thickBot="1">
      <c r="C193" s="1141" t="s">
        <v>1185</v>
      </c>
      <c r="D193" s="1141" t="s">
        <v>1094</v>
      </c>
      <c r="E193" s="1141" t="s">
        <v>405</v>
      </c>
      <c r="F193" s="1141" t="s">
        <v>934</v>
      </c>
      <c r="G193" s="1141">
        <f>SUM(ArchetypeDemand!I56:I100)*'SHWLP-Apt'!$R$38</f>
        <v>0.19339030251766809</v>
      </c>
      <c r="H193" s="1141">
        <f>SUM(ArchetypeDemand!J56:J100)*'SHWLP-Apt'!$R$38</f>
        <v>18.747075512754783</v>
      </c>
      <c r="I193" s="1141">
        <f>SUM(ArchetypeDemand!K56:K100)*'SHWLP-Apt'!$R$38</f>
        <v>1.1194908595702424</v>
      </c>
      <c r="J193" s="1141">
        <f>SUM(ArchetypeDemand!L56:L100)*'SHWLP-Apt'!$R$38</f>
        <v>0.26625610553228618</v>
      </c>
      <c r="K193" s="1141">
        <f>SUM(ArchetypeDemand!M56:M100)*'SHWLP-Apt'!$R$38</f>
        <v>0.21815771325098446</v>
      </c>
      <c r="L193" s="1141">
        <f>SUM(ArchetypeDemand!N56:N100)*'SHWLP-Apt'!$R$38</f>
        <v>0.10511586869421442</v>
      </c>
      <c r="M193" s="1141">
        <f>SUM(ArchetypeDemand!O56:O100)*'SHWLP-Apt'!$R$38</f>
        <v>0.46197987804408203</v>
      </c>
      <c r="N193" s="1141">
        <f>SUM(ArchetypeDemand!P56:P100)*'SHWLP-Apt'!$R$38</f>
        <v>0.82267859791029163</v>
      </c>
      <c r="O193" s="1141">
        <f>SUM(ArchetypeDemand!Q56:Q100)*'SHWLP-Apt'!$R$38</f>
        <v>0.17867556097547607</v>
      </c>
      <c r="P193" s="1141">
        <f>SUM(ArchetypeDemand!R56:R100)*'SHWLP-Apt'!$R$38</f>
        <v>0.43919801741267439</v>
      </c>
      <c r="Q193" s="1141">
        <f>SUM(ArchetypeDemand!S56:S100)*'SHWLP-Apt'!$R$38</f>
        <v>0.40575513858728834</v>
      </c>
      <c r="R193" s="1141">
        <f>SUM(ArchetypeDemand!T56:T100)*'SHWLP-Apt'!$R$38</f>
        <v>0.68612380151099206</v>
      </c>
      <c r="S193" s="1141">
        <f>SUM(ArchetypeDemand!U56:U100)*'SHWLP-Apt'!$R$38</f>
        <v>0.37873152927664278</v>
      </c>
      <c r="T193" s="1141">
        <f>SUM(ArchetypeDemand!V56:V100)*'SHWLP-Apt'!$R$38</f>
        <v>2.7614925124292742</v>
      </c>
      <c r="U193" s="1141">
        <f>SUM(ArchetypeDemand!W56:W100)*'SHWLP-Apt'!$R$38</f>
        <v>0.44179942127425564</v>
      </c>
      <c r="V193" s="1141">
        <f>SUM(ArchetypeDemand!X56:X100)*'SHWLP-Apt'!$R$38</f>
        <v>1.1342874248266435</v>
      </c>
      <c r="W193" s="1141">
        <f>SUM(ArchetypeDemand!Y56:Y100)*'SHWLP-Apt'!$R$38</f>
        <v>0.36216226390379586</v>
      </c>
      <c r="X193" s="1141">
        <f>SUM(ArchetypeDemand!Z56:Z100)*'SHWLP-Apt'!$R$38</f>
        <v>0.48635830615203035</v>
      </c>
      <c r="Y193" s="1141">
        <f>SUM(ArchetypeDemand!AA56:AA100)*'SHWLP-Apt'!$R$38</f>
        <v>1.5022615444671752</v>
      </c>
      <c r="Z193" s="1141">
        <f>SUM(ArchetypeDemand!AB56:AB100)*'SHWLP-Apt'!$R$38</f>
        <v>8.2553949096240781E-2</v>
      </c>
      <c r="AA193" s="1141">
        <f>SUM(ArchetypeDemand!AC56:AC100)*'SHWLP-Apt'!$R$38</f>
        <v>0.32553646330860653</v>
      </c>
      <c r="AB193" s="1141">
        <f>SUM(ArchetypeDemand!AD56:AD100)*'SHWLP-Apt'!$R$38</f>
        <v>0.10283846433842121</v>
      </c>
      <c r="AC193" s="1141">
        <f>SUM(ArchetypeDemand!AE56:AE100)*'SHWLP-Apt'!$R$38</f>
        <v>0.25481037942894957</v>
      </c>
      <c r="AD193" s="1141">
        <f>SUM(ArchetypeDemand!AF56:AF100)*'SHWLP-Apt'!$R$38</f>
        <v>0.19323343174250626</v>
      </c>
      <c r="AE193" s="1141">
        <f>SUM(ArchetypeDemand!AG56:AG100)*'SHWLP-Apt'!$R$38</f>
        <v>0.36379779860102807</v>
      </c>
      <c r="AF193" s="1141">
        <f>SUM(ArchetypeDemand!AH56:AH100)*'SHWLP-Apt'!$R$38</f>
        <v>0.15621245540824022</v>
      </c>
    </row>
    <row r="194" spans="3:32" ht="15">
      <c r="C194" s="1137" t="s">
        <v>1203</v>
      </c>
      <c r="D194" s="1137"/>
      <c r="E194" s="1137"/>
      <c r="F194" s="1137"/>
      <c r="G194" s="1137"/>
      <c r="H194" s="1137"/>
      <c r="I194" s="1137"/>
      <c r="J194" s="1137"/>
      <c r="K194" s="1137"/>
      <c r="L194" s="1137"/>
      <c r="M194" s="1137"/>
      <c r="N194" s="1137"/>
      <c r="O194" s="1137"/>
      <c r="P194" s="1137"/>
      <c r="Q194" s="1137"/>
      <c r="R194" s="1137"/>
      <c r="S194" s="1137"/>
      <c r="T194" s="1137"/>
      <c r="U194" s="1137"/>
      <c r="V194" s="1137"/>
      <c r="W194" s="1137"/>
      <c r="X194" s="1137"/>
      <c r="Y194" s="1137"/>
      <c r="Z194" s="1137"/>
      <c r="AA194" s="1137"/>
      <c r="AB194" s="1137"/>
      <c r="AC194" s="1137"/>
      <c r="AD194" s="1137"/>
      <c r="AE194" s="1137"/>
      <c r="AF194" s="1137"/>
    </row>
    <row r="195" spans="3:32">
      <c r="C195" s="1145" t="s">
        <v>1186</v>
      </c>
      <c r="D195" s="1134" t="s">
        <v>1094</v>
      </c>
      <c r="E195" s="1134" t="s">
        <v>406</v>
      </c>
      <c r="F195" s="1134" t="s">
        <v>1165</v>
      </c>
      <c r="G195" s="1134">
        <f>SUMIFS(INDEX(ArchetypeDemand!$I$56:$AH$100,,MATCH(G$129,ArchetypeDemand!$I$4:$AH$4,0)),ArchetypeDemand!$F$56:$F$100,$F195)*'SHWLP-Apt'!$R$18</f>
        <v>1.097259276924226E-5</v>
      </c>
      <c r="H195" s="1134">
        <f>SUMIFS(INDEX(ArchetypeDemand!$I$56:$AH$100,,MATCH(H$129,ArchetypeDemand!$I$4:$AH$4,0)),ArchetypeDemand!$F$56:$F$100,$F195)*'SHWLP-Apt'!$R$18</f>
        <v>3.8583972315241557E-3</v>
      </c>
      <c r="I195" s="1134">
        <f>SUMIFS(INDEX(ArchetypeDemand!$I$56:$AH$100,,MATCH(I$129,ArchetypeDemand!$I$4:$AH$4,0)),ArchetypeDemand!$F$56:$F$100,$F195)*'SHWLP-Apt'!$R$18</f>
        <v>1.3481598217525773E-4</v>
      </c>
      <c r="J195" s="1134">
        <f>SUMIFS(INDEX(ArchetypeDemand!$I$56:$AH$100,,MATCH(J$129,ArchetypeDemand!$I$4:$AH$4,0)),ArchetypeDemand!$F$56:$F$100,$F195)*'SHWLP-Apt'!$R$18</f>
        <v>3.3208998633489986E-5</v>
      </c>
      <c r="K195" s="1134">
        <f>SUMIFS(INDEX(ArchetypeDemand!$I$56:$AH$100,,MATCH(K$129,ArchetypeDemand!$I$4:$AH$4,0)),ArchetypeDemand!$F$56:$F$100,$F195)*'SHWLP-Apt'!$R$18</f>
        <v>3.0473092097593309E-5</v>
      </c>
      <c r="L195" s="1134">
        <f>SUMIFS(INDEX(ArchetypeDemand!$I$56:$AH$100,,MATCH(L$129,ArchetypeDemand!$I$4:$AH$4,0)),ArchetypeDemand!$F$56:$F$100,$F195)*'SHWLP-Apt'!$R$18</f>
        <v>5.1575308983515858E-6</v>
      </c>
      <c r="M195" s="1134">
        <f>SUMIFS(INDEX(ArchetypeDemand!$I$56:$AH$100,,MATCH(M$129,ArchetypeDemand!$I$4:$AH$4,0)),ArchetypeDemand!$F$56:$F$100,$F195)*'SHWLP-Apt'!$R$18</f>
        <v>8.0648949595540158E-5</v>
      </c>
      <c r="N195" s="1134">
        <f>SUMIFS(INDEX(ArchetypeDemand!$I$56:$AH$100,,MATCH(N$129,ArchetypeDemand!$I$4:$AH$4,0)),ArchetypeDemand!$F$56:$F$100,$F195)*'SHWLP-Apt'!$R$18</f>
        <v>1.3061159758434463E-4</v>
      </c>
      <c r="O195" s="1134">
        <f>SUMIFS(INDEX(ArchetypeDemand!$I$56:$AH$100,,MATCH(O$129,ArchetypeDemand!$I$4:$AH$4,0)),ArchetypeDemand!$F$56:$F$100,$F195)*'SHWLP-Apt'!$R$18</f>
        <v>1.0195093536888917E-5</v>
      </c>
      <c r="P195" s="1134">
        <f>SUMIFS(INDEX(ArchetypeDemand!$I$56:$AH$100,,MATCH(P$129,ArchetypeDemand!$I$4:$AH$4,0)),ArchetypeDemand!$F$56:$F$100,$F195)*'SHWLP-Apt'!$R$18</f>
        <v>4.8172688163778944E-5</v>
      </c>
      <c r="Q195" s="1134">
        <f>SUMIFS(INDEX(ArchetypeDemand!$I$56:$AH$100,,MATCH(Q$129,ArchetypeDemand!$I$4:$AH$4,0)),ArchetypeDemand!$F$56:$F$100,$F195)*'SHWLP-Apt'!$R$18</f>
        <v>2.4888996728119178E-5</v>
      </c>
      <c r="R195" s="1134">
        <f>SUMIFS(INDEX(ArchetypeDemand!$I$56:$AH$100,,MATCH(R$129,ArchetypeDemand!$I$4:$AH$4,0)),ArchetypeDemand!$F$56:$F$100,$F195)*'SHWLP-Apt'!$R$18</f>
        <v>1.2162388827862367E-4</v>
      </c>
      <c r="S195" s="1134">
        <f>SUMIFS(INDEX(ArchetypeDemand!$I$56:$AH$100,,MATCH(S$129,ArchetypeDemand!$I$4:$AH$4,0)),ArchetypeDemand!$F$56:$F$100,$F195)*'SHWLP-Apt'!$R$18</f>
        <v>2.7569923867013253E-5</v>
      </c>
      <c r="T195" s="1134">
        <f>SUMIFS(INDEX(ArchetypeDemand!$I$56:$AH$100,,MATCH(T$129,ArchetypeDemand!$I$4:$AH$4,0)),ArchetypeDemand!$F$56:$F$100,$F195)*'SHWLP-Apt'!$R$18</f>
        <v>5.377830355639472E-4</v>
      </c>
      <c r="U195" s="1134">
        <f>SUMIFS(INDEX(ArchetypeDemand!$I$56:$AH$100,,MATCH(U$129,ArchetypeDemand!$I$4:$AH$4,0)),ArchetypeDemand!$F$56:$F$100,$F195)*'SHWLP-Apt'!$R$18</f>
        <v>3.6193380211817655E-5</v>
      </c>
      <c r="V195" s="1134">
        <f>SUMIFS(INDEX(ArchetypeDemand!$I$56:$AH$100,,MATCH(V$129,ArchetypeDemand!$I$4:$AH$4,0)),ArchetypeDemand!$F$56:$F$100,$F195)*'SHWLP-Apt'!$R$18</f>
        <v>8.7357898328928454E-5</v>
      </c>
      <c r="W195" s="1134">
        <f>SUMIFS(INDEX(ArchetypeDemand!$I$56:$AH$100,,MATCH(W$129,ArchetypeDemand!$I$4:$AH$4,0)),ArchetypeDemand!$F$56:$F$100,$F195)*'SHWLP-Apt'!$R$18</f>
        <v>1.4993509242014178E-5</v>
      </c>
      <c r="X195" s="1134">
        <f>SUMIFS(INDEX(ArchetypeDemand!$I$56:$AH$100,,MATCH(X$129,ArchetypeDemand!$I$4:$AH$4,0)),ArchetypeDemand!$F$56:$F$100,$F195)*'SHWLP-Apt'!$R$18</f>
        <v>3.7194588459902907E-5</v>
      </c>
      <c r="Y195" s="1134">
        <f>SUMIFS(INDEX(ArchetypeDemand!$I$56:$AH$100,,MATCH(Y$129,ArchetypeDemand!$I$4:$AH$4,0)),ArchetypeDemand!$F$56:$F$100,$F195)*'SHWLP-Apt'!$R$18</f>
        <v>1.1721635611719313E-4</v>
      </c>
      <c r="Z195" s="1134">
        <f>SUMIFS(INDEX(ArchetypeDemand!$I$56:$AH$100,,MATCH(Z$129,ArchetypeDemand!$I$4:$AH$4,0)),ArchetypeDemand!$F$56:$F$100,$F195)*'SHWLP-Apt'!$R$18</f>
        <v>2.3322826296844057E-6</v>
      </c>
      <c r="AA195" s="1134">
        <f>SUMIFS(INDEX(ArchetypeDemand!$I$56:$AH$100,,MATCH(AA$129,ArchetypeDemand!$I$4:$AH$4,0)),ArchetypeDemand!$F$56:$F$100,$F195)*'SHWLP-Apt'!$R$18</f>
        <v>1.9317314608069236E-5</v>
      </c>
      <c r="AB195" s="1134">
        <f>SUMIFS(INDEX(ArchetypeDemand!$I$56:$AH$100,,MATCH(AB$129,ArchetypeDemand!$I$4:$AH$4,0)),ArchetypeDemand!$F$56:$F$100,$F195)*'SHWLP-Apt'!$R$18</f>
        <v>6.8617396498250931E-6</v>
      </c>
      <c r="AC195" s="1134">
        <f>SUMIFS(INDEX(ArchetypeDemand!$I$56:$AH$100,,MATCH(AC$129,ArchetypeDemand!$I$4:$AH$4,0)),ArchetypeDemand!$F$56:$F$100,$F195)*'SHWLP-Apt'!$R$18</f>
        <v>1.935752054826009E-5</v>
      </c>
      <c r="AD195" s="1134">
        <f>SUMIFS(INDEX(ArchetypeDemand!$I$56:$AH$100,,MATCH(AD$129,ArchetypeDemand!$I$4:$AH$4,0)),ArchetypeDemand!$F$56:$F$100,$F195)*'SHWLP-Apt'!$R$18</f>
        <v>1.7980581881674948E-5</v>
      </c>
      <c r="AE195" s="1134">
        <f>SUMIFS(INDEX(ArchetypeDemand!$I$56:$AH$100,,MATCH(AE$129,ArchetypeDemand!$I$4:$AH$4,0)),ArchetypeDemand!$F$56:$F$100,$F195)*'SHWLP-Apt'!$R$18</f>
        <v>3.7252549287394359E-5</v>
      </c>
      <c r="AF195" s="1134">
        <f>SUMIFS(INDEX(ArchetypeDemand!$I$56:$AH$100,,MATCH(AF$129,ArchetypeDemand!$I$4:$AH$4,0)),ArchetypeDemand!$F$56:$F$100,$F195)*'SHWLP-Apt'!$R$18</f>
        <v>1.4770705335393747E-5</v>
      </c>
    </row>
    <row r="196" spans="3:32">
      <c r="C196" s="1136" t="s">
        <v>1186</v>
      </c>
      <c r="D196" s="1136" t="s">
        <v>1094</v>
      </c>
      <c r="E196" s="1136" t="s">
        <v>406</v>
      </c>
      <c r="F196" s="1136" t="s">
        <v>1166</v>
      </c>
      <c r="G196" s="1136">
        <f>SUMIFS(INDEX(ArchetypeDemand!$I$56:$AH$100,,MATCH(G$129,ArchetypeDemand!$I$4:$AH$4,0)),ArchetypeDemand!$F$56:$F$100,$F196)*'SHWLP-Apt'!$R$18</f>
        <v>5.0950933892855801E-5</v>
      </c>
      <c r="H196" s="1136">
        <f>SUMIFS(INDEX(ArchetypeDemand!$I$56:$AH$100,,MATCH(H$129,ArchetypeDemand!$I$4:$AH$4,0)),ArchetypeDemand!$F$56:$F$100,$F196)*'SHWLP-Apt'!$R$18</f>
        <v>4.2585741874076053E-3</v>
      </c>
      <c r="I196" s="1136">
        <f>SUMIFS(INDEX(ArchetypeDemand!$I$56:$AH$100,,MATCH(I$129,ArchetypeDemand!$I$4:$AH$4,0)),ArchetypeDemand!$F$56:$F$100,$F196)*'SHWLP-Apt'!$R$18</f>
        <v>3.0547300944348799E-4</v>
      </c>
      <c r="J196" s="1136">
        <f>SUMIFS(INDEX(ArchetypeDemand!$I$56:$AH$100,,MATCH(J$129,ArchetypeDemand!$I$4:$AH$4,0)),ArchetypeDemand!$F$56:$F$100,$F196)*'SHWLP-Apt'!$R$18</f>
        <v>7.5033705783806071E-5</v>
      </c>
      <c r="K196" s="1136">
        <f>SUMIFS(INDEX(ArchetypeDemand!$I$56:$AH$100,,MATCH(K$129,ArchetypeDemand!$I$4:$AH$4,0)),ArchetypeDemand!$F$56:$F$100,$F196)*'SHWLP-Apt'!$R$18</f>
        <v>4.8411990561777617E-5</v>
      </c>
      <c r="L196" s="1136">
        <f>SUMIFS(INDEX(ArchetypeDemand!$I$56:$AH$100,,MATCH(L$129,ArchetypeDemand!$I$4:$AH$4,0)),ArchetypeDemand!$F$56:$F$100,$F196)*'SHWLP-Apt'!$R$18</f>
        <v>1.9735853990576273E-5</v>
      </c>
      <c r="M196" s="1136">
        <f>SUMIFS(INDEX(ArchetypeDemand!$I$56:$AH$100,,MATCH(M$129,ArchetypeDemand!$I$4:$AH$4,0)),ArchetypeDemand!$F$56:$F$100,$F196)*'SHWLP-Apt'!$R$18</f>
        <v>1.2500218485695709E-4</v>
      </c>
      <c r="N196" s="1136">
        <f>SUMIFS(INDEX(ArchetypeDemand!$I$56:$AH$100,,MATCH(N$129,ArchetypeDemand!$I$4:$AH$4,0)),ArchetypeDemand!$F$56:$F$100,$F196)*'SHWLP-Apt'!$R$18</f>
        <v>2.3832673645880314E-4</v>
      </c>
      <c r="O196" s="1136">
        <f>SUMIFS(INDEX(ArchetypeDemand!$I$56:$AH$100,,MATCH(O$129,ArchetypeDemand!$I$4:$AH$4,0)),ArchetypeDemand!$F$56:$F$100,$F196)*'SHWLP-Apt'!$R$18</f>
        <v>3.3414085948435884E-5</v>
      </c>
      <c r="P196" s="1136">
        <f>SUMIFS(INDEX(ArchetypeDemand!$I$56:$AH$100,,MATCH(P$129,ArchetypeDemand!$I$4:$AH$4,0)),ArchetypeDemand!$F$56:$F$100,$F196)*'SHWLP-Apt'!$R$18</f>
        <v>9.0951616677171774E-5</v>
      </c>
      <c r="Q196" s="1136">
        <f>SUMIFS(INDEX(ArchetypeDemand!$I$56:$AH$100,,MATCH(Q$129,ArchetypeDemand!$I$4:$AH$4,0)),ArchetypeDemand!$F$56:$F$100,$F196)*'SHWLP-Apt'!$R$18</f>
        <v>7.6396534192786541E-5</v>
      </c>
      <c r="R196" s="1136">
        <f>SUMIFS(INDEX(ArchetypeDemand!$I$56:$AH$100,,MATCH(R$129,ArchetypeDemand!$I$4:$AH$4,0)),ArchetypeDemand!$F$56:$F$100,$F196)*'SHWLP-Apt'!$R$18</f>
        <v>1.6114180019650653E-4</v>
      </c>
      <c r="S196" s="1136">
        <f>SUMIFS(INDEX(ArchetypeDemand!$I$56:$AH$100,,MATCH(S$129,ArchetypeDemand!$I$4:$AH$4,0)),ArchetypeDemand!$F$56:$F$100,$F196)*'SHWLP-Apt'!$R$18</f>
        <v>7.9594121025205547E-5</v>
      </c>
      <c r="T196" s="1136">
        <f>SUMIFS(INDEX(ArchetypeDemand!$I$56:$AH$100,,MATCH(T$129,ArchetypeDemand!$I$4:$AH$4,0)),ArchetypeDemand!$F$56:$F$100,$F196)*'SHWLP-Apt'!$R$18</f>
        <v>6.0472196796049487E-4</v>
      </c>
      <c r="U196" s="1136">
        <f>SUMIFS(INDEX(ArchetypeDemand!$I$56:$AH$100,,MATCH(U$129,ArchetypeDemand!$I$4:$AH$4,0)),ArchetypeDemand!$F$56:$F$100,$F196)*'SHWLP-Apt'!$R$18</f>
        <v>1.0138570696794661E-4</v>
      </c>
      <c r="V196" s="1136">
        <f>SUMIFS(INDEX(ArchetypeDemand!$I$56:$AH$100,,MATCH(V$129,ArchetypeDemand!$I$4:$AH$4,0)),ArchetypeDemand!$F$56:$F$100,$F196)*'SHWLP-Apt'!$R$18</f>
        <v>3.4090510260920939E-4</v>
      </c>
      <c r="W196" s="1136">
        <f>SUMIFS(INDEX(ArchetypeDemand!$I$56:$AH$100,,MATCH(W$129,ArchetypeDemand!$I$4:$AH$4,0)),ArchetypeDemand!$F$56:$F$100,$F196)*'SHWLP-Apt'!$R$18</f>
        <v>4.9013867633338391E-5</v>
      </c>
      <c r="X196" s="1136">
        <f>SUMIFS(INDEX(ArchetypeDemand!$I$56:$AH$100,,MATCH(X$129,ArchetypeDemand!$I$4:$AH$4,0)),ArchetypeDemand!$F$56:$F$100,$F196)*'SHWLP-Apt'!$R$18</f>
        <v>1.0151499316624151E-4</v>
      </c>
      <c r="Y196" s="1136">
        <f>SUMIFS(INDEX(ArchetypeDemand!$I$56:$AH$100,,MATCH(Y$129,ArchetypeDemand!$I$4:$AH$4,0)),ArchetypeDemand!$F$56:$F$100,$F196)*'SHWLP-Apt'!$R$18</f>
        <v>3.1668239700645835E-4</v>
      </c>
      <c r="Z196" s="1136">
        <f>SUMIFS(INDEX(ArchetypeDemand!$I$56:$AH$100,,MATCH(Z$129,ArchetypeDemand!$I$4:$AH$4,0)),ArchetypeDemand!$F$56:$F$100,$F196)*'SHWLP-Apt'!$R$18</f>
        <v>2.0672505126748143E-5</v>
      </c>
      <c r="AA196" s="1136">
        <f>SUMIFS(INDEX(ArchetypeDemand!$I$56:$AH$100,,MATCH(AA$129,ArchetypeDemand!$I$4:$AH$4,0)),ArchetypeDemand!$F$56:$F$100,$F196)*'SHWLP-Apt'!$R$18</f>
        <v>6.6072903233380044E-5</v>
      </c>
      <c r="AB196" s="1136">
        <f>SUMIFS(INDEX(ArchetypeDemand!$I$56:$AH$100,,MATCH(AB$129,ArchetypeDemand!$I$4:$AH$4,0)),ArchetypeDemand!$F$56:$F$100,$F196)*'SHWLP-Apt'!$R$18</f>
        <v>2.2061984117785945E-5</v>
      </c>
      <c r="AC196" s="1136">
        <f>SUMIFS(INDEX(ArchetypeDemand!$I$56:$AH$100,,MATCH(AC$129,ArchetypeDemand!$I$4:$AH$4,0)),ArchetypeDemand!$F$56:$F$100,$F196)*'SHWLP-Apt'!$R$18</f>
        <v>4.5131248685501295E-5</v>
      </c>
      <c r="AD196" s="1136">
        <f>SUMIFS(INDEX(ArchetypeDemand!$I$56:$AH$100,,MATCH(AD$129,ArchetypeDemand!$I$4:$AH$4,0)),ArchetypeDemand!$F$56:$F$100,$F196)*'SHWLP-Apt'!$R$18</f>
        <v>3.8205763728463213E-5</v>
      </c>
      <c r="AE196" s="1136">
        <f>SUMIFS(INDEX(ArchetypeDemand!$I$56:$AH$100,,MATCH(AE$129,ArchetypeDemand!$I$4:$AH$4,0)),ArchetypeDemand!$F$56:$F$100,$F196)*'SHWLP-Apt'!$R$18</f>
        <v>9.3245457007669832E-5</v>
      </c>
      <c r="AF196" s="1136">
        <f>SUMIFS(INDEX(ArchetypeDemand!$I$56:$AH$100,,MATCH(AF$129,ArchetypeDemand!$I$4:$AH$4,0)),ArchetypeDemand!$F$56:$F$100,$F196)*'SHWLP-Apt'!$R$18</f>
        <v>2.8839656904191649E-5</v>
      </c>
    </row>
    <row r="197" spans="3:32">
      <c r="C197" s="1134" t="s">
        <v>1186</v>
      </c>
      <c r="D197" s="1134" t="s">
        <v>1094</v>
      </c>
      <c r="E197" s="1134" t="s">
        <v>406</v>
      </c>
      <c r="F197" s="1134" t="s">
        <v>1167</v>
      </c>
      <c r="G197" s="1134">
        <f>SUMIFS(INDEX(ArchetypeDemand!$I$56:$AH$100,,MATCH(G$129,ArchetypeDemand!$I$4:$AH$4,0)),ArchetypeDemand!$F$56:$F$100,$F197)*'SHWLP-Apt'!$R$18</f>
        <v>3.6136396049009148E-5</v>
      </c>
      <c r="H197" s="1134">
        <f>SUMIFS(INDEX(ArchetypeDemand!$I$56:$AH$100,,MATCH(H$129,ArchetypeDemand!$I$4:$AH$4,0)),ArchetypeDemand!$F$56:$F$100,$F197)*'SHWLP-Apt'!$R$18</f>
        <v>2.6021276109382736E-3</v>
      </c>
      <c r="I197" s="1134">
        <f>SUMIFS(INDEX(ArchetypeDemand!$I$56:$AH$100,,MATCH(I$129,ArchetypeDemand!$I$4:$AH$4,0)),ArchetypeDemand!$F$56:$F$100,$F197)*'SHWLP-Apt'!$R$18</f>
        <v>1.7160182121944156E-4</v>
      </c>
      <c r="J197" s="1134">
        <f>SUMIFS(INDEX(ArchetypeDemand!$I$56:$AH$100,,MATCH(J$129,ArchetypeDemand!$I$4:$AH$4,0)),ArchetypeDemand!$F$56:$F$100,$F197)*'SHWLP-Apt'!$R$18</f>
        <v>3.7344757236435591E-5</v>
      </c>
      <c r="K197" s="1134">
        <f>SUMIFS(INDEX(ArchetypeDemand!$I$56:$AH$100,,MATCH(K$129,ArchetypeDemand!$I$4:$AH$4,0)),ArchetypeDemand!$F$56:$F$100,$F197)*'SHWLP-Apt'!$R$18</f>
        <v>4.0598125418473167E-5</v>
      </c>
      <c r="L197" s="1134">
        <f>SUMIFS(INDEX(ArchetypeDemand!$I$56:$AH$100,,MATCH(L$129,ArchetypeDemand!$I$4:$AH$4,0)),ArchetypeDemand!$F$56:$F$100,$F197)*'SHWLP-Apt'!$R$18</f>
        <v>2.7679845533952882E-5</v>
      </c>
      <c r="M197" s="1134">
        <f>SUMIFS(INDEX(ArchetypeDemand!$I$56:$AH$100,,MATCH(M$129,ArchetypeDemand!$I$4:$AH$4,0)),ArchetypeDemand!$F$56:$F$100,$F197)*'SHWLP-Apt'!$R$18</f>
        <v>5.3775060227907757E-5</v>
      </c>
      <c r="N197" s="1134">
        <f>SUMIFS(INDEX(ArchetypeDemand!$I$56:$AH$100,,MATCH(N$129,ArchetypeDemand!$I$4:$AH$4,0)),ArchetypeDemand!$F$56:$F$100,$F197)*'SHWLP-Apt'!$R$18</f>
        <v>1.1752850494576649E-4</v>
      </c>
      <c r="O197" s="1134">
        <f>SUMIFS(INDEX(ArchetypeDemand!$I$56:$AH$100,,MATCH(O$129,ArchetypeDemand!$I$4:$AH$4,0)),ArchetypeDemand!$F$56:$F$100,$F197)*'SHWLP-Apt'!$R$18</f>
        <v>3.800033303939767E-5</v>
      </c>
      <c r="P197" s="1134">
        <f>SUMIFS(INDEX(ArchetypeDemand!$I$56:$AH$100,,MATCH(P$129,ArchetypeDemand!$I$4:$AH$4,0)),ArchetypeDemand!$F$56:$F$100,$F197)*'SHWLP-Apt'!$R$18</f>
        <v>9.1089631270005122E-5</v>
      </c>
      <c r="Q197" s="1134">
        <f>SUMIFS(INDEX(ArchetypeDemand!$I$56:$AH$100,,MATCH(Q$129,ArchetypeDemand!$I$4:$AH$4,0)),ArchetypeDemand!$F$56:$F$100,$F197)*'SHWLP-Apt'!$R$18</f>
        <v>8.3550724685756511E-5</v>
      </c>
      <c r="R197" s="1134">
        <f>SUMIFS(INDEX(ArchetypeDemand!$I$56:$AH$100,,MATCH(R$129,ArchetypeDemand!$I$4:$AH$4,0)),ArchetypeDemand!$F$56:$F$100,$F197)*'SHWLP-Apt'!$R$18</f>
        <v>9.9149375270251921E-5</v>
      </c>
      <c r="S197" s="1134">
        <f>SUMIFS(INDEX(ArchetypeDemand!$I$56:$AH$100,,MATCH(S$129,ArchetypeDemand!$I$4:$AH$4,0)),ArchetypeDemand!$F$56:$F$100,$F197)*'SHWLP-Apt'!$R$18</f>
        <v>7.2115478781226508E-5</v>
      </c>
      <c r="T197" s="1134">
        <f>SUMIFS(INDEX(ArchetypeDemand!$I$56:$AH$100,,MATCH(T$129,ArchetypeDemand!$I$4:$AH$4,0)),ArchetypeDemand!$F$56:$F$100,$F197)*'SHWLP-Apt'!$R$18</f>
        <v>3.5377834028749237E-4</v>
      </c>
      <c r="U197" s="1134">
        <f>SUMIFS(INDEX(ArchetypeDemand!$I$56:$AH$100,,MATCH(U$129,ArchetypeDemand!$I$4:$AH$4,0)),ArchetypeDemand!$F$56:$F$100,$F197)*'SHWLP-Apt'!$R$18</f>
        <v>8.9151744894792577E-5</v>
      </c>
      <c r="V197" s="1134">
        <f>SUMIFS(INDEX(ArchetypeDemand!$I$56:$AH$100,,MATCH(V$129,ArchetypeDemand!$I$4:$AH$4,0)),ArchetypeDemand!$F$56:$F$100,$F197)*'SHWLP-Apt'!$R$18</f>
        <v>2.0240015482624198E-4</v>
      </c>
      <c r="W197" s="1134">
        <f>SUMIFS(INDEX(ArchetypeDemand!$I$56:$AH$100,,MATCH(W$129,ArchetypeDemand!$I$4:$AH$4,0)),ArchetypeDemand!$F$56:$F$100,$F197)*'SHWLP-Apt'!$R$18</f>
        <v>8.4023773085722939E-5</v>
      </c>
      <c r="X197" s="1134">
        <f>SUMIFS(INDEX(ArchetypeDemand!$I$56:$AH$100,,MATCH(X$129,ArchetypeDemand!$I$4:$AH$4,0)),ArchetypeDemand!$F$56:$F$100,$F197)*'SHWLP-Apt'!$R$18</f>
        <v>1.0442929919015274E-4</v>
      </c>
      <c r="Y197" s="1134">
        <f>SUMIFS(INDEX(ArchetypeDemand!$I$56:$AH$100,,MATCH(Y$129,ArchetypeDemand!$I$4:$AH$4,0)),ArchetypeDemand!$F$56:$F$100,$F197)*'SHWLP-Apt'!$R$18</f>
        <v>3.2778647012553729E-4</v>
      </c>
      <c r="Z197" s="1134">
        <f>SUMIFS(INDEX(ArchetypeDemand!$I$56:$AH$100,,MATCH(Z$129,ArchetypeDemand!$I$4:$AH$4,0)),ArchetypeDemand!$F$56:$F$100,$F197)*'SHWLP-Apt'!$R$18</f>
        <v>2.1202569360767325E-5</v>
      </c>
      <c r="AA197" s="1134">
        <f>SUMIFS(INDEX(ArchetypeDemand!$I$56:$AH$100,,MATCH(AA$129,ArchetypeDemand!$I$4:$AH$4,0)),ArchetypeDemand!$F$56:$F$100,$F197)*'SHWLP-Apt'!$R$18</f>
        <v>7.837218825084906E-5</v>
      </c>
      <c r="AB197" s="1134">
        <f>SUMIFS(INDEX(ArchetypeDemand!$I$56:$AH$100,,MATCH(AB$129,ArchetypeDemand!$I$4:$AH$4,0)),ArchetypeDemand!$F$56:$F$100,$F197)*'SHWLP-Apt'!$R$18</f>
        <v>2.0600045411185669E-5</v>
      </c>
      <c r="AC197" s="1134">
        <f>SUMIFS(INDEX(ArchetypeDemand!$I$56:$AH$100,,MATCH(AC$129,ArchetypeDemand!$I$4:$AH$4,0)),ArchetypeDemand!$F$56:$F$100,$F197)*'SHWLP-Apt'!$R$18</f>
        <v>5.8989733130342086E-5</v>
      </c>
      <c r="AD197" s="1134">
        <f>SUMIFS(INDEX(ArchetypeDemand!$I$56:$AH$100,,MATCH(AD$129,ArchetypeDemand!$I$4:$AH$4,0)),ArchetypeDemand!$F$56:$F$100,$F197)*'SHWLP-Apt'!$R$18</f>
        <v>3.9815968330045953E-5</v>
      </c>
      <c r="AE197" s="1134">
        <f>SUMIFS(INDEX(ArchetypeDemand!$I$56:$AH$100,,MATCH(AE$129,ArchetypeDemand!$I$4:$AH$4,0)),ArchetypeDemand!$F$56:$F$100,$F197)*'SHWLP-Apt'!$R$18</f>
        <v>5.7774220817729275E-5</v>
      </c>
      <c r="AF197" s="1134">
        <f>SUMIFS(INDEX(ArchetypeDemand!$I$56:$AH$100,,MATCH(AF$129,ArchetypeDemand!$I$4:$AH$4,0)),ArchetypeDemand!$F$56:$F$100,$F197)*'SHWLP-Apt'!$R$18</f>
        <v>2.3408812422233481E-5</v>
      </c>
    </row>
    <row r="198" spans="3:32">
      <c r="C198" s="1136" t="s">
        <v>1186</v>
      </c>
      <c r="D198" s="1136" t="s">
        <v>1094</v>
      </c>
      <c r="E198" s="1136" t="s">
        <v>406</v>
      </c>
      <c r="F198" s="1136" t="s">
        <v>1168</v>
      </c>
      <c r="G198" s="1136">
        <f>SUMIFS(INDEX(ArchetypeDemand!$I$56:$AH$100,,MATCH(G$129,ArchetypeDemand!$I$4:$AH$4,0)),ArchetypeDemand!$F$56:$F$100,$F198)*'SHWLP-Apt'!$R$18</f>
        <v>1.8691239335694385E-5</v>
      </c>
      <c r="H198" s="1136">
        <f>SUMIFS(INDEX(ArchetypeDemand!$I$56:$AH$100,,MATCH(H$129,ArchetypeDemand!$I$4:$AH$4,0)),ArchetypeDemand!$F$56:$F$100,$F198)*'SHWLP-Apt'!$R$18</f>
        <v>1.2517934624294293E-3</v>
      </c>
      <c r="I198" s="1136">
        <f>SUMIFS(INDEX(ArchetypeDemand!$I$56:$AH$100,,MATCH(I$129,ArchetypeDemand!$I$4:$AH$4,0)),ArchetypeDemand!$F$56:$F$100,$F198)*'SHWLP-Apt'!$R$18</f>
        <v>9.5233568858569585E-5</v>
      </c>
      <c r="J198" s="1136">
        <f>SUMIFS(INDEX(ArchetypeDemand!$I$56:$AH$100,,MATCH(J$129,ArchetypeDemand!$I$4:$AH$4,0)),ArchetypeDemand!$F$56:$F$100,$F198)*'SHWLP-Apt'!$R$18</f>
        <v>1.7381661202211955E-5</v>
      </c>
      <c r="K198" s="1136">
        <f>SUMIFS(INDEX(ArchetypeDemand!$I$56:$AH$100,,MATCH(K$129,ArchetypeDemand!$I$4:$AH$4,0)),ArchetypeDemand!$F$56:$F$100,$F198)*'SHWLP-Apt'!$R$18</f>
        <v>1.5797596920159011E-5</v>
      </c>
      <c r="L198" s="1136">
        <f>SUMIFS(INDEX(ArchetypeDemand!$I$56:$AH$100,,MATCH(L$129,ArchetypeDemand!$I$4:$AH$4,0)),ArchetypeDemand!$F$56:$F$100,$F198)*'SHWLP-Apt'!$R$18</f>
        <v>1.191598731506492E-5</v>
      </c>
      <c r="M198" s="1136">
        <f>SUMIFS(INDEX(ArchetypeDemand!$I$56:$AH$100,,MATCH(M$129,ArchetypeDemand!$I$4:$AH$4,0)),ArchetypeDemand!$F$56:$F$100,$F198)*'SHWLP-Apt'!$R$18</f>
        <v>3.0931301133730587E-5</v>
      </c>
      <c r="N198" s="1136">
        <f>SUMIFS(INDEX(ArchetypeDemand!$I$56:$AH$100,,MATCH(N$129,ArchetypeDemand!$I$4:$AH$4,0)),ArchetypeDemand!$F$56:$F$100,$F198)*'SHWLP-Apt'!$R$18</f>
        <v>4.9045898509052482E-5</v>
      </c>
      <c r="O198" s="1136">
        <f>SUMIFS(INDEX(ArchetypeDemand!$I$56:$AH$100,,MATCH(O$129,ArchetypeDemand!$I$4:$AH$4,0)),ArchetypeDemand!$F$56:$F$100,$F198)*'SHWLP-Apt'!$R$18</f>
        <v>2.0965700987253886E-5</v>
      </c>
      <c r="P198" s="1136">
        <f>SUMIFS(INDEX(ArchetypeDemand!$I$56:$AH$100,,MATCH(P$129,ArchetypeDemand!$I$4:$AH$4,0)),ArchetypeDemand!$F$56:$F$100,$F198)*'SHWLP-Apt'!$R$18</f>
        <v>4.1542392442835664E-5</v>
      </c>
      <c r="Q198" s="1136">
        <f>SUMIFS(INDEX(ArchetypeDemand!$I$56:$AH$100,,MATCH(Q$129,ArchetypeDemand!$I$4:$AH$4,0)),ArchetypeDemand!$F$56:$F$100,$F198)*'SHWLP-Apt'!$R$18</f>
        <v>5.5572729722177489E-5</v>
      </c>
      <c r="R198" s="1136">
        <f>SUMIFS(INDEX(ArchetypeDemand!$I$56:$AH$100,,MATCH(R$129,ArchetypeDemand!$I$4:$AH$4,0)),ArchetypeDemand!$F$56:$F$100,$F198)*'SHWLP-Apt'!$R$18</f>
        <v>4.3895257401198913E-5</v>
      </c>
      <c r="S198" s="1136">
        <f>SUMIFS(INDEX(ArchetypeDemand!$I$56:$AH$100,,MATCH(S$129,ArchetypeDemand!$I$4:$AH$4,0)),ArchetypeDemand!$F$56:$F$100,$F198)*'SHWLP-Apt'!$R$18</f>
        <v>4.7409249939510013E-5</v>
      </c>
      <c r="T198" s="1136">
        <f>SUMIFS(INDEX(ArchetypeDemand!$I$56:$AH$100,,MATCH(T$129,ArchetypeDemand!$I$4:$AH$4,0)),ArchetypeDemand!$F$56:$F$100,$F198)*'SHWLP-Apt'!$R$18</f>
        <v>2.0196670235251706E-4</v>
      </c>
      <c r="U198" s="1136">
        <f>SUMIFS(INDEX(ArchetypeDemand!$I$56:$AH$100,,MATCH(U$129,ArchetypeDemand!$I$4:$AH$4,0)),ArchetypeDemand!$F$56:$F$100,$F198)*'SHWLP-Apt'!$R$18</f>
        <v>4.2428421657959682E-5</v>
      </c>
      <c r="V198" s="1136">
        <f>SUMIFS(INDEX(ArchetypeDemand!$I$56:$AH$100,,MATCH(V$129,ArchetypeDemand!$I$4:$AH$4,0)),ArchetypeDemand!$F$56:$F$100,$F198)*'SHWLP-Apt'!$R$18</f>
        <v>8.3102968669780447E-5</v>
      </c>
      <c r="W198" s="1136">
        <f>SUMIFS(INDEX(ArchetypeDemand!$I$56:$AH$100,,MATCH(W$129,ArchetypeDemand!$I$4:$AH$4,0)),ArchetypeDemand!$F$56:$F$100,$F198)*'SHWLP-Apt'!$R$18</f>
        <v>4.7457871835454636E-5</v>
      </c>
      <c r="X198" s="1136">
        <f>SUMIFS(INDEX(ArchetypeDemand!$I$56:$AH$100,,MATCH(X$129,ArchetypeDemand!$I$4:$AH$4,0)),ArchetypeDemand!$F$56:$F$100,$F198)*'SHWLP-Apt'!$R$18</f>
        <v>5.5614673289639488E-5</v>
      </c>
      <c r="Y198" s="1136">
        <f>SUMIFS(INDEX(ArchetypeDemand!$I$56:$AH$100,,MATCH(Y$129,ArchetypeDemand!$I$4:$AH$4,0)),ArchetypeDemand!$F$56:$F$100,$F198)*'SHWLP-Apt'!$R$18</f>
        <v>1.7968409229054966E-4</v>
      </c>
      <c r="Z198" s="1136">
        <f>SUMIFS(INDEX(ArchetypeDemand!$I$56:$AH$100,,MATCH(Z$129,ArchetypeDemand!$I$4:$AH$4,0)),ArchetypeDemand!$F$56:$F$100,$F198)*'SHWLP-Apt'!$R$18</f>
        <v>6.9968478890532174E-6</v>
      </c>
      <c r="AA198" s="1136">
        <f>SUMIFS(INDEX(ArchetypeDemand!$I$56:$AH$100,,MATCH(AA$129,ArchetypeDemand!$I$4:$AH$4,0)),ArchetypeDemand!$F$56:$F$100,$F198)*'SHWLP-Apt'!$R$18</f>
        <v>3.246439184843565E-5</v>
      </c>
      <c r="AB198" s="1136">
        <f>SUMIFS(INDEX(ArchetypeDemand!$I$56:$AH$100,,MATCH(AB$129,ArchetypeDemand!$I$4:$AH$4,0)),ArchetypeDemand!$F$56:$F$100,$F198)*'SHWLP-Apt'!$R$18</f>
        <v>1.1429702615238501E-5</v>
      </c>
      <c r="AC198" s="1136">
        <f>SUMIFS(INDEX(ArchetypeDemand!$I$56:$AH$100,,MATCH(AC$129,ArchetypeDemand!$I$4:$AH$4,0)),ArchetypeDemand!$F$56:$F$100,$F198)*'SHWLP-Apt'!$R$18</f>
        <v>3.929609734030516E-5</v>
      </c>
      <c r="AD198" s="1136">
        <f>SUMIFS(INDEX(ArchetypeDemand!$I$56:$AH$100,,MATCH(AD$129,ArchetypeDemand!$I$4:$AH$4,0)),ArchetypeDemand!$F$56:$F$100,$F198)*'SHWLP-Apt'!$R$18</f>
        <v>1.9907984165022976E-5</v>
      </c>
      <c r="AE198" s="1136">
        <f>SUMIFS(INDEX(ArchetypeDemand!$I$56:$AH$100,,MATCH(AE$129,ArchetypeDemand!$I$4:$AH$4,0)),ArchetypeDemand!$F$56:$F$100,$F198)*'SHWLP-Apt'!$R$18</f>
        <v>3.4284907220377333E-5</v>
      </c>
      <c r="AF198" s="1136">
        <f>SUMIFS(INDEX(ArchetypeDemand!$I$56:$AH$100,,MATCH(AF$129,ArchetypeDemand!$I$4:$AH$4,0)),ArchetypeDemand!$F$56:$F$100,$F198)*'SHWLP-Apt'!$R$18</f>
        <v>1.6105262946496634E-5</v>
      </c>
    </row>
    <row r="199" spans="3:32">
      <c r="C199" s="1134" t="s">
        <v>1186</v>
      </c>
      <c r="D199" s="1134" t="s">
        <v>1094</v>
      </c>
      <c r="E199" s="1134" t="s">
        <v>406</v>
      </c>
      <c r="F199" s="1134" t="s">
        <v>1169</v>
      </c>
      <c r="G199" s="1134">
        <f>SUMIFS(INDEX(ArchetypeDemand!$I$56:$AH$100,,MATCH(G$129,ArchetypeDemand!$I$4:$AH$4,0)),ArchetypeDemand!$F$56:$F$100,$F199)*'SHWLP-Apt'!$R$18</f>
        <v>7.1995884848600584E-6</v>
      </c>
      <c r="H199" s="1134">
        <f>SUMIFS(INDEX(ArchetypeDemand!$I$56:$AH$100,,MATCH(H$129,ArchetypeDemand!$I$4:$AH$4,0)),ArchetypeDemand!$F$56:$F$100,$F199)*'SHWLP-Apt'!$R$18</f>
        <v>4.2941726551535718E-4</v>
      </c>
      <c r="I199" s="1134">
        <f>SUMIFS(INDEX(ArchetypeDemand!$I$56:$AH$100,,MATCH(I$129,ArchetypeDemand!$I$4:$AH$4,0)),ArchetypeDemand!$F$56:$F$100,$F199)*'SHWLP-Apt'!$R$18</f>
        <v>3.1200331130807561E-5</v>
      </c>
      <c r="J199" s="1134">
        <f>SUMIFS(INDEX(ArchetypeDemand!$I$56:$AH$100,,MATCH(J$129,ArchetypeDemand!$I$4:$AH$4,0)),ArchetypeDemand!$F$56:$F$100,$F199)*'SHWLP-Apt'!$R$18</f>
        <v>7.4001131851001392E-6</v>
      </c>
      <c r="K199" s="1134">
        <f>SUMIFS(INDEX(ArchetypeDemand!$I$56:$AH$100,,MATCH(K$129,ArchetypeDemand!$I$4:$AH$4,0)),ArchetypeDemand!$F$56:$F$100,$F199)*'SHWLP-Apt'!$R$18</f>
        <v>5.435732273603101E-6</v>
      </c>
      <c r="L199" s="1134">
        <f>SUMIFS(INDEX(ArchetypeDemand!$I$56:$AH$100,,MATCH(L$129,ArchetypeDemand!$I$4:$AH$4,0)),ArchetypeDemand!$F$56:$F$100,$F199)*'SHWLP-Apt'!$R$18</f>
        <v>3.1031216966314892E-6</v>
      </c>
      <c r="M199" s="1134">
        <f>SUMIFS(INDEX(ArchetypeDemand!$I$56:$AH$100,,MATCH(M$129,ArchetypeDemand!$I$4:$AH$4,0)),ArchetypeDemand!$F$56:$F$100,$F199)*'SHWLP-Apt'!$R$18</f>
        <v>1.1776596303209353E-5</v>
      </c>
      <c r="N199" s="1134">
        <f>SUMIFS(INDEX(ArchetypeDemand!$I$56:$AH$100,,MATCH(N$129,ArchetypeDemand!$I$4:$AH$4,0)),ArchetypeDemand!$F$56:$F$100,$F199)*'SHWLP-Apt'!$R$18</f>
        <v>1.2715603317161752E-5</v>
      </c>
      <c r="O199" s="1134">
        <f>SUMIFS(INDEX(ArchetypeDemand!$I$56:$AH$100,,MATCH(O$129,ArchetypeDemand!$I$4:$AH$4,0)),ArchetypeDemand!$F$56:$F$100,$F199)*'SHWLP-Apt'!$R$18</f>
        <v>9.6638777988123402E-6</v>
      </c>
      <c r="P199" s="1134">
        <f>SUMIFS(INDEX(ArchetypeDemand!$I$56:$AH$100,,MATCH(P$129,ArchetypeDemand!$I$4:$AH$4,0)),ArchetypeDemand!$F$56:$F$100,$F199)*'SHWLP-Apt'!$R$18</f>
        <v>1.5871678175834227E-5</v>
      </c>
      <c r="Q199" s="1134">
        <f>SUMIFS(INDEX(ArchetypeDemand!$I$56:$AH$100,,MATCH(Q$129,ArchetypeDemand!$I$4:$AH$4,0)),ArchetypeDemand!$F$56:$F$100,$F199)*'SHWLP-Apt'!$R$18</f>
        <v>1.6863449019143516E-5</v>
      </c>
      <c r="R199" s="1134">
        <f>SUMIFS(INDEX(ArchetypeDemand!$I$56:$AH$100,,MATCH(R$129,ArchetypeDemand!$I$4:$AH$4,0)),ArchetypeDemand!$F$56:$F$100,$F199)*'SHWLP-Apt'!$R$18</f>
        <v>1.5786890819729435E-5</v>
      </c>
      <c r="S199" s="1134">
        <f>SUMIFS(INDEX(ArchetypeDemand!$I$56:$AH$100,,MATCH(S$129,ArchetypeDemand!$I$4:$AH$4,0)),ArchetypeDemand!$F$56:$F$100,$F199)*'SHWLP-Apt'!$R$18</f>
        <v>1.2686982378178735E-5</v>
      </c>
      <c r="T199" s="1134">
        <f>SUMIFS(INDEX(ArchetypeDemand!$I$56:$AH$100,,MATCH(T$129,ArchetypeDemand!$I$4:$AH$4,0)),ArchetypeDemand!$F$56:$F$100,$F199)*'SHWLP-Apt'!$R$18</f>
        <v>7.708395806454402E-5</v>
      </c>
      <c r="U199" s="1134">
        <f>SUMIFS(INDEX(ArchetypeDemand!$I$56:$AH$100,,MATCH(U$129,ArchetypeDemand!$I$4:$AH$4,0)),ArchetypeDemand!$F$56:$F$100,$F199)*'SHWLP-Apt'!$R$18</f>
        <v>1.2884704736619658E-5</v>
      </c>
      <c r="V199" s="1134">
        <f>SUMIFS(INDEX(ArchetypeDemand!$I$56:$AH$100,,MATCH(V$129,ArchetypeDemand!$I$4:$AH$4,0)),ArchetypeDemand!$F$56:$F$100,$F199)*'SHWLP-Apt'!$R$18</f>
        <v>2.7962319646750022E-5</v>
      </c>
      <c r="W199" s="1134">
        <f>SUMIFS(INDEX(ArchetypeDemand!$I$56:$AH$100,,MATCH(W$129,ArchetypeDemand!$I$4:$AH$4,0)),ArchetypeDemand!$F$56:$F$100,$F199)*'SHWLP-Apt'!$R$18</f>
        <v>1.9644446948282452E-5</v>
      </c>
      <c r="X199" s="1134">
        <f>SUMIFS(INDEX(ArchetypeDemand!$I$56:$AH$100,,MATCH(X$129,ArchetypeDemand!$I$4:$AH$4,0)),ArchetypeDemand!$F$56:$F$100,$F199)*'SHWLP-Apt'!$R$18</f>
        <v>1.517867720787104E-5</v>
      </c>
      <c r="Y199" s="1134">
        <f>SUMIFS(INDEX(ArchetypeDemand!$I$56:$AH$100,,MATCH(Y$129,ArchetypeDemand!$I$4:$AH$4,0)),ArchetypeDemand!$F$56:$F$100,$F199)*'SHWLP-Apt'!$R$18</f>
        <v>4.9030972214114678E-5</v>
      </c>
      <c r="Z199" s="1134">
        <f>SUMIFS(INDEX(ArchetypeDemand!$I$56:$AH$100,,MATCH(Z$129,ArchetypeDemand!$I$4:$AH$4,0)),ArchetypeDemand!$F$56:$F$100,$F199)*'SHWLP-Apt'!$R$18</f>
        <v>2.6503211700959157E-6</v>
      </c>
      <c r="AA199" s="1134">
        <f>SUMIFS(INDEX(ArchetypeDemand!$I$56:$AH$100,,MATCH(AA$129,ArchetypeDemand!$I$4:$AH$4,0)),ArchetypeDemand!$F$56:$F$100,$F199)*'SHWLP-Apt'!$R$18</f>
        <v>1.2442299959532606E-5</v>
      </c>
      <c r="AB199" s="1134">
        <f>SUMIFS(INDEX(ArchetypeDemand!$I$56:$AH$100,,MATCH(AB$129,ArchetypeDemand!$I$4:$AH$4,0)),ArchetypeDemand!$F$56:$F$100,$F199)*'SHWLP-Apt'!$R$18</f>
        <v>3.455491488327918E-6</v>
      </c>
      <c r="AC199" s="1134">
        <f>SUMIFS(INDEX(ArchetypeDemand!$I$56:$AH$100,,MATCH(AC$129,ArchetypeDemand!$I$4:$AH$4,0)),ArchetypeDemand!$F$56:$F$100,$F199)*'SHWLP-Apt'!$R$18</f>
        <v>6.7468937428830209E-6</v>
      </c>
      <c r="AD199" s="1134">
        <f>SUMIFS(INDEX(ArchetypeDemand!$I$56:$AH$100,,MATCH(AD$129,ArchetypeDemand!$I$4:$AH$4,0)),ArchetypeDemand!$F$56:$F$100,$F199)*'SHWLP-Apt'!$R$18</f>
        <v>7.3191118253760961E-6</v>
      </c>
      <c r="AE199" s="1134">
        <f>SUMIFS(INDEX(ArchetypeDemand!$I$56:$AH$100,,MATCH(AE$129,ArchetypeDemand!$I$4:$AH$4,0)),ArchetypeDemand!$F$56:$F$100,$F199)*'SHWLP-Apt'!$R$18</f>
        <v>1.1744656798675973E-5</v>
      </c>
      <c r="AF199" s="1134">
        <f>SUMIFS(INDEX(ArchetypeDemand!$I$56:$AH$100,,MATCH(AF$129,ArchetypeDemand!$I$4:$AH$4,0)),ArchetypeDemand!$F$56:$F$100,$F199)*'SHWLP-Apt'!$R$18</f>
        <v>6.7417379776032418E-6</v>
      </c>
    </row>
    <row r="200" spans="3:32" ht="13.5" thickBot="1">
      <c r="C200" s="1138" t="s">
        <v>1186</v>
      </c>
      <c r="D200" s="1138" t="s">
        <v>1094</v>
      </c>
      <c r="E200" s="1138" t="s">
        <v>406</v>
      </c>
      <c r="F200" s="1138" t="s">
        <v>1170</v>
      </c>
      <c r="G200" s="1138">
        <f>SUMIFS(INDEX(ArchetypeDemand!$I$56:$AH$100,,MATCH(G$129,ArchetypeDemand!$I$4:$AH$4,0)),ArchetypeDemand!$F$56:$F$100,$F200)*'SHWLP-Apt'!$R$18</f>
        <v>8.1687638578219897E-6</v>
      </c>
      <c r="H200" s="1138">
        <f>SUMIFS(INDEX(ArchetypeDemand!$I$56:$AH$100,,MATCH(H$129,ArchetypeDemand!$I$4:$AH$4,0)),ArchetypeDemand!$F$56:$F$100,$F200)*'SHWLP-Apt'!$R$18</f>
        <v>4.0723271315192867E-4</v>
      </c>
      <c r="I200" s="1138">
        <f>SUMIFS(INDEX(ArchetypeDemand!$I$56:$AH$100,,MATCH(I$129,ArchetypeDemand!$I$4:$AH$4,0)),ArchetypeDemand!$F$56:$F$100,$F200)*'SHWLP-Apt'!$R$18</f>
        <v>2.648400200638316E-5</v>
      </c>
      <c r="J200" s="1138">
        <f>SUMIFS(INDEX(ArchetypeDemand!$I$56:$AH$100,,MATCH(J$129,ArchetypeDemand!$I$4:$AH$4,0)),ArchetypeDemand!$F$56:$F$100,$F200)*'SHWLP-Apt'!$R$18</f>
        <v>1.1530408916318824E-5</v>
      </c>
      <c r="K200" s="1138">
        <f>SUMIFS(INDEX(ArchetypeDemand!$I$56:$AH$100,,MATCH(K$129,ArchetypeDemand!$I$4:$AH$4,0)),ArchetypeDemand!$F$56:$F$100,$F200)*'SHWLP-Apt'!$R$18</f>
        <v>8.3234650439547471E-6</v>
      </c>
      <c r="L200" s="1138">
        <f>SUMIFS(INDEX(ArchetypeDemand!$I$56:$AH$100,,MATCH(L$129,ArchetypeDemand!$I$4:$AH$4,0)),ArchetypeDemand!$F$56:$F$100,$F200)*'SHWLP-Apt'!$R$18</f>
        <v>4.2202455074188246E-6</v>
      </c>
      <c r="M200" s="1138">
        <f>SUMIFS(INDEX(ArchetypeDemand!$I$56:$AH$100,,MATCH(M$129,ArchetypeDemand!$I$4:$AH$4,0)),ArchetypeDemand!$F$56:$F$100,$F200)*'SHWLP-Apt'!$R$18</f>
        <v>1.3479236732589018E-5</v>
      </c>
      <c r="N200" s="1138">
        <f>SUMIFS(INDEX(ArchetypeDemand!$I$56:$AH$100,,MATCH(N$129,ArchetypeDemand!$I$4:$AH$4,0)),ArchetypeDemand!$F$56:$F$100,$F200)*'SHWLP-Apt'!$R$18</f>
        <v>1.3805512172918474E-5</v>
      </c>
      <c r="O200" s="1138">
        <f>SUMIFS(INDEX(ArchetypeDemand!$I$56:$AH$100,,MATCH(O$129,ArchetypeDemand!$I$4:$AH$4,0)),ArchetypeDemand!$F$56:$F$100,$F200)*'SHWLP-Apt'!$R$18</f>
        <v>9.8276723377752595E-6</v>
      </c>
      <c r="P200" s="1138">
        <f>SUMIFS(INDEX(ArchetypeDemand!$I$56:$AH$100,,MATCH(P$129,ArchetypeDemand!$I$4:$AH$4,0)),ArchetypeDemand!$F$56:$F$100,$F200)*'SHWLP-Apt'!$R$18</f>
        <v>1.2421313355000698E-5</v>
      </c>
      <c r="Q200" s="1138">
        <f>SUMIFS(INDEX(ArchetypeDemand!$I$56:$AH$100,,MATCH(Q$129,ArchetypeDemand!$I$4:$AH$4,0)),ArchetypeDemand!$F$56:$F$100,$F200)*'SHWLP-Apt'!$R$18</f>
        <v>1.9929530658987792E-5</v>
      </c>
      <c r="R200" s="1138">
        <f>SUMIFS(INDEX(ArchetypeDemand!$I$56:$AH$100,,MATCH(R$129,ArchetypeDemand!$I$4:$AH$4,0)),ArchetypeDemand!$F$56:$F$100,$F200)*'SHWLP-Apt'!$R$18</f>
        <v>2.7145751287583535E-5</v>
      </c>
      <c r="S200" s="1138">
        <f>SUMIFS(INDEX(ArchetypeDemand!$I$56:$AH$100,,MATCH(S$129,ArchetypeDemand!$I$4:$AH$4,0)),ArchetypeDemand!$F$56:$F$100,$F200)*'SHWLP-Apt'!$R$18</f>
        <v>1.9364341524588594E-5</v>
      </c>
      <c r="T200" s="1138">
        <f>SUMIFS(INDEX(ArchetypeDemand!$I$56:$AH$100,,MATCH(T$129,ArchetypeDemand!$I$4:$AH$4,0)),ArchetypeDemand!$F$56:$F$100,$F200)*'SHWLP-Apt'!$R$18</f>
        <v>1.1124999187917813E-4</v>
      </c>
      <c r="U200" s="1138">
        <f>SUMIFS(INDEX(ArchetypeDemand!$I$56:$AH$100,,MATCH(U$129,ArchetypeDemand!$I$4:$AH$4,0)),ArchetypeDemand!$F$56:$F$100,$F200)*'SHWLP-Apt'!$R$18</f>
        <v>1.9782576969355435E-5</v>
      </c>
      <c r="V200" s="1138">
        <f>SUMIFS(INDEX(ArchetypeDemand!$I$56:$AH$100,,MATCH(V$129,ArchetypeDemand!$I$4:$AH$4,0)),ArchetypeDemand!$F$56:$F$100,$F200)*'SHWLP-Apt'!$R$18</f>
        <v>3.318892144988087E-5</v>
      </c>
      <c r="W200" s="1138">
        <f>SUMIFS(INDEX(ArchetypeDemand!$I$56:$AH$100,,MATCH(W$129,ArchetypeDemand!$I$4:$AH$4,0)),ArchetypeDemand!$F$56:$F$100,$F200)*'SHWLP-Apt'!$R$18</f>
        <v>3.2286912806087988E-5</v>
      </c>
      <c r="X200" s="1138">
        <f>SUMIFS(INDEX(ArchetypeDemand!$I$56:$AH$100,,MATCH(X$129,ArchetypeDemand!$I$4:$AH$4,0)),ArchetypeDemand!$F$56:$F$100,$F200)*'SHWLP-Apt'!$R$18</f>
        <v>1.8335842067108214E-5</v>
      </c>
      <c r="Y200" s="1138">
        <f>SUMIFS(INDEX(ArchetypeDemand!$I$56:$AH$100,,MATCH(Y$129,ArchetypeDemand!$I$4:$AH$4,0)),ArchetypeDemand!$F$56:$F$100,$F200)*'SHWLP-Apt'!$R$18</f>
        <v>3.5907976709748683E-5</v>
      </c>
      <c r="Z200" s="1138">
        <f>SUMIFS(INDEX(ArchetypeDemand!$I$56:$AH$100,,MATCH(Z$129,ArchetypeDemand!$I$4:$AH$4,0)),ArchetypeDemand!$F$56:$F$100,$F200)*'SHWLP-Apt'!$R$18</f>
        <v>2.5443083232920791E-6</v>
      </c>
      <c r="AA200" s="1138">
        <f>SUMIFS(INDEX(ArchetypeDemand!$I$56:$AH$100,,MATCH(AA$129,ArchetypeDemand!$I$4:$AH$4,0)),ArchetypeDemand!$F$56:$F$100,$F200)*'SHWLP-Apt'!$R$18</f>
        <v>1.3729434438104943E-5</v>
      </c>
      <c r="AB200" s="1138">
        <f>SUMIFS(INDEX(ArchetypeDemand!$I$56:$AH$100,,MATCH(AB$129,ArchetypeDemand!$I$4:$AH$4,0)),ArchetypeDemand!$F$56:$F$100,$F200)*'SHWLP-Apt'!$R$18</f>
        <v>5.8477548264010925E-6</v>
      </c>
      <c r="AC200" s="1138">
        <f>SUMIFS(INDEX(ArchetypeDemand!$I$56:$AH$100,,MATCH(AC$129,ArchetypeDemand!$I$4:$AH$4,0)),ArchetypeDemand!$F$56:$F$100,$F200)*'SHWLP-Apt'!$R$18</f>
        <v>4.5587119884344736E-6</v>
      </c>
      <c r="AD200" s="1138">
        <f>SUMIFS(INDEX(ArchetypeDemand!$I$56:$AH$100,,MATCH(AD$129,ArchetypeDemand!$I$4:$AH$4,0)),ArchetypeDemand!$F$56:$F$100,$F200)*'SHWLP-Apt'!$R$18</f>
        <v>8.7829341904513143E-6</v>
      </c>
      <c r="AE200" s="1138">
        <f>SUMIFS(INDEX(ArchetypeDemand!$I$56:$AH$100,,MATCH(AE$129,ArchetypeDemand!$I$4:$AH$4,0)),ArchetypeDemand!$F$56:$F$100,$F200)*'SHWLP-Apt'!$R$18</f>
        <v>1.4235947634758753E-5</v>
      </c>
      <c r="AF200" s="1138">
        <f>SUMIFS(INDEX(ArchetypeDemand!$I$56:$AH$100,,MATCH(AF$129,ArchetypeDemand!$I$4:$AH$4,0)),ArchetypeDemand!$F$56:$F$100,$F200)*'SHWLP-Apt'!$R$18</f>
        <v>1.6854344944008109E-5</v>
      </c>
    </row>
    <row r="201" spans="3:32" ht="13.5" thickBot="1">
      <c r="C201" s="1141" t="s">
        <v>1187</v>
      </c>
      <c r="D201" s="1141" t="s">
        <v>1094</v>
      </c>
      <c r="E201" s="1141" t="s">
        <v>406</v>
      </c>
      <c r="F201" s="1141" t="s">
        <v>934</v>
      </c>
      <c r="G201" s="1141">
        <f>SUM(ArchetypeDemand!I56:I100)*'SHWLP-Apt'!$R$44</f>
        <v>1.2326583303768845E-4</v>
      </c>
      <c r="H201" s="1141">
        <f>SUM(ArchetypeDemand!J56:J100)*'SHWLP-Apt'!$R$44</f>
        <v>1.1949274860299926E-2</v>
      </c>
      <c r="I201" s="1141">
        <f>SUM(ArchetypeDemand!K56:K100)*'SHWLP-Apt'!$R$44</f>
        <v>7.1355684119888405E-4</v>
      </c>
      <c r="J201" s="1141">
        <f>SUM(ArchetypeDemand!L56:L100)*'SHWLP-Apt'!$R$44</f>
        <v>1.6971006416833902E-4</v>
      </c>
      <c r="K201" s="1141">
        <f>SUM(ArchetypeDemand!M56:M100)*'SHWLP-Apt'!$R$44</f>
        <v>1.3905243389865927E-4</v>
      </c>
      <c r="L201" s="1141">
        <f>SUM(ArchetypeDemand!N56:N100)*'SHWLP-Apt'!$R$44</f>
        <v>6.7000231921602422E-5</v>
      </c>
      <c r="M201" s="1141">
        <f>SUM(ArchetypeDemand!O56:O100)*'SHWLP-Apt'!$R$44</f>
        <v>2.9446323715508373E-4</v>
      </c>
      <c r="N201" s="1141">
        <f>SUM(ArchetypeDemand!P56:P100)*'SHWLP-Apt'!$R$44</f>
        <v>5.2437046415202229E-4</v>
      </c>
      <c r="O201" s="1141">
        <f>SUM(ArchetypeDemand!Q56:Q100)*'SHWLP-Apt'!$R$44</f>
        <v>1.1388674395969878E-4</v>
      </c>
      <c r="P201" s="1141">
        <f>SUM(ArchetypeDemand!R56:R100)*'SHWLP-Apt'!$R$44</f>
        <v>2.7994221416520335E-4</v>
      </c>
      <c r="Q201" s="1141">
        <f>SUM(ArchetypeDemand!S56:S100)*'SHWLP-Apt'!$R$44</f>
        <v>2.5862592134223169E-4</v>
      </c>
      <c r="R201" s="1141">
        <f>SUM(ArchetypeDemand!T56:T100)*'SHWLP-Apt'!$R$44</f>
        <v>4.3733124597864067E-4</v>
      </c>
      <c r="S201" s="1141">
        <f>SUM(ArchetypeDemand!U56:U100)*'SHWLP-Apt'!$R$44</f>
        <v>2.4140123287545902E-4</v>
      </c>
      <c r="T201" s="1141">
        <f>SUM(ArchetypeDemand!V56:V100)*'SHWLP-Apt'!$R$44</f>
        <v>1.7601589662999521E-3</v>
      </c>
      <c r="U201" s="1141">
        <f>SUM(ArchetypeDemand!W56:W100)*'SHWLP-Apt'!$R$44</f>
        <v>2.8160033357393623E-4</v>
      </c>
      <c r="V201" s="1141">
        <f>SUM(ArchetypeDemand!X56:X100)*'SHWLP-Apt'!$R$44</f>
        <v>7.2298808422752636E-4</v>
      </c>
      <c r="W201" s="1141">
        <f>SUM(ArchetypeDemand!Y56:Y100)*'SHWLP-Apt'!$R$44</f>
        <v>2.3084008129537961E-4</v>
      </c>
      <c r="X201" s="1141">
        <f>SUM(ArchetypeDemand!Z56:Z100)*'SHWLP-Apt'!$R$44</f>
        <v>3.1000190279526548E-4</v>
      </c>
      <c r="Y201" s="1141">
        <f>SUM(ArchetypeDemand!AA56:AA100)*'SHWLP-Apt'!$R$44</f>
        <v>9.5753260793577288E-4</v>
      </c>
      <c r="Z201" s="1141">
        <f>SUM(ArchetypeDemand!AB56:AB100)*'SHWLP-Apt'!$R$44</f>
        <v>5.2619398043339648E-5</v>
      </c>
      <c r="AA201" s="1141">
        <f>SUM(ArchetypeDemand!AC56:AC100)*'SHWLP-Apt'!$R$44</f>
        <v>2.0749501299431621E-4</v>
      </c>
      <c r="AB201" s="1141">
        <f>SUM(ArchetypeDemand!AD56:AD100)*'SHWLP-Apt'!$R$44</f>
        <v>6.5548627878246306E-5</v>
      </c>
      <c r="AC201" s="1141">
        <f>SUM(ArchetypeDemand!AE56:AE100)*'SHWLP-Apt'!$R$44</f>
        <v>1.6241462616301241E-4</v>
      </c>
      <c r="AD201" s="1141">
        <f>SUM(ArchetypeDemand!AF56:AF100)*'SHWLP-Apt'!$R$44</f>
        <v>1.2316584453501869E-4</v>
      </c>
      <c r="AE201" s="1141">
        <f>SUM(ArchetypeDemand!AG56:AG100)*'SHWLP-Apt'!$R$44</f>
        <v>2.3188256142127919E-4</v>
      </c>
      <c r="AF201" s="1141">
        <f>SUM(ArchetypeDemand!AH56:AH100)*'SHWLP-Apt'!$R$44</f>
        <v>9.9568893559180905E-5</v>
      </c>
    </row>
    <row r="202" spans="3:32" ht="15">
      <c r="C202" s="1137" t="s">
        <v>1204</v>
      </c>
      <c r="D202" s="1137"/>
      <c r="E202" s="1137"/>
      <c r="F202" s="1137"/>
      <c r="G202" s="1137"/>
      <c r="H202" s="1137"/>
      <c r="I202" s="1137"/>
      <c r="J202" s="1137"/>
      <c r="K202" s="1137"/>
      <c r="L202" s="1137"/>
      <c r="M202" s="1137"/>
      <c r="N202" s="1137"/>
      <c r="O202" s="1137"/>
      <c r="P202" s="1137"/>
      <c r="Q202" s="1137"/>
      <c r="R202" s="1137"/>
      <c r="S202" s="1137"/>
      <c r="T202" s="1137"/>
      <c r="U202" s="1137"/>
      <c r="V202" s="1137"/>
      <c r="W202" s="1137"/>
      <c r="X202" s="1137"/>
      <c r="Y202" s="1137"/>
      <c r="Z202" s="1137"/>
      <c r="AA202" s="1137"/>
      <c r="AB202" s="1137"/>
      <c r="AC202" s="1137"/>
      <c r="AD202" s="1137"/>
      <c r="AE202" s="1137"/>
      <c r="AF202" s="1137"/>
    </row>
    <row r="203" spans="3:32">
      <c r="C203" s="1145" t="s">
        <v>1188</v>
      </c>
      <c r="D203" s="1134" t="s">
        <v>1094</v>
      </c>
      <c r="E203" s="1145" t="s">
        <v>1154</v>
      </c>
      <c r="F203" s="1134" t="s">
        <v>1165</v>
      </c>
      <c r="G203" s="1134">
        <f>SUMIFS(INDEX(ArchetypeDemand!$I$56:$AH$100,,MATCH(G$129,ArchetypeDemand!$I$4:$AH$4,0)),ArchetypeDemand!$F$56:$F$100,$F203)*'SHWLP-Apt'!$R$20</f>
        <v>3.4328540235200786E-4</v>
      </c>
      <c r="H203" s="1134">
        <f>SUMIFS(INDEX(ArchetypeDemand!$I$56:$AH$100,,MATCH(H$129,ArchetypeDemand!$I$4:$AH$4,0)),ArchetypeDemand!$F$56:$F$100,$F203)*'SHWLP-Apt'!$R$20</f>
        <v>0.12071271338625572</v>
      </c>
      <c r="I203" s="1134">
        <f>SUMIFS(INDEX(ArchetypeDemand!$I$56:$AH$100,,MATCH(I$129,ArchetypeDemand!$I$4:$AH$4,0)),ArchetypeDemand!$F$56:$F$100,$F203)*'SHWLP-Apt'!$R$20</f>
        <v>4.2178142994830628E-3</v>
      </c>
      <c r="J203" s="1134">
        <f>SUMIFS(INDEX(ArchetypeDemand!$I$56:$AH$100,,MATCH(J$129,ArchetypeDemand!$I$4:$AH$4,0)),ArchetypeDemand!$F$56:$F$100,$F203)*'SHWLP-Apt'!$R$20</f>
        <v>1.0389672429620437E-3</v>
      </c>
      <c r="K203" s="1134">
        <f>SUMIFS(INDEX(ArchetypeDemand!$I$56:$AH$100,,MATCH(K$129,ArchetypeDemand!$I$4:$AH$4,0)),ArchetypeDemand!$F$56:$F$100,$F203)*'SHWLP-Apt'!$R$20</f>
        <v>9.5337245276756201E-4</v>
      </c>
      <c r="L203" s="1134">
        <f>SUMIFS(INDEX(ArchetypeDemand!$I$56:$AH$100,,MATCH(L$129,ArchetypeDemand!$I$4:$AH$4,0)),ArchetypeDemand!$F$56:$F$100,$F203)*'SHWLP-Apt'!$R$20</f>
        <v>1.6135703810557102E-4</v>
      </c>
      <c r="M203" s="1134">
        <f>SUMIFS(INDEX(ArchetypeDemand!$I$56:$AH$100,,MATCH(M$129,ArchetypeDemand!$I$4:$AH$4,0)),ArchetypeDemand!$F$56:$F$100,$F203)*'SHWLP-Apt'!$R$20</f>
        <v>2.523159994489042E-3</v>
      </c>
      <c r="N203" s="1134">
        <f>SUMIFS(INDEX(ArchetypeDemand!$I$56:$AH$100,,MATCH(N$129,ArchetypeDemand!$I$4:$AH$4,0)),ArchetypeDemand!$F$56:$F$100,$F203)*'SHWLP-Apt'!$R$20</f>
        <v>4.086277124424496E-3</v>
      </c>
      <c r="O203" s="1134">
        <f>SUMIFS(INDEX(ArchetypeDemand!$I$56:$AH$100,,MATCH(O$129,ArchetypeDemand!$I$4:$AH$4,0)),ArchetypeDemand!$F$56:$F$100,$F203)*'SHWLP-Apt'!$R$20</f>
        <v>3.1896078351123898E-4</v>
      </c>
      <c r="P203" s="1134">
        <f>SUMIFS(INDEX(ArchetypeDemand!$I$56:$AH$100,,MATCH(P$129,ArchetypeDemand!$I$4:$AH$4,0)),ArchetypeDemand!$F$56:$F$100,$F203)*'SHWLP-Apt'!$R$20</f>
        <v>1.5071169582667981E-3</v>
      </c>
      <c r="Q203" s="1134">
        <f>SUMIFS(INDEX(ArchetypeDemand!$I$56:$AH$100,,MATCH(Q$129,ArchetypeDemand!$I$4:$AH$4,0)),ArchetypeDemand!$F$56:$F$100,$F203)*'SHWLP-Apt'!$R$20</f>
        <v>7.7867004049401425E-4</v>
      </c>
      <c r="R203" s="1134">
        <f>SUMIFS(INDEX(ArchetypeDemand!$I$56:$AH$100,,MATCH(R$129,ArchetypeDemand!$I$4:$AH$4,0)),ArchetypeDemand!$F$56:$F$100,$F203)*'SHWLP-Apt'!$R$20</f>
        <v>3.8050902190026542E-3</v>
      </c>
      <c r="S203" s="1134">
        <f>SUMIFS(INDEX(ArchetypeDemand!$I$56:$AH$100,,MATCH(S$129,ArchetypeDemand!$I$4:$AH$4,0)),ArchetypeDemand!$F$56:$F$100,$F203)*'SHWLP-Apt'!$R$20</f>
        <v>8.6254476098227169E-4</v>
      </c>
      <c r="T203" s="1134">
        <f>SUMIFS(INDEX(ArchetypeDemand!$I$56:$AH$100,,MATCH(T$129,ArchetypeDemand!$I$4:$AH$4,0)),ArchetypeDemand!$F$56:$F$100,$F203)*'SHWLP-Apt'!$R$20</f>
        <v>1.6824926398357774E-2</v>
      </c>
      <c r="U203" s="1134">
        <f>SUMIFS(INDEX(ArchetypeDemand!$I$56:$AH$100,,MATCH(U$129,ArchetypeDemand!$I$4:$AH$4,0)),ArchetypeDemand!$F$56:$F$100,$F203)*'SHWLP-Apt'!$R$20</f>
        <v>1.1323357523411524E-3</v>
      </c>
      <c r="V203" s="1134">
        <f>SUMIFS(INDEX(ArchetypeDemand!$I$56:$AH$100,,MATCH(V$129,ArchetypeDemand!$I$4:$AH$4,0)),ArchetypeDemand!$F$56:$F$100,$F203)*'SHWLP-Apt'!$R$20</f>
        <v>2.7330542477193328E-3</v>
      </c>
      <c r="W203" s="1134">
        <f>SUMIFS(INDEX(ArchetypeDemand!$I$56:$AH$100,,MATCH(W$129,ArchetypeDemand!$I$4:$AH$4,0)),ArchetypeDemand!$F$56:$F$100,$F203)*'SHWLP-Apt'!$R$20</f>
        <v>4.690826462858721E-4</v>
      </c>
      <c r="X203" s="1134">
        <f>SUMIFS(INDEX(ArchetypeDemand!$I$56:$AH$100,,MATCH(X$129,ArchetypeDemand!$I$4:$AH$4,0)),ArchetypeDemand!$F$56:$F$100,$F203)*'SHWLP-Apt'!$R$20</f>
        <v>1.1636592675312481E-3</v>
      </c>
      <c r="Y203" s="1134">
        <f>SUMIFS(INDEX(ArchetypeDemand!$I$56:$AH$100,,MATCH(Y$129,ArchetypeDemand!$I$4:$AH$4,0)),ArchetypeDemand!$F$56:$F$100,$F203)*'SHWLP-Apt'!$R$20</f>
        <v>3.6671974270950421E-3</v>
      </c>
      <c r="Z203" s="1134">
        <f>SUMIFS(INDEX(ArchetypeDemand!$I$56:$AH$100,,MATCH(Z$129,ArchetypeDemand!$I$4:$AH$4,0)),ArchetypeDemand!$F$56:$F$100,$F203)*'SHWLP-Apt'!$R$20</f>
        <v>7.2967127985840697E-5</v>
      </c>
      <c r="AA203" s="1134">
        <f>SUMIFS(INDEX(ArchetypeDemand!$I$56:$AH$100,,MATCH(AA$129,ArchetypeDemand!$I$4:$AH$4,0)),ArchetypeDemand!$F$56:$F$100,$F203)*'SHWLP-Apt'!$R$20</f>
        <v>6.0435598559530892E-4</v>
      </c>
      <c r="AB203" s="1134">
        <f>SUMIFS(INDEX(ArchetypeDemand!$I$56:$AH$100,,MATCH(AB$129,ArchetypeDemand!$I$4:$AH$4,0)),ArchetypeDemand!$F$56:$F$100,$F203)*'SHWLP-Apt'!$R$20</f>
        <v>2.1467442618738504E-4</v>
      </c>
      <c r="AC203" s="1134">
        <f>SUMIFS(INDEX(ArchetypeDemand!$I$56:$AH$100,,MATCH(AC$129,ArchetypeDemand!$I$4:$AH$4,0)),ArchetypeDemand!$F$56:$F$100,$F203)*'SHWLP-Apt'!$R$20</f>
        <v>6.0561385715270847E-4</v>
      </c>
      <c r="AD203" s="1134">
        <f>SUMIFS(INDEX(ArchetypeDemand!$I$56:$AH$100,,MATCH(AD$129,ArchetypeDemand!$I$4:$AH$4,0)),ArchetypeDemand!$F$56:$F$100,$F203)*'SHWLP-Apt'!$R$20</f>
        <v>5.6253534744097331E-4</v>
      </c>
      <c r="AE203" s="1134">
        <f>SUMIFS(INDEX(ArchetypeDemand!$I$56:$AH$100,,MATCH(AE$129,ArchetypeDemand!$I$4:$AH$4,0)),ArchetypeDemand!$F$56:$F$100,$F203)*'SHWLP-Apt'!$R$20</f>
        <v>1.1654726134199091E-3</v>
      </c>
      <c r="AF203" s="1134">
        <f>SUMIFS(INDEX(ArchetypeDemand!$I$56:$AH$100,,MATCH(AF$129,ArchetypeDemand!$I$4:$AH$4,0)),ArchetypeDemand!$F$56:$F$100,$F203)*'SHWLP-Apt'!$R$20</f>
        <v>4.6211206692160431E-4</v>
      </c>
    </row>
    <row r="204" spans="3:32">
      <c r="C204" s="1136" t="s">
        <v>1188</v>
      </c>
      <c r="D204" s="1136" t="s">
        <v>1094</v>
      </c>
      <c r="E204" s="1145" t="s">
        <v>1154</v>
      </c>
      <c r="F204" s="1136" t="s">
        <v>1166</v>
      </c>
      <c r="G204" s="1136">
        <f>SUMIFS(INDEX(ArchetypeDemand!$I$56:$AH$100,,MATCH(G$129,ArchetypeDemand!$I$4:$AH$4,0)),ArchetypeDemand!$F$56:$F$100,$F204)*'SHWLP-Apt'!$R$20</f>
        <v>1.5940363603622028E-3</v>
      </c>
      <c r="H204" s="1136">
        <f>SUMIFS(INDEX(ArchetypeDemand!$I$56:$AH$100,,MATCH(H$129,ArchetypeDemand!$I$4:$AH$4,0)),ArchetypeDemand!$F$56:$F$100,$F204)*'SHWLP-Apt'!$R$20</f>
        <v>0.13323253529175222</v>
      </c>
      <c r="I204" s="1136">
        <f>SUMIFS(INDEX(ArchetypeDemand!$I$56:$AH$100,,MATCH(I$129,ArchetypeDemand!$I$4:$AH$4,0)),ArchetypeDemand!$F$56:$F$100,$F204)*'SHWLP-Apt'!$R$20</f>
        <v>9.5569412954462675E-3</v>
      </c>
      <c r="J204" s="1136">
        <f>SUMIFS(INDEX(ArchetypeDemand!$I$56:$AH$100,,MATCH(J$129,ArchetypeDemand!$I$4:$AH$4,0)),ArchetypeDemand!$F$56:$F$100,$F204)*'SHWLP-Apt'!$R$20</f>
        <v>2.3474830809505041E-3</v>
      </c>
      <c r="K204" s="1136">
        <f>SUMIFS(INDEX(ArchetypeDemand!$I$56:$AH$100,,MATCH(K$129,ArchetypeDemand!$I$4:$AH$4,0)),ArchetypeDemand!$F$56:$F$100,$F204)*'SHWLP-Apt'!$R$20</f>
        <v>1.5146037047184711E-3</v>
      </c>
      <c r="L204" s="1136">
        <f>SUMIFS(INDEX(ArchetypeDemand!$I$56:$AH$100,,MATCH(L$129,ArchetypeDemand!$I$4:$AH$4,0)),ArchetypeDemand!$F$56:$F$100,$F204)*'SHWLP-Apt'!$R$20</f>
        <v>6.1745028913374339E-4</v>
      </c>
      <c r="M204" s="1136">
        <f>SUMIFS(INDEX(ArchetypeDemand!$I$56:$AH$100,,MATCH(M$129,ArchetypeDemand!$I$4:$AH$4,0)),ArchetypeDemand!$F$56:$F$100,$F204)*'SHWLP-Apt'!$R$20</f>
        <v>3.9107826405248005E-3</v>
      </c>
      <c r="N204" s="1136">
        <f>SUMIFS(INDEX(ArchetypeDemand!$I$56:$AH$100,,MATCH(N$129,ArchetypeDemand!$I$4:$AH$4,0)),ArchetypeDemand!$F$56:$F$100,$F204)*'SHWLP-Apt'!$R$20</f>
        <v>7.4562221834968403E-3</v>
      </c>
      <c r="O204" s="1136">
        <f>SUMIFS(INDEX(ArchetypeDemand!$I$56:$AH$100,,MATCH(O$129,ArchetypeDemand!$I$4:$AH$4,0)),ArchetypeDemand!$F$56:$F$100,$F204)*'SHWLP-Apt'!$R$20</f>
        <v>1.0453835461010654E-3</v>
      </c>
      <c r="P204" s="1136">
        <f>SUMIFS(INDEX(ArchetypeDemand!$I$56:$AH$100,,MATCH(P$129,ArchetypeDemand!$I$4:$AH$4,0)),ArchetypeDemand!$F$56:$F$100,$F204)*'SHWLP-Apt'!$R$20</f>
        <v>2.8454862931858024E-3</v>
      </c>
      <c r="Q204" s="1136">
        <f>SUMIFS(INDEX(ArchetypeDemand!$I$56:$AH$100,,MATCH(Q$129,ArchetypeDemand!$I$4:$AH$4,0)),ArchetypeDemand!$F$56:$F$100,$F204)*'SHWLP-Apt'!$R$20</f>
        <v>2.3901201411743217E-3</v>
      </c>
      <c r="R204" s="1136">
        <f>SUMIFS(INDEX(ArchetypeDemand!$I$56:$AH$100,,MATCH(R$129,ArchetypeDemand!$I$4:$AH$4,0)),ArchetypeDemand!$F$56:$F$100,$F204)*'SHWLP-Apt'!$R$20</f>
        <v>5.0414363204335606E-3</v>
      </c>
      <c r="S204" s="1136">
        <f>SUMIFS(INDEX(ArchetypeDemand!$I$56:$AH$100,,MATCH(S$129,ArchetypeDemand!$I$4:$AH$4,0)),ArchetypeDemand!$F$56:$F$100,$F204)*'SHWLP-Apt'!$R$20</f>
        <v>2.4901589292171448E-3</v>
      </c>
      <c r="T204" s="1136">
        <f>SUMIFS(INDEX(ArchetypeDemand!$I$56:$AH$100,,MATCH(T$129,ArchetypeDemand!$I$4:$AH$4,0)),ArchetypeDemand!$F$56:$F$100,$F204)*'SHWLP-Apt'!$R$20</f>
        <v>1.891915871190691E-2</v>
      </c>
      <c r="U204" s="1136">
        <f>SUMIFS(INDEX(ArchetypeDemand!$I$56:$AH$100,,MATCH(U$129,ArchetypeDemand!$I$4:$AH$4,0)),ArchetypeDemand!$F$56:$F$100,$F204)*'SHWLP-Apt'!$R$20</f>
        <v>3.171924260854329E-3</v>
      </c>
      <c r="V204" s="1136">
        <f>SUMIFS(INDEX(ArchetypeDemand!$I$56:$AH$100,,MATCH(V$129,ArchetypeDemand!$I$4:$AH$4,0)),ArchetypeDemand!$F$56:$F$100,$F204)*'SHWLP-Apt'!$R$20</f>
        <v>1.0665459638773836E-2</v>
      </c>
      <c r="W204" s="1136">
        <f>SUMIFS(INDEX(ArchetypeDemand!$I$56:$AH$100,,MATCH(W$129,ArchetypeDemand!$I$4:$AH$4,0)),ArchetypeDemand!$F$56:$F$100,$F204)*'SHWLP-Apt'!$R$20</f>
        <v>1.5334338588144437E-3</v>
      </c>
      <c r="X204" s="1136">
        <f>SUMIFS(INDEX(ArchetypeDemand!$I$56:$AH$100,,MATCH(X$129,ArchetypeDemand!$I$4:$AH$4,0)),ArchetypeDemand!$F$56:$F$100,$F204)*'SHWLP-Apt'!$R$20</f>
        <v>3.17596907191527E-3</v>
      </c>
      <c r="Y204" s="1136">
        <f>SUMIFS(INDEX(ArchetypeDemand!$I$56:$AH$100,,MATCH(Y$129,ArchetypeDemand!$I$4:$AH$4,0)),ArchetypeDemand!$F$56:$F$100,$F204)*'SHWLP-Apt'!$R$20</f>
        <v>9.9076349920591972E-3</v>
      </c>
      <c r="Z204" s="1136">
        <f>SUMIFS(INDEX(ArchetypeDemand!$I$56:$AH$100,,MATCH(Z$129,ArchetypeDemand!$I$4:$AH$4,0)),ArchetypeDemand!$F$56:$F$100,$F204)*'SHWLP-Apt'!$R$20</f>
        <v>6.4675408896540615E-4</v>
      </c>
      <c r="AA204" s="1136">
        <f>SUMIFS(INDEX(ArchetypeDemand!$I$56:$AH$100,,MATCH(AA$129,ArchetypeDemand!$I$4:$AH$4,0)),ArchetypeDemand!$F$56:$F$100,$F204)*'SHWLP-Apt'!$R$20</f>
        <v>2.0671379725871754E-3</v>
      </c>
      <c r="AB204" s="1136">
        <f>SUMIFS(INDEX(ArchetypeDemand!$I$56:$AH$100,,MATCH(AB$129,ArchetypeDemand!$I$4:$AH$4,0)),ArchetypeDemand!$F$56:$F$100,$F204)*'SHWLP-Apt'!$R$20</f>
        <v>6.9022493168501735E-4</v>
      </c>
      <c r="AC204" s="1136">
        <f>SUMIFS(INDEX(ArchetypeDemand!$I$56:$AH$100,,MATCH(AC$129,ArchetypeDemand!$I$4:$AH$4,0)),ArchetypeDemand!$F$56:$F$100,$F204)*'SHWLP-Apt'!$R$20</f>
        <v>1.4119633517321118E-3</v>
      </c>
      <c r="AD204" s="1136">
        <f>SUMIFS(INDEX(ArchetypeDemand!$I$56:$AH$100,,MATCH(AD$129,ArchetypeDemand!$I$4:$AH$4,0)),ArchetypeDemand!$F$56:$F$100,$F204)*'SHWLP-Apt'!$R$20</f>
        <v>1.1952946080762061E-3</v>
      </c>
      <c r="AE204" s="1136">
        <f>SUMIFS(INDEX(ArchetypeDemand!$I$56:$AH$100,,MATCH(AE$129,ArchetypeDemand!$I$4:$AH$4,0)),ArchetypeDemand!$F$56:$F$100,$F204)*'SHWLP-Apt'!$R$20</f>
        <v>2.9172507263828134E-3</v>
      </c>
      <c r="AF204" s="1136">
        <f>SUMIFS(INDEX(ArchetypeDemand!$I$56:$AH$100,,MATCH(AF$129,ArchetypeDemand!$I$4:$AH$4,0)),ArchetypeDemand!$F$56:$F$100,$F204)*'SHWLP-Apt'!$R$20</f>
        <v>9.0226926600256723E-4</v>
      </c>
    </row>
    <row r="205" spans="3:32">
      <c r="C205" s="1134" t="s">
        <v>1188</v>
      </c>
      <c r="D205" s="1134" t="s">
        <v>1094</v>
      </c>
      <c r="E205" s="1145" t="s">
        <v>1154</v>
      </c>
      <c r="F205" s="1134" t="s">
        <v>1167</v>
      </c>
      <c r="G205" s="1134">
        <f>SUMIFS(INDEX(ArchetypeDemand!$I$56:$AH$100,,MATCH(G$129,ArchetypeDemand!$I$4:$AH$4,0)),ArchetypeDemand!$F$56:$F$100,$F205)*'SHWLP-Apt'!$R$20</f>
        <v>1.1305529621047146E-3</v>
      </c>
      <c r="H205" s="1134">
        <f>SUMIFS(INDEX(ArchetypeDemand!$I$56:$AH$100,,MATCH(H$129,ArchetypeDemand!$I$4:$AH$4,0)),ArchetypeDemand!$F$56:$F$100,$F205)*'SHWLP-Apt'!$R$20</f>
        <v>8.1409420970783131E-2</v>
      </c>
      <c r="I205" s="1134">
        <f>SUMIFS(INDEX(ArchetypeDemand!$I$56:$AH$100,,MATCH(I$129,ArchetypeDemand!$I$4:$AH$4,0)),ArchetypeDemand!$F$56:$F$100,$F205)*'SHWLP-Apt'!$R$20</f>
        <v>5.3686855495796715E-3</v>
      </c>
      <c r="J205" s="1134">
        <f>SUMIFS(INDEX(ArchetypeDemand!$I$56:$AH$100,,MATCH(J$129,ArchetypeDemand!$I$4:$AH$4,0)),ArchetypeDemand!$F$56:$F$100,$F205)*'SHWLP-Apt'!$R$20</f>
        <v>1.1683574049684848E-3</v>
      </c>
      <c r="K205" s="1134">
        <f>SUMIFS(INDEX(ArchetypeDemand!$I$56:$AH$100,,MATCH(K$129,ArchetypeDemand!$I$4:$AH$4,0)),ArchetypeDemand!$F$56:$F$100,$F205)*'SHWLP-Apt'!$R$20</f>
        <v>1.2701413523779461E-3</v>
      </c>
      <c r="L205" s="1134">
        <f>SUMIFS(INDEX(ArchetypeDemand!$I$56:$AH$100,,MATCH(L$129,ArchetypeDemand!$I$4:$AH$4,0)),ArchetypeDemand!$F$56:$F$100,$F205)*'SHWLP-Apt'!$R$20</f>
        <v>8.6598373884795435E-4</v>
      </c>
      <c r="M205" s="1134">
        <f>SUMIFS(INDEX(ArchetypeDemand!$I$56:$AH$100,,MATCH(M$129,ArchetypeDemand!$I$4:$AH$4,0)),ArchetypeDemand!$F$56:$F$100,$F205)*'SHWLP-Apt'!$R$20</f>
        <v>1.6823911699873997E-3</v>
      </c>
      <c r="N205" s="1134">
        <f>SUMIFS(INDEX(ArchetypeDemand!$I$56:$AH$100,,MATCH(N$129,ArchetypeDemand!$I$4:$AH$4,0)),ArchetypeDemand!$F$56:$F$100,$F205)*'SHWLP-Apt'!$R$20</f>
        <v>3.6769632261604086E-3</v>
      </c>
      <c r="O205" s="1134">
        <f>SUMIFS(INDEX(ArchetypeDemand!$I$56:$AH$100,,MATCH(O$129,ArchetypeDemand!$I$4:$AH$4,0)),ArchetypeDemand!$F$56:$F$100,$F205)*'SHWLP-Apt'!$R$20</f>
        <v>1.1888675622325842E-3</v>
      </c>
      <c r="P205" s="1134">
        <f>SUMIFS(INDEX(ArchetypeDemand!$I$56:$AH$100,,MATCH(P$129,ArchetypeDemand!$I$4:$AH$4,0)),ArchetypeDemand!$F$56:$F$100,$F205)*'SHWLP-Apt'!$R$20</f>
        <v>2.8498041783044459E-3</v>
      </c>
      <c r="Q205" s="1134">
        <f>SUMIFS(INDEX(ArchetypeDemand!$I$56:$AH$100,,MATCH(Q$129,ArchetypeDemand!$I$4:$AH$4,0)),ArchetypeDemand!$F$56:$F$100,$F205)*'SHWLP-Apt'!$R$20</f>
        <v>2.6139441008829535E-3</v>
      </c>
      <c r="R205" s="1134">
        <f>SUMIFS(INDEX(ArchetypeDemand!$I$56:$AH$100,,MATCH(R$129,ArchetypeDemand!$I$4:$AH$4,0)),ArchetypeDemand!$F$56:$F$100,$F205)*'SHWLP-Apt'!$R$20</f>
        <v>3.1019590263121669E-3</v>
      </c>
      <c r="S205" s="1134">
        <f>SUMIFS(INDEX(ArchetypeDemand!$I$56:$AH$100,,MATCH(S$129,ArchetypeDemand!$I$4:$AH$4,0)),ArchetypeDemand!$F$56:$F$100,$F205)*'SHWLP-Apt'!$R$20</f>
        <v>2.2561842647269435E-3</v>
      </c>
      <c r="T205" s="1134">
        <f>SUMIFS(INDEX(ArchetypeDemand!$I$56:$AH$100,,MATCH(T$129,ArchetypeDemand!$I$4:$AH$4,0)),ArchetypeDemand!$F$56:$F$100,$F205)*'SHWLP-Apt'!$R$20</f>
        <v>1.106820807470869E-2</v>
      </c>
      <c r="U205" s="1134">
        <f>SUMIFS(INDEX(ArchetypeDemand!$I$56:$AH$100,,MATCH(U$129,ArchetypeDemand!$I$4:$AH$4,0)),ArchetypeDemand!$F$56:$F$100,$F205)*'SHWLP-Apt'!$R$20</f>
        <v>2.7891760188513675E-3</v>
      </c>
      <c r="V205" s="1134">
        <f>SUMIFS(INDEX(ArchetypeDemand!$I$56:$AH$100,,MATCH(V$129,ArchetypeDemand!$I$4:$AH$4,0)),ArchetypeDemand!$F$56:$F$100,$F205)*'SHWLP-Apt'!$R$20</f>
        <v>6.3322334152781413E-3</v>
      </c>
      <c r="W205" s="1134">
        <f>SUMIFS(INDEX(ArchetypeDemand!$I$56:$AH$100,,MATCH(W$129,ArchetypeDemand!$I$4:$AH$4,0)),ArchetypeDemand!$F$56:$F$100,$F205)*'SHWLP-Apt'!$R$20</f>
        <v>2.6287437579676177E-3</v>
      </c>
      <c r="X205" s="1134">
        <f>SUMIFS(INDEX(ArchetypeDemand!$I$56:$AH$100,,MATCH(X$129,ArchetypeDemand!$I$4:$AH$4,0)),ArchetypeDemand!$F$56:$F$100,$F205)*'SHWLP-Apt'!$R$20</f>
        <v>3.2671452175204924E-3</v>
      </c>
      <c r="Y205" s="1134">
        <f>SUMIFS(INDEX(ArchetypeDemand!$I$56:$AH$100,,MATCH(Y$129,ArchetypeDemand!$I$4:$AH$4,0)),ArchetypeDemand!$F$56:$F$100,$F205)*'SHWLP-Apt'!$R$20</f>
        <v>1.0255033851070379E-2</v>
      </c>
      <c r="Z205" s="1134">
        <f>SUMIFS(INDEX(ArchetypeDemand!$I$56:$AH$100,,MATCH(Z$129,ArchetypeDemand!$I$4:$AH$4,0)),ArchetypeDemand!$F$56:$F$100,$F205)*'SHWLP-Apt'!$R$20</f>
        <v>6.6333752714400635E-4</v>
      </c>
      <c r="AA205" s="1134">
        <f>SUMIFS(INDEX(ArchetypeDemand!$I$56:$AH$100,,MATCH(AA$129,ArchetypeDemand!$I$4:$AH$4,0)),ArchetypeDemand!$F$56:$F$100,$F205)*'SHWLP-Apt'!$R$20</f>
        <v>2.4519298895622774E-3</v>
      </c>
      <c r="AB205" s="1134">
        <f>SUMIFS(INDEX(ArchetypeDemand!$I$56:$AH$100,,MATCH(AB$129,ArchetypeDemand!$I$4:$AH$4,0)),ArchetypeDemand!$F$56:$F$100,$F205)*'SHWLP-Apt'!$R$20</f>
        <v>6.4448713500709438E-4</v>
      </c>
      <c r="AC205" s="1134">
        <f>SUMIFS(INDEX(ArchetypeDemand!$I$56:$AH$100,,MATCH(AC$129,ArchetypeDemand!$I$4:$AH$4,0)),ArchetypeDemand!$F$56:$F$100,$F205)*'SHWLP-Apt'!$R$20</f>
        <v>1.8455359365064166E-3</v>
      </c>
      <c r="AD205" s="1134">
        <f>SUMIFS(INDEX(ArchetypeDemand!$I$56:$AH$100,,MATCH(AD$129,ArchetypeDemand!$I$4:$AH$4,0)),ArchetypeDemand!$F$56:$F$100,$F205)*'SHWLP-Apt'!$R$20</f>
        <v>1.2456710091828661E-3</v>
      </c>
      <c r="AE205" s="1134">
        <f>SUMIFS(INDEX(ArchetypeDemand!$I$56:$AH$100,,MATCH(AE$129,ArchetypeDemand!$I$4:$AH$4,0)),ArchetypeDemand!$F$56:$F$100,$F205)*'SHWLP-Apt'!$R$20</f>
        <v>1.8075077655832442E-3</v>
      </c>
      <c r="AF205" s="1134">
        <f>SUMIFS(INDEX(ArchetypeDemand!$I$56:$AH$100,,MATCH(AF$129,ArchetypeDemand!$I$4:$AH$4,0)),ArchetypeDemand!$F$56:$F$100,$F205)*'SHWLP-Apt'!$R$20</f>
        <v>7.3236141720987597E-4</v>
      </c>
    </row>
    <row r="206" spans="3:32">
      <c r="C206" s="1136" t="s">
        <v>1188</v>
      </c>
      <c r="D206" s="1136" t="s">
        <v>1094</v>
      </c>
      <c r="E206" s="1145" t="s">
        <v>1154</v>
      </c>
      <c r="F206" s="1136" t="s">
        <v>1168</v>
      </c>
      <c r="G206" s="1136">
        <f>SUMIFS(INDEX(ArchetypeDemand!$I$56:$AH$100,,MATCH(G$129,ArchetypeDemand!$I$4:$AH$4,0)),ArchetypeDemand!$F$56:$F$100,$F206)*'SHWLP-Apt'!$R$20</f>
        <v>5.8476877350243858E-4</v>
      </c>
      <c r="H206" s="1136">
        <f>SUMIFS(INDEX(ArchetypeDemand!$I$56:$AH$100,,MATCH(H$129,ArchetypeDemand!$I$4:$AH$4,0)),ArchetypeDemand!$F$56:$F$100,$F206)*'SHWLP-Apt'!$R$20</f>
        <v>3.9163252610292146E-2</v>
      </c>
      <c r="I206" s="1136">
        <f>SUMIFS(INDEX(ArchetypeDemand!$I$56:$AH$100,,MATCH(I$129,ArchetypeDemand!$I$4:$AH$4,0)),ArchetypeDemand!$F$56:$F$100,$F206)*'SHWLP-Apt'!$R$20</f>
        <v>2.9794502257181055E-3</v>
      </c>
      <c r="J206" s="1136">
        <f>SUMIFS(INDEX(ArchetypeDemand!$I$56:$AH$100,,MATCH(J$129,ArchetypeDemand!$I$4:$AH$4,0)),ArchetypeDemand!$F$56:$F$100,$F206)*'SHWLP-Apt'!$R$20</f>
        <v>5.4379768618348834E-4</v>
      </c>
      <c r="K206" s="1136">
        <f>SUMIFS(INDEX(ArchetypeDemand!$I$56:$AH$100,,MATCH(K$129,ArchetypeDemand!$I$4:$AH$4,0)),ArchetypeDemand!$F$56:$F$100,$F206)*'SHWLP-Apt'!$R$20</f>
        <v>4.9423910364497481E-4</v>
      </c>
      <c r="L206" s="1136">
        <f>SUMIFS(INDEX(ArchetypeDemand!$I$56:$AH$100,,MATCH(L$129,ArchetypeDemand!$I$4:$AH$4,0)),ArchetypeDemand!$F$56:$F$100,$F206)*'SHWLP-Apt'!$R$20</f>
        <v>3.7280017457131672E-4</v>
      </c>
      <c r="M206" s="1136">
        <f>SUMIFS(INDEX(ArchetypeDemand!$I$56:$AH$100,,MATCH(M$129,ArchetypeDemand!$I$4:$AH$4,0)),ArchetypeDemand!$F$56:$F$100,$F206)*'SHWLP-Apt'!$R$20</f>
        <v>9.6770784975528539E-4</v>
      </c>
      <c r="N206" s="1136">
        <f>SUMIFS(INDEX(ArchetypeDemand!$I$56:$AH$100,,MATCH(N$129,ArchetypeDemand!$I$4:$AH$4,0)),ArchetypeDemand!$F$56:$F$100,$F206)*'SHWLP-Apt'!$R$20</f>
        <v>1.5344359676403561E-3</v>
      </c>
      <c r="O206" s="1136">
        <f>SUMIFS(INDEX(ArchetypeDemand!$I$56:$AH$100,,MATCH(O$129,ArchetypeDemand!$I$4:$AH$4,0)),ArchetypeDemand!$F$56:$F$100,$F206)*'SHWLP-Apt'!$R$20</f>
        <v>6.5592693088694298E-4</v>
      </c>
      <c r="P206" s="1136">
        <f>SUMIFS(INDEX(ArchetypeDemand!$I$56:$AH$100,,MATCH(P$129,ArchetypeDemand!$I$4:$AH$4,0)),ArchetypeDemand!$F$56:$F$100,$F206)*'SHWLP-Apt'!$R$20</f>
        <v>1.2996834207115728E-3</v>
      </c>
      <c r="Q206" s="1136">
        <f>SUMIFS(INDEX(ArchetypeDemand!$I$56:$AH$100,,MATCH(Q$129,ArchetypeDemand!$I$4:$AH$4,0)),ArchetypeDemand!$F$56:$F$100,$F206)*'SHWLP-Apt'!$R$20</f>
        <v>1.738632544165267E-3</v>
      </c>
      <c r="R206" s="1136">
        <f>SUMIFS(INDEX(ArchetypeDemand!$I$56:$AH$100,,MATCH(R$129,ArchetypeDemand!$I$4:$AH$4,0)),ArchetypeDemand!$F$56:$F$100,$F206)*'SHWLP-Apt'!$R$20</f>
        <v>1.3732944815517945E-3</v>
      </c>
      <c r="S206" s="1136">
        <f>SUMIFS(INDEX(ArchetypeDemand!$I$56:$AH$100,,MATCH(S$129,ArchetypeDemand!$I$4:$AH$4,0)),ArchetypeDemand!$F$56:$F$100,$F206)*'SHWLP-Apt'!$R$20</f>
        <v>1.4832322481075275E-3</v>
      </c>
      <c r="T206" s="1136">
        <f>SUMIFS(INDEX(ArchetypeDemand!$I$56:$AH$100,,MATCH(T$129,ArchetypeDemand!$I$4:$AH$4,0)),ArchetypeDemand!$F$56:$F$100,$F206)*'SHWLP-Apt'!$R$20</f>
        <v>6.3186725450287478E-3</v>
      </c>
      <c r="U206" s="1136">
        <f>SUMIFS(INDEX(ArchetypeDemand!$I$56:$AH$100,,MATCH(U$129,ArchetypeDemand!$I$4:$AH$4,0)),ArchetypeDemand!$F$56:$F$100,$F206)*'SHWLP-Apt'!$R$20</f>
        <v>1.3274034775847387E-3</v>
      </c>
      <c r="V206" s="1136">
        <f>SUMIFS(INDEX(ArchetypeDemand!$I$56:$AH$100,,MATCH(V$129,ArchetypeDemand!$I$4:$AH$4,0)),ArchetypeDemand!$F$56:$F$100,$F206)*'SHWLP-Apt'!$R$20</f>
        <v>2.5999357340974164E-3</v>
      </c>
      <c r="W206" s="1136">
        <f>SUMIFS(INDEX(ArchetypeDemand!$I$56:$AH$100,,MATCH(W$129,ArchetypeDemand!$I$4:$AH$4,0)),ArchetypeDemand!$F$56:$F$100,$F206)*'SHWLP-Apt'!$R$20</f>
        <v>1.4847534188520805E-3</v>
      </c>
      <c r="X206" s="1136">
        <f>SUMIFS(INDEX(ArchetypeDemand!$I$56:$AH$100,,MATCH(X$129,ArchetypeDemand!$I$4:$AH$4,0)),ArchetypeDemand!$F$56:$F$100,$F206)*'SHWLP-Apt'!$R$20</f>
        <v>1.7399447786330068E-3</v>
      </c>
      <c r="Y206" s="1136">
        <f>SUMIFS(INDEX(ArchetypeDemand!$I$56:$AH$100,,MATCH(Y$129,ArchetypeDemand!$I$4:$AH$4,0)),ArchetypeDemand!$F$56:$F$100,$F206)*'SHWLP-Apt'!$R$20</f>
        <v>5.6215451730900531E-3</v>
      </c>
      <c r="Z206" s="1136">
        <f>SUMIFS(INDEX(ArchetypeDemand!$I$56:$AH$100,,MATCH(Z$129,ArchetypeDemand!$I$4:$AH$4,0)),ArchetypeDemand!$F$56:$F$100,$F206)*'SHWLP-Apt'!$R$20</f>
        <v>2.1890138395752208E-4</v>
      </c>
      <c r="AA206" s="1136">
        <f>SUMIFS(INDEX(ArchetypeDemand!$I$56:$AH$100,,MATCH(AA$129,ArchetypeDemand!$I$4:$AH$4,0)),ArchetypeDemand!$F$56:$F$100,$F206)*'SHWLP-Apt'!$R$20</f>
        <v>1.0156716878296295E-3</v>
      </c>
      <c r="AB206" s="1136">
        <f>SUMIFS(INDEX(ArchetypeDemand!$I$56:$AH$100,,MATCH(AB$129,ArchetypeDemand!$I$4:$AH$4,0)),ArchetypeDemand!$F$56:$F$100,$F206)*'SHWLP-Apt'!$R$20</f>
        <v>3.5758641039103307E-4</v>
      </c>
      <c r="AC206" s="1136">
        <f>SUMIFS(INDEX(ArchetypeDemand!$I$56:$AH$100,,MATCH(AC$129,ArchetypeDemand!$I$4:$AH$4,0)),ArchetypeDemand!$F$56:$F$100,$F206)*'SHWLP-Apt'!$R$20</f>
        <v>1.2294064739324043E-3</v>
      </c>
      <c r="AD206" s="1136">
        <f>SUMIFS(INDEX(ArchetypeDemand!$I$56:$AH$100,,MATCH(AD$129,ArchetypeDemand!$I$4:$AH$4,0)),ArchetypeDemand!$F$56:$F$100,$F206)*'SHWLP-Apt'!$R$20</f>
        <v>6.2283550459143306E-4</v>
      </c>
      <c r="AE206" s="1136">
        <f>SUMIFS(INDEX(ArchetypeDemand!$I$56:$AH$100,,MATCH(AE$129,ArchetypeDemand!$I$4:$AH$4,0)),ArchetypeDemand!$F$56:$F$100,$F206)*'SHWLP-Apt'!$R$20</f>
        <v>1.0726278116089478E-3</v>
      </c>
      <c r="AF206" s="1136">
        <f>SUMIFS(INDEX(ArchetypeDemand!$I$56:$AH$100,,MATCH(AF$129,ArchetypeDemand!$I$4:$AH$4,0)),ArchetypeDemand!$F$56:$F$100,$F206)*'SHWLP-Apt'!$R$20</f>
        <v>5.0386465504039467E-4</v>
      </c>
    </row>
    <row r="207" spans="3:32">
      <c r="C207" s="1134" t="s">
        <v>1188</v>
      </c>
      <c r="D207" s="1134" t="s">
        <v>1094</v>
      </c>
      <c r="E207" s="1145" t="s">
        <v>1154</v>
      </c>
      <c r="F207" s="1134" t="s">
        <v>1169</v>
      </c>
      <c r="G207" s="1134">
        <f>SUMIFS(INDEX(ArchetypeDemand!$I$56:$AH$100,,MATCH(G$129,ArchetypeDemand!$I$4:$AH$4,0)),ArchetypeDemand!$F$56:$F$100,$F207)*'SHWLP-Apt'!$R$20</f>
        <v>2.2524426831205038E-4</v>
      </c>
      <c r="H207" s="1134">
        <f>SUMIFS(INDEX(ArchetypeDemand!$I$56:$AH$100,,MATCH(H$129,ArchetypeDemand!$I$4:$AH$4,0)),ArchetypeDemand!$F$56:$F$100,$F207)*'SHWLP-Apt'!$R$20</f>
        <v>1.3434625878266174E-2</v>
      </c>
      <c r="I207" s="1134">
        <f>SUMIFS(INDEX(ArchetypeDemand!$I$56:$AH$100,,MATCH(I$129,ArchetypeDemand!$I$4:$AH$4,0)),ArchetypeDemand!$F$56:$F$100,$F207)*'SHWLP-Apt'!$R$20</f>
        <v>9.7612464537812223E-4</v>
      </c>
      <c r="J207" s="1134">
        <f>SUMIFS(INDEX(ArchetypeDemand!$I$56:$AH$100,,MATCH(J$129,ArchetypeDemand!$I$4:$AH$4,0)),ArchetypeDemand!$F$56:$F$100,$F207)*'SHWLP-Apt'!$R$20</f>
        <v>2.3151782679099007E-4</v>
      </c>
      <c r="K207" s="1134">
        <f>SUMIFS(INDEX(ArchetypeDemand!$I$56:$AH$100,,MATCH(K$129,ArchetypeDemand!$I$4:$AH$4,0)),ArchetypeDemand!$F$56:$F$100,$F207)*'SHWLP-Apt'!$R$20</f>
        <v>1.7006076684558273E-4</v>
      </c>
      <c r="L207" s="1134">
        <f>SUMIFS(INDEX(ArchetypeDemand!$I$56:$AH$100,,MATCH(L$129,ArchetypeDemand!$I$4:$AH$4,0)),ArchetypeDemand!$F$56:$F$100,$F207)*'SHWLP-Apt'!$R$20</f>
        <v>9.7083378794613723E-5</v>
      </c>
      <c r="M207" s="1134">
        <f>SUMIFS(INDEX(ArchetypeDemand!$I$56:$AH$100,,MATCH(M$129,ArchetypeDemand!$I$4:$AH$4,0)),ArchetypeDemand!$F$56:$F$100,$F207)*'SHWLP-Apt'!$R$20</f>
        <v>3.6843922720040684E-4</v>
      </c>
      <c r="N207" s="1134">
        <f>SUMIFS(INDEX(ArchetypeDemand!$I$56:$AH$100,,MATCH(N$129,ArchetypeDemand!$I$4:$AH$4,0)),ArchetypeDemand!$F$56:$F$100,$F207)*'SHWLP-Apt'!$R$20</f>
        <v>3.9781673235120339E-4</v>
      </c>
      <c r="O207" s="1134">
        <f>SUMIFS(INDEX(ArchetypeDemand!$I$56:$AH$100,,MATCH(O$129,ArchetypeDemand!$I$4:$AH$4,0)),ArchetypeDemand!$F$56:$F$100,$F207)*'SHWLP-Apt'!$R$20</f>
        <v>3.0234131970570031E-4</v>
      </c>
      <c r="P207" s="1134">
        <f>SUMIFS(INDEX(ArchetypeDemand!$I$56:$AH$100,,MATCH(P$129,ArchetypeDemand!$I$4:$AH$4,0)),ArchetypeDemand!$F$56:$F$100,$F207)*'SHWLP-Apt'!$R$20</f>
        <v>4.9655678864395645E-4</v>
      </c>
      <c r="Q207" s="1134">
        <f>SUMIFS(INDEX(ArchetypeDemand!$I$56:$AH$100,,MATCH(Q$129,ArchetypeDemand!$I$4:$AH$4,0)),ArchetypeDemand!$F$56:$F$100,$F207)*'SHWLP-Apt'!$R$20</f>
        <v>5.275850478846329E-4</v>
      </c>
      <c r="R207" s="1134">
        <f>SUMIFS(INDEX(ArchetypeDemand!$I$56:$AH$100,,MATCH(R$129,ArchetypeDemand!$I$4:$AH$4,0)),ArchetypeDemand!$F$56:$F$100,$F207)*'SHWLP-Apt'!$R$20</f>
        <v>4.9390415564582086E-4</v>
      </c>
      <c r="S207" s="1134">
        <f>SUMIFS(INDEX(ArchetypeDemand!$I$56:$AH$100,,MATCH(S$129,ArchetypeDemand!$I$4:$AH$4,0)),ArchetypeDemand!$F$56:$F$100,$F207)*'SHWLP-Apt'!$R$20</f>
        <v>3.9692130583159183E-4</v>
      </c>
      <c r="T207" s="1134">
        <f>SUMIFS(INDEX(ArchetypeDemand!$I$56:$AH$100,,MATCH(T$129,ArchetypeDemand!$I$4:$AH$4,0)),ArchetypeDemand!$F$56:$F$100,$F207)*'SHWLP-Apt'!$R$20</f>
        <v>2.4116266880193052E-3</v>
      </c>
      <c r="U207" s="1134">
        <f>SUMIFS(INDEX(ArchetypeDemand!$I$56:$AH$100,,MATCH(U$129,ArchetypeDemand!$I$4:$AH$4,0)),ArchetypeDemand!$F$56:$F$100,$F207)*'SHWLP-Apt'!$R$20</f>
        <v>4.0310719104567211E-4</v>
      </c>
      <c r="V207" s="1134">
        <f>SUMIFS(INDEX(ArchetypeDemand!$I$56:$AH$100,,MATCH(V$129,ArchetypeDemand!$I$4:$AH$4,0)),ArchetypeDemand!$F$56:$F$100,$F207)*'SHWLP-Apt'!$R$20</f>
        <v>8.748211432340363E-4</v>
      </c>
      <c r="W207" s="1134">
        <f>SUMIFS(INDEX(ArchetypeDemand!$I$56:$AH$100,,MATCH(W$129,ArchetypeDemand!$I$4:$AH$4,0)),ArchetypeDemand!$F$56:$F$100,$F207)*'SHWLP-Apt'!$R$20</f>
        <v>6.1459055452483657E-4</v>
      </c>
      <c r="X207" s="1134">
        <f>SUMIFS(INDEX(ArchetypeDemand!$I$56:$AH$100,,MATCH(X$129,ArchetypeDemand!$I$4:$AH$4,0)),ArchetypeDemand!$F$56:$F$100,$F207)*'SHWLP-Apt'!$R$20</f>
        <v>4.7487575836053679E-4</v>
      </c>
      <c r="Y207" s="1134">
        <f>SUMIFS(INDEX(ArchetypeDemand!$I$56:$AH$100,,MATCH(Y$129,ArchetypeDemand!$I$4:$AH$4,0)),ArchetypeDemand!$F$56:$F$100,$F207)*'SHWLP-Apt'!$R$20</f>
        <v>1.5339689878415877E-3</v>
      </c>
      <c r="Z207" s="1134">
        <f>SUMIFS(INDEX(ArchetypeDemand!$I$56:$AH$100,,MATCH(Z$129,ArchetypeDemand!$I$4:$AH$4,0)),ArchetypeDemand!$F$56:$F$100,$F207)*'SHWLP-Apt'!$R$20</f>
        <v>8.2917190893000794E-5</v>
      </c>
      <c r="AA207" s="1134">
        <f>SUMIFS(INDEX(ArchetypeDemand!$I$56:$AH$100,,MATCH(AA$129,ArchetypeDemand!$I$4:$AH$4,0)),ArchetypeDemand!$F$56:$F$100,$F207)*'SHWLP-Apt'!$R$20</f>
        <v>3.8926624159109152E-4</v>
      </c>
      <c r="AB207" s="1134">
        <f>SUMIFS(INDEX(ArchetypeDemand!$I$56:$AH$100,,MATCH(AB$129,ArchetypeDemand!$I$4:$AH$4,0)),ArchetypeDemand!$F$56:$F$100,$F207)*'SHWLP-Apt'!$R$20</f>
        <v>1.0810751942054487E-4</v>
      </c>
      <c r="AC207" s="1134">
        <f>SUMIFS(INDEX(ArchetypeDemand!$I$56:$AH$100,,MATCH(AC$129,ArchetypeDemand!$I$4:$AH$4,0)),ArchetypeDemand!$F$56:$F$100,$F207)*'SHWLP-Apt'!$R$20</f>
        <v>2.1108138995591164E-4</v>
      </c>
      <c r="AD207" s="1134">
        <f>SUMIFS(INDEX(ArchetypeDemand!$I$56:$AH$100,,MATCH(AD$129,ArchetypeDemand!$I$4:$AH$4,0)),ArchetypeDemand!$F$56:$F$100,$F207)*'SHWLP-Apt'!$R$20</f>
        <v>2.2898364139390927E-4</v>
      </c>
      <c r="AE207" s="1134">
        <f>SUMIFS(INDEX(ArchetypeDemand!$I$56:$AH$100,,MATCH(AE$129,ArchetypeDemand!$I$4:$AH$4,0)),ArchetypeDemand!$F$56:$F$100,$F207)*'SHWLP-Apt'!$R$20</f>
        <v>3.6743997698714825E-4</v>
      </c>
      <c r="AF207" s="1134">
        <f>SUMIFS(INDEX(ArchetypeDemand!$I$56:$AH$100,,MATCH(AF$129,ArchetypeDemand!$I$4:$AH$4,0)),ArchetypeDemand!$F$56:$F$100,$F207)*'SHWLP-Apt'!$R$20</f>
        <v>2.1092008815644427E-4</v>
      </c>
    </row>
    <row r="208" spans="3:32" ht="13.5" thickBot="1">
      <c r="C208" s="1138" t="s">
        <v>1188</v>
      </c>
      <c r="D208" s="1138" t="s">
        <v>1094</v>
      </c>
      <c r="E208" s="1145" t="s">
        <v>1154</v>
      </c>
      <c r="F208" s="1138" t="s">
        <v>1170</v>
      </c>
      <c r="G208" s="1138">
        <f>SUMIFS(INDEX(ArchetypeDemand!$I$56:$AH$100,,MATCH(G$129,ArchetypeDemand!$I$4:$AH$4,0)),ArchetypeDemand!$F$56:$F$100,$F208)*'SHWLP-Apt'!$R$20</f>
        <v>2.5556561212328795E-4</v>
      </c>
      <c r="H208" s="1138">
        <f>SUMIFS(INDEX(ArchetypeDemand!$I$56:$AH$100,,MATCH(H$129,ArchetypeDemand!$I$4:$AH$4,0)),ArchetypeDemand!$F$56:$F$100,$F208)*'SHWLP-Apt'!$R$20</f>
        <v>1.274056631146748E-2</v>
      </c>
      <c r="I208" s="1138">
        <f>SUMIFS(INDEX(ArchetypeDemand!$I$56:$AH$100,,MATCH(I$129,ArchetypeDemand!$I$4:$AH$4,0)),ArchetypeDemand!$F$56:$F$100,$F208)*'SHWLP-Apt'!$R$20</f>
        <v>8.2857091991398737E-4</v>
      </c>
      <c r="J208" s="1138">
        <f>SUMIFS(INDEX(ArchetypeDemand!$I$56:$AH$100,,MATCH(J$129,ArchetypeDemand!$I$4:$AH$4,0)),ArchetypeDemand!$F$56:$F$100,$F208)*'SHWLP-Apt'!$R$20</f>
        <v>3.6073707895340314E-4</v>
      </c>
      <c r="K208" s="1138">
        <f>SUMIFS(INDEX(ArchetypeDemand!$I$56:$AH$100,,MATCH(K$129,ArchetypeDemand!$I$4:$AH$4,0)),ArchetypeDemand!$F$56:$F$100,$F208)*'SHWLP-Apt'!$R$20</f>
        <v>2.6040554923229854E-4</v>
      </c>
      <c r="L208" s="1138">
        <f>SUMIFS(INDEX(ArchetypeDemand!$I$56:$AH$100,,MATCH(L$129,ArchetypeDemand!$I$4:$AH$4,0)),ArchetypeDemand!$F$56:$F$100,$F208)*'SHWLP-Apt'!$R$20</f>
        <v>1.3203339516067465E-4</v>
      </c>
      <c r="M208" s="1138">
        <f>SUMIFS(INDEX(ArchetypeDemand!$I$56:$AH$100,,MATCH(M$129,ArchetypeDemand!$I$4:$AH$4,0)),ArchetypeDemand!$F$56:$F$100,$F208)*'SHWLP-Apt'!$R$20</f>
        <v>4.2170754920528499E-4</v>
      </c>
      <c r="N208" s="1138">
        <f>SUMIFS(INDEX(ArchetypeDemand!$I$56:$AH$100,,MATCH(N$129,ArchetypeDemand!$I$4:$AH$4,0)),ArchetypeDemand!$F$56:$F$100,$F208)*'SHWLP-Apt'!$R$20</f>
        <v>4.3191530940987793E-4</v>
      </c>
      <c r="O208" s="1138">
        <f>SUMIFS(INDEX(ArchetypeDemand!$I$56:$AH$100,,MATCH(O$129,ArchetypeDemand!$I$4:$AH$4,0)),ArchetypeDemand!$F$56:$F$100,$F208)*'SHWLP-Apt'!$R$20</f>
        <v>3.0746574885325456E-4</v>
      </c>
      <c r="P208" s="1138">
        <f>SUMIFS(INDEX(ArchetypeDemand!$I$56:$AH$100,,MATCH(P$129,ArchetypeDemand!$I$4:$AH$4,0)),ArchetypeDemand!$F$56:$F$100,$F208)*'SHWLP-Apt'!$R$20</f>
        <v>3.8860966067787893E-4</v>
      </c>
      <c r="Q208" s="1138">
        <f>SUMIFS(INDEX(ArchetypeDemand!$I$56:$AH$100,,MATCH(Q$129,ArchetypeDemand!$I$4:$AH$4,0)),ArchetypeDemand!$F$56:$F$100,$F208)*'SHWLP-Apt'!$R$20</f>
        <v>6.2350960204547517E-4</v>
      </c>
      <c r="R208" s="1138">
        <f>SUMIFS(INDEX(ArchetypeDemand!$I$56:$AH$100,,MATCH(R$129,ArchetypeDemand!$I$4:$AH$4,0)),ArchetypeDemand!$F$56:$F$100,$F208)*'SHWLP-Apt'!$R$20</f>
        <v>8.4927421885439914E-4</v>
      </c>
      <c r="S208" s="1138">
        <f>SUMIFS(INDEX(ArchetypeDemand!$I$56:$AH$100,,MATCH(S$129,ArchetypeDemand!$I$4:$AH$4,0)),ArchetypeDemand!$F$56:$F$100,$F208)*'SHWLP-Apt'!$R$20</f>
        <v>6.0582725626927173E-4</v>
      </c>
      <c r="T208" s="1138">
        <f>SUMIFS(INDEX(ArchetypeDemand!$I$56:$AH$100,,MATCH(T$129,ArchetypeDemand!$I$4:$AH$4,0)),ArchetypeDemand!$F$56:$F$100,$F208)*'SHWLP-Apt'!$R$20</f>
        <v>3.4805354602200013E-3</v>
      </c>
      <c r="U208" s="1138">
        <f>SUMIFS(INDEX(ArchetypeDemand!$I$56:$AH$100,,MATCH(U$129,ArchetypeDemand!$I$4:$AH$4,0)),ArchetypeDemand!$F$56:$F$100,$F208)*'SHWLP-Apt'!$R$20</f>
        <v>6.1891205089840572E-4</v>
      </c>
      <c r="V208" s="1138">
        <f>SUMIFS(INDEX(ArchetypeDemand!$I$56:$AH$100,,MATCH(V$129,ArchetypeDemand!$I$4:$AH$4,0)),ArchetypeDemand!$F$56:$F$100,$F208)*'SHWLP-Apt'!$R$20</f>
        <v>1.038339113931987E-3</v>
      </c>
      <c r="W208" s="1138">
        <f>SUMIFS(INDEX(ArchetypeDemand!$I$56:$AH$100,,MATCH(W$129,ArchetypeDemand!$I$4:$AH$4,0)),ArchetypeDemand!$F$56:$F$100,$F208)*'SHWLP-Apt'!$R$20</f>
        <v>1.0101191292190383E-3</v>
      </c>
      <c r="X208" s="1138">
        <f>SUMIFS(INDEX(ArchetypeDemand!$I$56:$AH$100,,MATCH(X$129,ArchetypeDemand!$I$4:$AH$4,0)),ArchetypeDemand!$F$56:$F$100,$F208)*'SHWLP-Apt'!$R$20</f>
        <v>5.7364991609952834E-4</v>
      </c>
      <c r="Y208" s="1138">
        <f>SUMIFS(INDEX(ArchetypeDemand!$I$56:$AH$100,,MATCH(Y$129,ArchetypeDemand!$I$4:$AH$4,0)),ArchetypeDemand!$F$56:$F$100,$F208)*'SHWLP-Apt'!$R$20</f>
        <v>1.1234066999192803E-3</v>
      </c>
      <c r="Z208" s="1138">
        <f>SUMIFS(INDEX(ArchetypeDemand!$I$56:$AH$100,,MATCH(Z$129,ArchetypeDemand!$I$4:$AH$4,0)),ArchetypeDemand!$F$56:$F$100,$F208)*'SHWLP-Apt'!$R$20</f>
        <v>7.9600503257280748E-5</v>
      </c>
      <c r="AA208" s="1138">
        <f>SUMIFS(INDEX(ArchetypeDemand!$I$56:$AH$100,,MATCH(AA$129,ArchetypeDemand!$I$4:$AH$4,0)),ArchetypeDemand!$F$56:$F$100,$F208)*'SHWLP-Apt'!$R$20</f>
        <v>4.2953516313499747E-4</v>
      </c>
      <c r="AB208" s="1138">
        <f>SUMIFS(INDEX(ArchetypeDemand!$I$56:$AH$100,,MATCH(AB$129,ArchetypeDemand!$I$4:$AH$4,0)),ArchetypeDemand!$F$56:$F$100,$F208)*'SHWLP-Apt'!$R$20</f>
        <v>1.8295118671169132E-4</v>
      </c>
      <c r="AC208" s="1138">
        <f>SUMIFS(INDEX(ArchetypeDemand!$I$56:$AH$100,,MATCH(AC$129,ArchetypeDemand!$I$4:$AH$4,0)),ArchetypeDemand!$F$56:$F$100,$F208)*'SHWLP-Apt'!$R$20</f>
        <v>1.4262256078102138E-4</v>
      </c>
      <c r="AD208" s="1138">
        <f>SUMIFS(INDEX(ArchetypeDemand!$I$56:$AH$100,,MATCH(AD$129,ArchetypeDemand!$I$4:$AH$4,0)),ArchetypeDemand!$F$56:$F$100,$F208)*'SHWLP-Apt'!$R$20</f>
        <v>2.7478036967269108E-4</v>
      </c>
      <c r="AE208" s="1138">
        <f>SUMIFS(INDEX(ArchetypeDemand!$I$56:$AH$100,,MATCH(AE$129,ArchetypeDemand!$I$4:$AH$4,0)),ArchetypeDemand!$F$56:$F$100,$F208)*'SHWLP-Apt'!$R$20</f>
        <v>4.4538179028745235E-4</v>
      </c>
      <c r="AF208" s="1138">
        <f>SUMIFS(INDEX(ArchetypeDemand!$I$56:$AH$100,,MATCH(AF$129,ArchetypeDemand!$I$4:$AH$4,0)),ArchetypeDemand!$F$56:$F$100,$F208)*'SHWLP-Apt'!$R$20</f>
        <v>5.2730022039111082E-4</v>
      </c>
    </row>
    <row r="209" spans="3:32" ht="13.5" thickBot="1">
      <c r="C209" s="1141" t="s">
        <v>1189</v>
      </c>
      <c r="D209" s="1141" t="s">
        <v>1094</v>
      </c>
      <c r="E209" s="1145" t="s">
        <v>1154</v>
      </c>
      <c r="F209" s="1141" t="s">
        <v>934</v>
      </c>
      <c r="G209" s="1141">
        <f>SUM(ArchetypeDemand!I56:I100)*'SHWLP-Apt'!$R$46</f>
        <v>3.6979749911306534E-3</v>
      </c>
      <c r="H209" s="1141">
        <f>SUM(ArchetypeDemand!J56:J100)*'SHWLP-Apt'!$R$46</f>
        <v>0.35847824580899773</v>
      </c>
      <c r="I209" s="1141">
        <f>SUM(ArchetypeDemand!K56:K100)*'SHWLP-Apt'!$R$46</f>
        <v>2.1406705235966519E-2</v>
      </c>
      <c r="J209" s="1141">
        <f>SUM(ArchetypeDemand!L56:L100)*'SHWLP-Apt'!$R$46</f>
        <v>5.0913019250501705E-3</v>
      </c>
      <c r="K209" s="1141">
        <f>SUM(ArchetypeDemand!M56:M100)*'SHWLP-Apt'!$R$46</f>
        <v>4.1715730169597778E-3</v>
      </c>
      <c r="L209" s="1141">
        <f>SUM(ArchetypeDemand!N56:N100)*'SHWLP-Apt'!$R$46</f>
        <v>2.0100069576480728E-3</v>
      </c>
      <c r="M209" s="1141">
        <f>SUM(ArchetypeDemand!O56:O100)*'SHWLP-Apt'!$R$46</f>
        <v>8.8338971146525117E-3</v>
      </c>
      <c r="N209" s="1141">
        <f>SUM(ArchetypeDemand!P56:P100)*'SHWLP-Apt'!$R$46</f>
        <v>1.5731113924560669E-2</v>
      </c>
      <c r="O209" s="1141">
        <f>SUM(ArchetypeDemand!Q56:Q100)*'SHWLP-Apt'!$R$46</f>
        <v>3.4166023187909632E-3</v>
      </c>
      <c r="P209" s="1141">
        <f>SUM(ArchetypeDemand!R56:R100)*'SHWLP-Apt'!$R$46</f>
        <v>8.3982664249561013E-3</v>
      </c>
      <c r="Q209" s="1141">
        <f>SUM(ArchetypeDemand!S56:S100)*'SHWLP-Apt'!$R$46</f>
        <v>7.7587776402669503E-3</v>
      </c>
      <c r="R209" s="1141">
        <f>SUM(ArchetypeDemand!T56:T100)*'SHWLP-Apt'!$R$46</f>
        <v>1.3119937379359219E-2</v>
      </c>
      <c r="S209" s="1141">
        <f>SUM(ArchetypeDemand!U56:U100)*'SHWLP-Apt'!$R$46</f>
        <v>7.2420369862637697E-3</v>
      </c>
      <c r="T209" s="1141">
        <f>SUM(ArchetypeDemand!V56:V100)*'SHWLP-Apt'!$R$46</f>
        <v>5.2804768988998559E-2</v>
      </c>
      <c r="U209" s="1141">
        <f>SUM(ArchetypeDemand!W56:W100)*'SHWLP-Apt'!$R$46</f>
        <v>8.4480100072180861E-3</v>
      </c>
      <c r="V209" s="1141">
        <f>SUM(ArchetypeDemand!X56:X100)*'SHWLP-Apt'!$R$46</f>
        <v>2.168964252682579E-2</v>
      </c>
      <c r="W209" s="1141">
        <f>SUM(ArchetypeDemand!Y56:Y100)*'SHWLP-Apt'!$R$46</f>
        <v>6.9252024388613883E-3</v>
      </c>
      <c r="X209" s="1141">
        <f>SUM(ArchetypeDemand!Z56:Z100)*'SHWLP-Apt'!$R$46</f>
        <v>9.3000570838579644E-3</v>
      </c>
      <c r="Y209" s="1141">
        <f>SUM(ArchetypeDemand!AA56:AA100)*'SHWLP-Apt'!$R$46</f>
        <v>2.8725978238073185E-2</v>
      </c>
      <c r="Z209" s="1141">
        <f>SUM(ArchetypeDemand!AB56:AB100)*'SHWLP-Apt'!$R$46</f>
        <v>1.5785819413001894E-3</v>
      </c>
      <c r="AA209" s="1141">
        <f>SUM(ArchetypeDemand!AC56:AC100)*'SHWLP-Apt'!$R$46</f>
        <v>6.2248503898294861E-3</v>
      </c>
      <c r="AB209" s="1141">
        <f>SUM(ArchetypeDemand!AD56:AD100)*'SHWLP-Apt'!$R$46</f>
        <v>1.9664588363473893E-3</v>
      </c>
      <c r="AC209" s="1141">
        <f>SUM(ArchetypeDemand!AE56:AE100)*'SHWLP-Apt'!$R$46</f>
        <v>4.8724387848903721E-3</v>
      </c>
      <c r="AD209" s="1141">
        <f>SUM(ArchetypeDemand!AF56:AF100)*'SHWLP-Apt'!$R$46</f>
        <v>3.6949753360505607E-3</v>
      </c>
      <c r="AE209" s="1141">
        <f>SUM(ArchetypeDemand!AG56:AG100)*'SHWLP-Apt'!$R$46</f>
        <v>6.9564768426383754E-3</v>
      </c>
      <c r="AF209" s="1141">
        <f>SUM(ArchetypeDemand!AH56:AH100)*'SHWLP-Apt'!$R$46</f>
        <v>2.9870668067754269E-3</v>
      </c>
    </row>
    <row r="210" spans="3:32" ht="15">
      <c r="C210" s="1137" t="s">
        <v>1205</v>
      </c>
      <c r="D210" s="1137"/>
      <c r="E210" s="1137"/>
      <c r="F210" s="1137"/>
      <c r="G210" s="1137"/>
      <c r="H210" s="1137"/>
      <c r="I210" s="1137"/>
      <c r="J210" s="1137"/>
      <c r="K210" s="1137"/>
      <c r="L210" s="1137"/>
      <c r="M210" s="1137"/>
      <c r="N210" s="1137"/>
      <c r="O210" s="1137"/>
      <c r="P210" s="1137"/>
      <c r="Q210" s="1137"/>
      <c r="R210" s="1137"/>
      <c r="S210" s="1137"/>
      <c r="T210" s="1137"/>
      <c r="U210" s="1137"/>
      <c r="V210" s="1137"/>
      <c r="W210" s="1137"/>
      <c r="X210" s="1137"/>
      <c r="Y210" s="1137"/>
      <c r="Z210" s="1137"/>
      <c r="AA210" s="1137"/>
      <c r="AB210" s="1137"/>
      <c r="AC210" s="1137"/>
      <c r="AD210" s="1137"/>
      <c r="AE210" s="1137"/>
      <c r="AF210" s="1137"/>
    </row>
    <row r="211" spans="3:32">
      <c r="C211" s="1145" t="s">
        <v>1190</v>
      </c>
      <c r="D211" s="1134" t="s">
        <v>1094</v>
      </c>
      <c r="E211" s="1134" t="s">
        <v>837</v>
      </c>
      <c r="F211" s="1134" t="s">
        <v>1165</v>
      </c>
      <c r="G211" s="1134">
        <f>SUMIFS(INDEX(ArchetypeDemand!$I$56:$AH$100,,MATCH(G$129,ArchetypeDemand!$I$4:$AH$4,0)),ArchetypeDemand!$F$56:$F$100,$F211)*'SHWLP-Apt'!$R$23</f>
        <v>1.4656248913202163E-4</v>
      </c>
      <c r="H211" s="1134">
        <f>SUMIFS(INDEX(ArchetypeDemand!$I$56:$AH$100,,MATCH(H$129,ArchetypeDemand!$I$4:$AH$4,0)),ArchetypeDemand!$F$56:$F$100,$F211)*'SHWLP-Apt'!$R$23</f>
        <v>5.1537163021072654E-2</v>
      </c>
      <c r="I211" s="1134">
        <f>SUMIFS(INDEX(ArchetypeDemand!$I$56:$AH$100,,MATCH(I$129,ArchetypeDemand!$I$4:$AH$4,0)),ArchetypeDemand!$F$56:$F$100,$F211)*'SHWLP-Apt'!$R$23</f>
        <v>1.8007563333409422E-3</v>
      </c>
      <c r="J211" s="1134">
        <f>SUMIFS(INDEX(ArchetypeDemand!$I$56:$AH$100,,MATCH(J$129,ArchetypeDemand!$I$4:$AH$4,0)),ArchetypeDemand!$F$56:$F$100,$F211)*'SHWLP-Apt'!$R$23</f>
        <v>4.4357733889018763E-4</v>
      </c>
      <c r="K211" s="1134">
        <f>SUMIFS(INDEX(ArchetypeDemand!$I$56:$AH$100,,MATCH(K$129,ArchetypeDemand!$I$4:$AH$4,0)),ArchetypeDemand!$F$56:$F$100,$F211)*'SHWLP-Apt'!$R$23</f>
        <v>4.0703344444642493E-4</v>
      </c>
      <c r="L211" s="1134">
        <f>SUMIFS(INDEX(ArchetypeDemand!$I$56:$AH$100,,MATCH(L$129,ArchetypeDemand!$I$4:$AH$4,0)),ArchetypeDemand!$F$56:$F$100,$F211)*'SHWLP-Apt'!$R$23</f>
        <v>6.8889876999410468E-5</v>
      </c>
      <c r="M211" s="1134">
        <f>SUMIFS(INDEX(ArchetypeDemand!$I$56:$AH$100,,MATCH(M$129,ArchetypeDemand!$I$4:$AH$4,0)),ArchetypeDemand!$F$56:$F$100,$F211)*'SHWLP-Apt'!$R$23</f>
        <v>1.0772395410261434E-3</v>
      </c>
      <c r="N211" s="1134">
        <f>SUMIFS(INDEX(ArchetypeDemand!$I$56:$AH$100,,MATCH(N$129,ArchetypeDemand!$I$4:$AH$4,0)),ArchetypeDemand!$F$56:$F$100,$F211)*'SHWLP-Apt'!$R$23</f>
        <v>1.7445977677337462E-3</v>
      </c>
      <c r="O211" s="1134">
        <f>SUMIFS(INDEX(ArchetypeDemand!$I$56:$AH$100,,MATCH(O$129,ArchetypeDemand!$I$4:$AH$4,0)),ArchetypeDemand!$F$56:$F$100,$F211)*'SHWLP-Apt'!$R$23</f>
        <v>1.3617732081415911E-4</v>
      </c>
      <c r="P211" s="1134">
        <f>SUMIFS(INDEX(ArchetypeDemand!$I$56:$AH$100,,MATCH(P$129,ArchetypeDemand!$I$4:$AH$4,0)),ArchetypeDemand!$F$56:$F$100,$F211)*'SHWLP-Apt'!$R$23</f>
        <v>6.4344947761619013E-4</v>
      </c>
      <c r="Q211" s="1134">
        <f>SUMIFS(INDEX(ArchetypeDemand!$I$56:$AH$100,,MATCH(Q$129,ArchetypeDemand!$I$4:$AH$4,0)),ArchetypeDemand!$F$56:$F$100,$F211)*'SHWLP-Apt'!$R$23</f>
        <v>3.3244588486844903E-4</v>
      </c>
      <c r="R211" s="1134">
        <f>SUMIFS(INDEX(ArchetypeDemand!$I$56:$AH$100,,MATCH(R$129,ArchetypeDemand!$I$4:$AH$4,0)),ArchetypeDemand!$F$56:$F$100,$F211)*'SHWLP-Apt'!$R$23</f>
        <v>1.6245476505787589E-3</v>
      </c>
      <c r="S211" s="1134">
        <f>SUMIFS(INDEX(ArchetypeDemand!$I$56:$AH$100,,MATCH(S$129,ArchetypeDemand!$I$4:$AH$4,0)),ArchetypeDemand!$F$56:$F$100,$F211)*'SHWLP-Apt'!$R$23</f>
        <v>3.6825541165224843E-4</v>
      </c>
      <c r="T211" s="1134">
        <f>SUMIFS(INDEX(ArchetypeDemand!$I$56:$AH$100,,MATCH(T$129,ArchetypeDemand!$I$4:$AH$4,0)),ArchetypeDemand!$F$56:$F$100,$F211)*'SHWLP-Apt'!$R$23</f>
        <v>7.1832448321755803E-3</v>
      </c>
      <c r="U211" s="1134">
        <f>SUMIFS(INDEX(ArchetypeDemand!$I$56:$AH$100,,MATCH(U$129,ArchetypeDemand!$I$4:$AH$4,0)),ArchetypeDemand!$F$56:$F$100,$F211)*'SHWLP-Apt'!$R$23</f>
        <v>4.8344014997213586E-4</v>
      </c>
      <c r="V211" s="1134">
        <f>SUMIFS(INDEX(ArchetypeDemand!$I$56:$AH$100,,MATCH(V$129,ArchetypeDemand!$I$4:$AH$4,0)),ArchetypeDemand!$F$56:$F$100,$F211)*'SHWLP-Apt'!$R$23</f>
        <v>1.1668519276792587E-3</v>
      </c>
      <c r="W211" s="1134">
        <f>SUMIFS(INDEX(ArchetypeDemand!$I$56:$AH$100,,MATCH(W$129,ArchetypeDemand!$I$4:$AH$4,0)),ArchetypeDemand!$F$56:$F$100,$F211)*'SHWLP-Apt'!$R$23</f>
        <v>2.0027044487547509E-4</v>
      </c>
      <c r="X211" s="1134">
        <f>SUMIFS(INDEX(ArchetypeDemand!$I$56:$AH$100,,MATCH(X$129,ArchetypeDemand!$I$4:$AH$4,0)),ArchetypeDemand!$F$56:$F$100,$F211)*'SHWLP-Apt'!$R$23</f>
        <v>4.968134315715602E-4</v>
      </c>
      <c r="Y211" s="1134">
        <f>SUMIFS(INDEX(ArchetypeDemand!$I$56:$AH$100,,MATCH(Y$129,ArchetypeDemand!$I$4:$AH$4,0)),ArchetypeDemand!$F$56:$F$100,$F211)*'SHWLP-Apt'!$R$23</f>
        <v>1.5656756138510797E-3</v>
      </c>
      <c r="Z211" s="1134">
        <f>SUMIFS(INDEX(ArchetypeDemand!$I$56:$AH$100,,MATCH(Z$129,ArchetypeDemand!$I$4:$AH$4,0)),ArchetypeDemand!$F$56:$F$100,$F211)*'SHWLP-Apt'!$R$23</f>
        <v>3.1152632267927422E-5</v>
      </c>
      <c r="AA211" s="1134">
        <f>SUMIFS(INDEX(ArchetypeDemand!$I$56:$AH$100,,MATCH(AA$129,ArchetypeDemand!$I$4:$AH$4,0)),ArchetypeDemand!$F$56:$F$100,$F211)*'SHWLP-Apt'!$R$23</f>
        <v>2.580241308363534E-4</v>
      </c>
      <c r="AB211" s="1134">
        <f>SUMIFS(INDEX(ArchetypeDemand!$I$56:$AH$100,,MATCH(AB$129,ArchetypeDemand!$I$4:$AH$4,0)),ArchetypeDemand!$F$56:$F$100,$F211)*'SHWLP-Apt'!$R$23</f>
        <v>9.1653236751235178E-5</v>
      </c>
      <c r="AC211" s="1134">
        <f>SUMIFS(INDEX(ArchetypeDemand!$I$56:$AH$100,,MATCH(AC$129,ArchetypeDemand!$I$4:$AH$4,0)),ArchetypeDemand!$F$56:$F$100,$F211)*'SHWLP-Apt'!$R$23</f>
        <v>2.5856116732318838E-4</v>
      </c>
      <c r="AD211" s="1134">
        <f>SUMIFS(INDEX(ArchetypeDemand!$I$56:$AH$100,,MATCH(AD$129,ArchetypeDemand!$I$4:$AH$4,0)),ArchetypeDemand!$F$56:$F$100,$F211)*'SHWLP-Apt'!$R$23</f>
        <v>2.4016920084808682E-4</v>
      </c>
      <c r="AE211" s="1134">
        <f>SUMIFS(INDEX(ArchetypeDemand!$I$56:$AH$100,,MATCH(AE$129,ArchetypeDemand!$I$4:$AH$4,0)),ArchetypeDemand!$F$56:$F$100,$F211)*'SHWLP-Apt'!$R$23</f>
        <v>4.9758762262448178E-4</v>
      </c>
      <c r="AF211" s="1134">
        <f>SUMIFS(INDEX(ArchetypeDemand!$I$56:$AH$100,,MATCH(AF$129,ArchetypeDemand!$I$4:$AH$4,0)),ArchetypeDemand!$F$56:$F$100,$F211)*'SHWLP-Apt'!$R$23</f>
        <v>1.9729442126561648E-4</v>
      </c>
    </row>
    <row r="212" spans="3:32">
      <c r="C212" s="1136" t="s">
        <v>1190</v>
      </c>
      <c r="D212" s="1136" t="s">
        <v>1094</v>
      </c>
      <c r="E212" s="1136" t="s">
        <v>837</v>
      </c>
      <c r="F212" s="1136" t="s">
        <v>1166</v>
      </c>
      <c r="G212" s="1136">
        <f>SUMIFS(INDEX(ArchetypeDemand!$I$56:$AH$100,,MATCH(G$129,ArchetypeDemand!$I$4:$AH$4,0)),ArchetypeDemand!$F$56:$F$100,$F212)*'SHWLP-Apt'!$R$23</f>
        <v>6.8055890271171674E-4</v>
      </c>
      <c r="H212" s="1136">
        <f>SUMIFS(INDEX(ArchetypeDemand!$I$56:$AH$100,,MATCH(H$129,ArchetypeDemand!$I$4:$AH$4,0)),ArchetypeDemand!$F$56:$F$100,$F212)*'SHWLP-Apt'!$R$23</f>
        <v>5.6882383788944439E-2</v>
      </c>
      <c r="I212" s="1136">
        <f>SUMIFS(INDEX(ArchetypeDemand!$I$56:$AH$100,,MATCH(I$129,ArchetypeDemand!$I$4:$AH$4,0)),ArchetypeDemand!$F$56:$F$100,$F212)*'SHWLP-Apt'!$R$23</f>
        <v>4.0802466261380182E-3</v>
      </c>
      <c r="J212" s="1136">
        <f>SUMIFS(INDEX(ArchetypeDemand!$I$56:$AH$100,,MATCH(J$129,ArchetypeDemand!$I$4:$AH$4,0)),ArchetypeDemand!$F$56:$F$100,$F212)*'SHWLP-Apt'!$R$23</f>
        <v>1.002235927255124E-3</v>
      </c>
      <c r="K212" s="1136">
        <f>SUMIFS(INDEX(ArchetypeDemand!$I$56:$AH$100,,MATCH(K$129,ArchetypeDemand!$I$4:$AH$4,0)),ArchetypeDemand!$F$56:$F$100,$F212)*'SHWLP-Apt'!$R$23</f>
        <v>6.4664587393231535E-4</v>
      </c>
      <c r="L212" s="1136">
        <f>SUMIFS(INDEX(ArchetypeDemand!$I$56:$AH$100,,MATCH(L$129,ArchetypeDemand!$I$4:$AH$4,0)),ArchetypeDemand!$F$56:$F$100,$F212)*'SHWLP-Apt'!$R$23</f>
        <v>2.6361462115984021E-4</v>
      </c>
      <c r="M212" s="1136">
        <f>SUMIFS(INDEX(ArchetypeDemand!$I$56:$AH$100,,MATCH(M$129,ArchetypeDemand!$I$4:$AH$4,0)),ArchetypeDemand!$F$56:$F$100,$F212)*'SHWLP-Apt'!$R$23</f>
        <v>1.6696720405893555E-3</v>
      </c>
      <c r="N212" s="1136">
        <f>SUMIFS(INDEX(ArchetypeDemand!$I$56:$AH$100,,MATCH(N$129,ArchetypeDemand!$I$4:$AH$4,0)),ArchetypeDemand!$F$56:$F$100,$F212)*'SHWLP-Apt'!$R$23</f>
        <v>3.1833642655568705E-3</v>
      </c>
      <c r="O212" s="1136">
        <f>SUMIFS(INDEX(ArchetypeDemand!$I$56:$AH$100,,MATCH(O$129,ArchetypeDemand!$I$4:$AH$4,0)),ArchetypeDemand!$F$56:$F$100,$F212)*'SHWLP-Apt'!$R$23</f>
        <v>4.4631671945410788E-4</v>
      </c>
      <c r="P212" s="1136">
        <f>SUMIFS(INDEX(ArchetypeDemand!$I$56:$AH$100,,MATCH(P$129,ArchetypeDemand!$I$4:$AH$4,0)),ArchetypeDemand!$F$56:$F$100,$F212)*'SHWLP-Apt'!$R$23</f>
        <v>1.21485373704508E-3</v>
      </c>
      <c r="Q212" s="1136">
        <f>SUMIFS(INDEX(ArchetypeDemand!$I$56:$AH$100,,MATCH(Q$129,ArchetypeDemand!$I$4:$AH$4,0)),ArchetypeDemand!$F$56:$F$100,$F212)*'SHWLP-Apt'!$R$23</f>
        <v>1.0204394210036488E-3</v>
      </c>
      <c r="R212" s="1136">
        <f>SUMIFS(INDEX(ArchetypeDemand!$I$56:$AH$100,,MATCH(R$129,ArchetypeDemand!$I$4:$AH$4,0)),ArchetypeDemand!$F$56:$F$100,$F212)*'SHWLP-Apt'!$R$23</f>
        <v>2.1523940454819084E-3</v>
      </c>
      <c r="S212" s="1136">
        <f>SUMIFS(INDEX(ArchetypeDemand!$I$56:$AH$100,,MATCH(S$129,ArchetypeDemand!$I$4:$AH$4,0)),ArchetypeDemand!$F$56:$F$100,$F212)*'SHWLP-Apt'!$R$23</f>
        <v>1.0631500451223884E-3</v>
      </c>
      <c r="T212" s="1136">
        <f>SUMIFS(INDEX(ArchetypeDemand!$I$56:$AH$100,,MATCH(T$129,ArchetypeDemand!$I$4:$AH$4,0)),ArchetypeDemand!$F$56:$F$100,$F212)*'SHWLP-Apt'!$R$23</f>
        <v>8.0773577149008957E-3</v>
      </c>
      <c r="U212" s="1136">
        <f>SUMIFS(INDEX(ArchetypeDemand!$I$56:$AH$100,,MATCH(U$129,ArchetypeDemand!$I$4:$AH$4,0)),ArchetypeDemand!$F$56:$F$100,$F212)*'SHWLP-Apt'!$R$23</f>
        <v>1.3542233716432868E-3</v>
      </c>
      <c r="V212" s="1136">
        <f>SUMIFS(INDEX(ArchetypeDemand!$I$56:$AH$100,,MATCH(V$129,ArchetypeDemand!$I$4:$AH$4,0)),ArchetypeDemand!$F$56:$F$100,$F212)*'SHWLP-Apt'!$R$23</f>
        <v>4.5535181562801541E-3</v>
      </c>
      <c r="W212" s="1136">
        <f>SUMIFS(INDEX(ArchetypeDemand!$I$56:$AH$100,,MATCH(W$129,ArchetypeDemand!$I$4:$AH$4,0)),ArchetypeDemand!$F$56:$F$100,$F212)*'SHWLP-Apt'!$R$23</f>
        <v>6.546852319595913E-4</v>
      </c>
      <c r="X212" s="1136">
        <f>SUMIFS(INDEX(ArchetypeDemand!$I$56:$AH$100,,MATCH(X$129,ArchetypeDemand!$I$4:$AH$4,0)),ArchetypeDemand!$F$56:$F$100,$F212)*'SHWLP-Apt'!$R$23</f>
        <v>1.3559502658633687E-3</v>
      </c>
      <c r="Y212" s="1136">
        <f>SUMIFS(INDEX(ArchetypeDemand!$I$56:$AH$100,,MATCH(Y$129,ArchetypeDemand!$I$4:$AH$4,0)),ArchetypeDemand!$F$56:$F$100,$F212)*'SHWLP-Apt'!$R$23</f>
        <v>4.2299720171576939E-3</v>
      </c>
      <c r="Z212" s="1136">
        <f>SUMIFS(INDEX(ArchetypeDemand!$I$56:$AH$100,,MATCH(Z$129,ArchetypeDemand!$I$4:$AH$4,0)),ArchetypeDemand!$F$56:$F$100,$F212)*'SHWLP-Apt'!$R$23</f>
        <v>2.7612560419299306E-4</v>
      </c>
      <c r="AA212" s="1136">
        <f>SUMIFS(INDEX(ArchetypeDemand!$I$56:$AH$100,,MATCH(AA$129,ArchetypeDemand!$I$4:$AH$4,0)),ArchetypeDemand!$F$56:$F$100,$F212)*'SHWLP-Apt'!$R$23</f>
        <v>8.8254520747443335E-4</v>
      </c>
      <c r="AB212" s="1136">
        <f>SUMIFS(INDEX(ArchetypeDemand!$I$56:$AH$100,,MATCH(AB$129,ArchetypeDemand!$I$4:$AH$4,0)),ArchetypeDemand!$F$56:$F$100,$F212)*'SHWLP-Apt'!$R$23</f>
        <v>2.9468507357328368E-4</v>
      </c>
      <c r="AC212" s="1136">
        <f>SUMIFS(INDEX(ArchetypeDemand!$I$56:$AH$100,,MATCH(AC$129,ArchetypeDemand!$I$4:$AH$4,0)),ArchetypeDemand!$F$56:$F$100,$F212)*'SHWLP-Apt'!$R$23</f>
        <v>6.0282453601348161E-4</v>
      </c>
      <c r="AD212" s="1136">
        <f>SUMIFS(INDEX(ArchetypeDemand!$I$56:$AH$100,,MATCH(AD$129,ArchetypeDemand!$I$4:$AH$4,0)),ArchetypeDemand!$F$56:$F$100,$F212)*'SHWLP-Apt'!$R$23</f>
        <v>5.1031984408733005E-4</v>
      </c>
      <c r="AE212" s="1136">
        <f>SUMIFS(INDEX(ArchetypeDemand!$I$56:$AH$100,,MATCH(AE$129,ArchetypeDemand!$I$4:$AH$4,0)),ArchetypeDemand!$F$56:$F$100,$F212)*'SHWLP-Apt'!$R$23</f>
        <v>1.2454928900310185E-3</v>
      </c>
      <c r="AF212" s="1136">
        <f>SUMIFS(INDEX(ArchetypeDemand!$I$56:$AH$100,,MATCH(AF$129,ArchetypeDemand!$I$4:$AH$4,0)),ArchetypeDemand!$F$56:$F$100,$F212)*'SHWLP-Apt'!$R$23</f>
        <v>3.8521541722027418E-4</v>
      </c>
    </row>
    <row r="213" spans="3:32">
      <c r="C213" s="1134" t="s">
        <v>1190</v>
      </c>
      <c r="D213" s="1134" t="s">
        <v>1094</v>
      </c>
      <c r="E213" s="1134" t="s">
        <v>837</v>
      </c>
      <c r="F213" s="1134" t="s">
        <v>1167</v>
      </c>
      <c r="G213" s="1134">
        <f>SUMIFS(INDEX(ArchetypeDemand!$I$56:$AH$100,,MATCH(G$129,ArchetypeDemand!$I$4:$AH$4,0)),ArchetypeDemand!$F$56:$F$100,$F213)*'SHWLP-Apt'!$R$23</f>
        <v>4.8267900436890787E-4</v>
      </c>
      <c r="H213" s="1134">
        <f>SUMIFS(INDEX(ArchetypeDemand!$I$56:$AH$100,,MATCH(H$129,ArchetypeDemand!$I$4:$AH$4,0)),ArchetypeDemand!$F$56:$F$100,$F213)*'SHWLP-Apt'!$R$23</f>
        <v>3.4756990231818372E-2</v>
      </c>
      <c r="I213" s="1134">
        <f>SUMIFS(INDEX(ArchetypeDemand!$I$56:$AH$100,,MATCH(I$129,ArchetypeDemand!$I$4:$AH$4,0)),ArchetypeDemand!$F$56:$F$100,$F213)*'SHWLP-Apt'!$R$23</f>
        <v>2.2921100405739695E-3</v>
      </c>
      <c r="J213" s="1134">
        <f>SUMIFS(INDEX(ArchetypeDemand!$I$56:$AH$100,,MATCH(J$129,ArchetypeDemand!$I$4:$AH$4,0)),ArchetypeDemand!$F$56:$F$100,$F213)*'SHWLP-Apt'!$R$23</f>
        <v>4.9881925737238963E-4</v>
      </c>
      <c r="K213" s="1134">
        <f>SUMIFS(INDEX(ArchetypeDemand!$I$56:$AH$100,,MATCH(K$129,ArchetypeDemand!$I$4:$AH$4,0)),ArchetypeDemand!$F$56:$F$100,$F213)*'SHWLP-Apt'!$R$23</f>
        <v>5.4227496094674875E-4</v>
      </c>
      <c r="L213" s="1134">
        <f>SUMIFS(INDEX(ArchetypeDemand!$I$56:$AH$100,,MATCH(L$129,ArchetypeDemand!$I$4:$AH$4,0)),ArchetypeDemand!$F$56:$F$100,$F213)*'SHWLP-Apt'!$R$23</f>
        <v>3.6972365106065637E-4</v>
      </c>
      <c r="M213" s="1134">
        <f>SUMIFS(INDEX(ArchetypeDemand!$I$56:$AH$100,,MATCH(M$129,ArchetypeDemand!$I$4:$AH$4,0)),ArchetypeDemand!$F$56:$F$100,$F213)*'SHWLP-Apt'!$R$23</f>
        <v>7.1828116161562505E-4</v>
      </c>
      <c r="N213" s="1134">
        <f>SUMIFS(INDEX(ArchetypeDemand!$I$56:$AH$100,,MATCH(N$129,ArchetypeDemand!$I$4:$AH$4,0)),ArchetypeDemand!$F$56:$F$100,$F213)*'SHWLP-Apt'!$R$23</f>
        <v>1.5698450303470238E-3</v>
      </c>
      <c r="O213" s="1134">
        <f>SUMIFS(INDEX(ArchetypeDemand!$I$56:$AH$100,,MATCH(O$129,ArchetypeDemand!$I$4:$AH$4,0)),ArchetypeDemand!$F$56:$F$100,$F213)*'SHWLP-Apt'!$R$23</f>
        <v>5.0757587702624028E-4</v>
      </c>
      <c r="P213" s="1134">
        <f>SUMIFS(INDEX(ArchetypeDemand!$I$56:$AH$100,,MATCH(P$129,ArchetypeDemand!$I$4:$AH$4,0)),ArchetypeDemand!$F$56:$F$100,$F213)*'SHWLP-Apt'!$R$23</f>
        <v>1.2166972176779255E-3</v>
      </c>
      <c r="Q213" s="1134">
        <f>SUMIFS(INDEX(ArchetypeDemand!$I$56:$AH$100,,MATCH(Q$129,ArchetypeDemand!$I$4:$AH$4,0)),ArchetypeDemand!$F$56:$F$100,$F213)*'SHWLP-Apt'!$R$23</f>
        <v>1.1159989654454621E-3</v>
      </c>
      <c r="R213" s="1134">
        <f>SUMIFS(INDEX(ArchetypeDemand!$I$56:$AH$100,,MATCH(R$129,ArchetypeDemand!$I$4:$AH$4,0)),ArchetypeDemand!$F$56:$F$100,$F213)*'SHWLP-Apt'!$R$23</f>
        <v>1.324352369681222E-3</v>
      </c>
      <c r="S213" s="1134">
        <f>SUMIFS(INDEX(ArchetypeDemand!$I$56:$AH$100,,MATCH(S$129,ArchetypeDemand!$I$4:$AH$4,0)),ArchetypeDemand!$F$56:$F$100,$F213)*'SHWLP-Apt'!$R$23</f>
        <v>9.632567522920969E-4</v>
      </c>
      <c r="T213" s="1134">
        <f>SUMIFS(INDEX(ArchetypeDemand!$I$56:$AH$100,,MATCH(T$129,ArchetypeDemand!$I$4:$AH$4,0)),ArchetypeDemand!$F$56:$F$100,$F213)*'SHWLP-Apt'!$R$23</f>
        <v>4.7254678309829341E-3</v>
      </c>
      <c r="U213" s="1134">
        <f>SUMIFS(INDEX(ArchetypeDemand!$I$56:$AH$100,,MATCH(U$129,ArchetypeDemand!$I$4:$AH$4,0)),ArchetypeDemand!$F$56:$F$100,$F213)*'SHWLP-Apt'!$R$23</f>
        <v>1.1908125925233009E-3</v>
      </c>
      <c r="V213" s="1134">
        <f>SUMIFS(INDEX(ArchetypeDemand!$I$56:$AH$100,,MATCH(V$129,ArchetypeDemand!$I$4:$AH$4,0)),ArchetypeDemand!$F$56:$F$100,$F213)*'SHWLP-Apt'!$R$23</f>
        <v>2.7034877823219465E-3</v>
      </c>
      <c r="W213" s="1134">
        <f>SUMIFS(INDEX(ArchetypeDemand!$I$56:$AH$100,,MATCH(W$129,ArchetypeDemand!$I$4:$AH$4,0)),ArchetypeDemand!$F$56:$F$100,$F213)*'SHWLP-Apt'!$R$23</f>
        <v>1.1223175405021563E-3</v>
      </c>
      <c r="X213" s="1134">
        <f>SUMIFS(INDEX(ArchetypeDemand!$I$56:$AH$100,,MATCH(X$129,ArchetypeDemand!$I$4:$AH$4,0)),ArchetypeDemand!$F$56:$F$100,$F213)*'SHWLP-Apt'!$R$23</f>
        <v>1.394877067754183E-3</v>
      </c>
      <c r="Y213" s="1134">
        <f>SUMIFS(INDEX(ArchetypeDemand!$I$56:$AH$100,,MATCH(Y$129,ArchetypeDemand!$I$4:$AH$4,0)),ArchetypeDemand!$F$56:$F$100,$F213)*'SHWLP-Apt'!$R$23</f>
        <v>4.3782907081053911E-3</v>
      </c>
      <c r="Z213" s="1134">
        <f>SUMIFS(INDEX(ArchetypeDemand!$I$56:$AH$100,,MATCH(Z$129,ArchetypeDemand!$I$4:$AH$4,0)),ArchetypeDemand!$F$56:$F$100,$F213)*'SHWLP-Apt'!$R$23</f>
        <v>2.8320574789024927E-4</v>
      </c>
      <c r="AA213" s="1134">
        <f>SUMIFS(INDEX(ArchetypeDemand!$I$56:$AH$100,,MATCH(AA$129,ArchetypeDemand!$I$4:$AH$4,0)),ArchetypeDemand!$F$56:$F$100,$F213)*'SHWLP-Apt'!$R$23</f>
        <v>1.0468285144934837E-3</v>
      </c>
      <c r="AB213" s="1134">
        <f>SUMIFS(INDEX(ArchetypeDemand!$I$56:$AH$100,,MATCH(AB$129,ArchetypeDemand!$I$4:$AH$4,0)),ArchetypeDemand!$F$56:$F$100,$F213)*'SHWLP-Apt'!$R$23</f>
        <v>2.7515774942083712E-4</v>
      </c>
      <c r="AC213" s="1134">
        <f>SUMIFS(INDEX(ArchetypeDemand!$I$56:$AH$100,,MATCH(AC$129,ArchetypeDemand!$I$4:$AH$4,0)),ArchetypeDemand!$F$56:$F$100,$F213)*'SHWLP-Apt'!$R$23</f>
        <v>7.8793429252671217E-4</v>
      </c>
      <c r="AD213" s="1134">
        <f>SUMIFS(INDEX(ArchetypeDemand!$I$56:$AH$100,,MATCH(AD$129,ArchetypeDemand!$I$4:$AH$4,0)),ArchetypeDemand!$F$56:$F$100,$F213)*'SHWLP-Apt'!$R$23</f>
        <v>5.3182757697989953E-4</v>
      </c>
      <c r="AE213" s="1134">
        <f>SUMIFS(INDEX(ArchetypeDemand!$I$56:$AH$100,,MATCH(AE$129,ArchetypeDemand!$I$4:$AH$4,0)),ArchetypeDemand!$F$56:$F$100,$F213)*'SHWLP-Apt'!$R$23</f>
        <v>7.7169852092252671E-4</v>
      </c>
      <c r="AF213" s="1134">
        <f>SUMIFS(INDEX(ArchetypeDemand!$I$56:$AH$100,,MATCH(AF$129,ArchetypeDemand!$I$4:$AH$4,0)),ArchetypeDemand!$F$56:$F$100,$F213)*'SHWLP-Apt'!$R$23</f>
        <v>3.1267485163983291E-4</v>
      </c>
    </row>
    <row r="214" spans="3:32">
      <c r="C214" s="1136" t="s">
        <v>1190</v>
      </c>
      <c r="D214" s="1136" t="s">
        <v>1094</v>
      </c>
      <c r="E214" s="1136" t="s">
        <v>837</v>
      </c>
      <c r="F214" s="1136" t="s">
        <v>1168</v>
      </c>
      <c r="G214" s="1136">
        <f>SUMIFS(INDEX(ArchetypeDemand!$I$56:$AH$100,,MATCH(G$129,ArchetypeDemand!$I$4:$AH$4,0)),ArchetypeDemand!$F$56:$F$100,$F214)*'SHWLP-Apt'!$R$23</f>
        <v>2.4966155398391786E-4</v>
      </c>
      <c r="H214" s="1136">
        <f>SUMIFS(INDEX(ArchetypeDemand!$I$56:$AH$100,,MATCH(H$129,ArchetypeDemand!$I$4:$AH$4,0)),ArchetypeDemand!$F$56:$F$100,$F214)*'SHWLP-Apt'!$R$23</f>
        <v>1.6720384105307379E-2</v>
      </c>
      <c r="I214" s="1136">
        <f>SUMIFS(INDEX(ArchetypeDemand!$I$56:$AH$100,,MATCH(I$129,ArchetypeDemand!$I$4:$AH$4,0)),ArchetypeDemand!$F$56:$F$100,$F214)*'SHWLP-Apt'!$R$23</f>
        <v>1.2720483840394652E-3</v>
      </c>
      <c r="J214" s="1136">
        <f>SUMIFS(INDEX(ArchetypeDemand!$I$56:$AH$100,,MATCH(J$129,ArchetypeDemand!$I$4:$AH$4,0)),ArchetypeDemand!$F$56:$F$100,$F214)*'SHWLP-Apt'!$R$23</f>
        <v>2.3216933177240255E-4</v>
      </c>
      <c r="K214" s="1136">
        <f>SUMIFS(INDEX(ArchetypeDemand!$I$56:$AH$100,,MATCH(K$129,ArchetypeDemand!$I$4:$AH$4,0)),ArchetypeDemand!$F$56:$F$100,$F214)*'SHWLP-Apt'!$R$23</f>
        <v>2.1101075886212394E-4</v>
      </c>
      <c r="L214" s="1136">
        <f>SUMIFS(INDEX(ArchetypeDemand!$I$56:$AH$100,,MATCH(L$129,ArchetypeDemand!$I$4:$AH$4,0)),ArchetypeDemand!$F$56:$F$100,$F214)*'SHWLP-Apt'!$R$23</f>
        <v>1.5916354485122429E-4</v>
      </c>
      <c r="M214" s="1136">
        <f>SUMIFS(INDEX(ArchetypeDemand!$I$56:$AH$100,,MATCH(M$129,ArchetypeDemand!$I$4:$AH$4,0)),ArchetypeDemand!$F$56:$F$100,$F214)*'SHWLP-Apt'!$R$23</f>
        <v>4.1315380800054427E-4</v>
      </c>
      <c r="N214" s="1136">
        <f>SUMIFS(INDEX(ArchetypeDemand!$I$56:$AH$100,,MATCH(N$129,ArchetypeDemand!$I$4:$AH$4,0)),ArchetypeDemand!$F$56:$F$100,$F214)*'SHWLP-Apt'!$R$23</f>
        <v>6.5511307294234392E-4</v>
      </c>
      <c r="O214" s="1136">
        <f>SUMIFS(INDEX(ArchetypeDemand!$I$56:$AH$100,,MATCH(O$129,ArchetypeDemand!$I$4:$AH$4,0)),ArchetypeDemand!$F$56:$F$100,$F214)*'SHWLP-Apt'!$R$23</f>
        <v>2.8004186318689118E-4</v>
      </c>
      <c r="P214" s="1136">
        <f>SUMIFS(INDEX(ArchetypeDemand!$I$56:$AH$100,,MATCH(P$129,ArchetypeDemand!$I$4:$AH$4,0)),ArchetypeDemand!$F$56:$F$100,$F214)*'SHWLP-Apt'!$R$23</f>
        <v>5.5488767048644783E-4</v>
      </c>
      <c r="Q214" s="1136">
        <f>SUMIFS(INDEX(ArchetypeDemand!$I$56:$AH$100,,MATCH(Q$129,ArchetypeDemand!$I$4:$AH$4,0)),ArchetypeDemand!$F$56:$F$100,$F214)*'SHWLP-Apt'!$R$23</f>
        <v>7.4229288986051359E-4</v>
      </c>
      <c r="R214" s="1136">
        <f>SUMIFS(INDEX(ArchetypeDemand!$I$56:$AH$100,,MATCH(R$129,ArchetypeDemand!$I$4:$AH$4,0)),ArchetypeDemand!$F$56:$F$100,$F214)*'SHWLP-Apt'!$R$23</f>
        <v>5.8631522385887123E-4</v>
      </c>
      <c r="S214" s="1136">
        <f>SUMIFS(INDEX(ArchetypeDemand!$I$56:$AH$100,,MATCH(S$129,ArchetypeDemand!$I$4:$AH$4,0)),ArchetypeDemand!$F$56:$F$100,$F214)*'SHWLP-Apt'!$R$23</f>
        <v>6.3325212419202662E-4</v>
      </c>
      <c r="T214" s="1136">
        <f>SUMIFS(INDEX(ArchetypeDemand!$I$56:$AH$100,,MATCH(T$129,ArchetypeDemand!$I$4:$AH$4,0)),ArchetypeDemand!$F$56:$F$100,$F214)*'SHWLP-Apt'!$R$23</f>
        <v>2.6976980957086208E-3</v>
      </c>
      <c r="U214" s="1136">
        <f>SUMIFS(INDEX(ArchetypeDemand!$I$56:$AH$100,,MATCH(U$129,ArchetypeDemand!$I$4:$AH$4,0)),ArchetypeDemand!$F$56:$F$100,$F214)*'SHWLP-Apt'!$R$23</f>
        <v>5.667224892884615E-4</v>
      </c>
      <c r="V214" s="1136">
        <f>SUMIFS(INDEX(ArchetypeDemand!$I$56:$AH$100,,MATCH(V$129,ArchetypeDemand!$I$4:$AH$4,0)),ArchetypeDemand!$F$56:$F$100,$F214)*'SHWLP-Apt'!$R$23</f>
        <v>1.1100182243749244E-3</v>
      </c>
      <c r="W214" s="1136">
        <f>SUMIFS(INDEX(ArchetypeDemand!$I$56:$AH$100,,MATCH(W$129,ArchetypeDemand!$I$4:$AH$4,0)),ArchetypeDemand!$F$56:$F$100,$F214)*'SHWLP-Apt'!$R$23</f>
        <v>6.3390157380214401E-4</v>
      </c>
      <c r="X214" s="1136">
        <f>SUMIFS(INDEX(ArchetypeDemand!$I$56:$AH$100,,MATCH(X$129,ArchetypeDemand!$I$4:$AH$4,0)),ArchetypeDemand!$F$56:$F$100,$F214)*'SHWLP-Apt'!$R$23</f>
        <v>7.4285313608304178E-4</v>
      </c>
      <c r="Y214" s="1136">
        <f>SUMIFS(INDEX(ArchetypeDemand!$I$56:$AH$100,,MATCH(Y$129,ArchetypeDemand!$I$4:$AH$4,0)),ArchetypeDemand!$F$56:$F$100,$F214)*'SHWLP-Apt'!$R$23</f>
        <v>2.4000660898809132E-3</v>
      </c>
      <c r="Z214" s="1136">
        <f>SUMIFS(INDEX(ArchetypeDemand!$I$56:$AH$100,,MATCH(Z$129,ArchetypeDemand!$I$4:$AH$4,0)),ArchetypeDemand!$F$56:$F$100,$F214)*'SHWLP-Apt'!$R$23</f>
        <v>9.345789680378226E-5</v>
      </c>
      <c r="AA214" s="1136">
        <f>SUMIFS(INDEX(ArchetypeDemand!$I$56:$AH$100,,MATCH(AA$129,ArchetypeDemand!$I$4:$AH$4,0)),ArchetypeDemand!$F$56:$F$100,$F214)*'SHWLP-Apt'!$R$23</f>
        <v>4.3363151968981903E-4</v>
      </c>
      <c r="AB214" s="1136">
        <f>SUMIFS(INDEX(ArchetypeDemand!$I$56:$AH$100,,MATCH(AB$129,ArchetypeDemand!$I$4:$AH$4,0)),ArchetypeDemand!$F$56:$F$100,$F214)*'SHWLP-Apt'!$R$23</f>
        <v>1.5266817064639996E-4</v>
      </c>
      <c r="AC214" s="1136">
        <f>SUMIFS(INDEX(ArchetypeDemand!$I$56:$AH$100,,MATCH(AC$129,ArchetypeDemand!$I$4:$AH$4,0)),ArchetypeDemand!$F$56:$F$100,$F214)*'SHWLP-Apt'!$R$23</f>
        <v>5.2488358590264755E-4</v>
      </c>
      <c r="AD214" s="1136">
        <f>SUMIFS(INDEX(ArchetypeDemand!$I$56:$AH$100,,MATCH(AD$129,ArchetypeDemand!$I$4:$AH$4,0)),ArchetypeDemand!$F$56:$F$100,$F214)*'SHWLP-Apt'!$R$23</f>
        <v>2.6591378848994976E-4</v>
      </c>
      <c r="AE214" s="1136">
        <f>SUMIFS(INDEX(ArchetypeDemand!$I$56:$AH$100,,MATCH(AE$129,ArchetypeDemand!$I$4:$AH$4,0)),ArchetypeDemand!$F$56:$F$100,$F214)*'SHWLP-Apt'!$R$23</f>
        <v>4.5794840358646862E-4</v>
      </c>
      <c r="AF214" s="1136">
        <f>SUMIFS(INDEX(ArchetypeDemand!$I$56:$AH$100,,MATCH(AF$129,ArchetypeDemand!$I$4:$AH$4,0)),ArchetypeDemand!$F$56:$F$100,$F214)*'SHWLP-Apt'!$R$23</f>
        <v>2.1512029792820504E-4</v>
      </c>
    </row>
    <row r="215" spans="3:32">
      <c r="C215" s="1134" t="s">
        <v>1190</v>
      </c>
      <c r="D215" s="1134" t="s">
        <v>1094</v>
      </c>
      <c r="E215" s="1134" t="s">
        <v>837</v>
      </c>
      <c r="F215" s="1134" t="s">
        <v>1169</v>
      </c>
      <c r="G215" s="1134">
        <f>SUMIFS(INDEX(ArchetypeDemand!$I$56:$AH$100,,MATCH(G$129,ArchetypeDemand!$I$4:$AH$4,0)),ArchetypeDemand!$F$56:$F$100,$F215)*'SHWLP-Apt'!$R$23</f>
        <v>9.6165931904916487E-5</v>
      </c>
      <c r="H215" s="1134">
        <f>SUMIFS(INDEX(ArchetypeDemand!$I$56:$AH$100,,MATCH(H$129,ArchetypeDemand!$I$4:$AH$4,0)),ArchetypeDemand!$F$56:$F$100,$F215)*'SHWLP-Apt'!$R$23</f>
        <v>5.7357877608122708E-3</v>
      </c>
      <c r="I215" s="1134">
        <f>SUMIFS(INDEX(ArchetypeDemand!$I$56:$AH$100,,MATCH(I$129,ArchetypeDemand!$I$4:$AH$4,0)),ArchetypeDemand!$F$56:$F$100,$F215)*'SHWLP-Apt'!$R$23</f>
        <v>4.1674728010435814E-4</v>
      </c>
      <c r="J215" s="1134">
        <f>SUMIFS(INDEX(ArchetypeDemand!$I$56:$AH$100,,MATCH(J$129,ArchetypeDemand!$I$4:$AH$4,0)),ArchetypeDemand!$F$56:$F$100,$F215)*'SHWLP-Apt'!$R$23</f>
        <v>9.8844368972409E-5</v>
      </c>
      <c r="K215" s="1134">
        <f>SUMIFS(INDEX(ArchetypeDemand!$I$56:$AH$100,,MATCH(K$129,ArchetypeDemand!$I$4:$AH$4,0)),ArchetypeDemand!$F$56:$F$100,$F215)*'SHWLP-Apt'!$R$23</f>
        <v>7.2605852511698564E-5</v>
      </c>
      <c r="L215" s="1134">
        <f>SUMIFS(INDEX(ArchetypeDemand!$I$56:$AH$100,,MATCH(L$129,ArchetypeDemand!$I$4:$AH$4,0)),ArchetypeDemand!$F$56:$F$100,$F215)*'SHWLP-Apt'!$R$23</f>
        <v>4.1448839805006319E-5</v>
      </c>
      <c r="M215" s="1134">
        <f>SUMIFS(INDEX(ArchetypeDemand!$I$56:$AH$100,,MATCH(M$129,ArchetypeDemand!$I$4:$AH$4,0)),ArchetypeDemand!$F$56:$F$100,$F215)*'SHWLP-Apt'!$R$23</f>
        <v>1.5730167919286776E-4</v>
      </c>
      <c r="N215" s="1134">
        <f>SUMIFS(INDEX(ArchetypeDemand!$I$56:$AH$100,,MATCH(N$129,ArchetypeDemand!$I$4:$AH$4,0)),ArchetypeDemand!$F$56:$F$100,$F215)*'SHWLP-Apt'!$R$23</f>
        <v>1.6984413002208912E-4</v>
      </c>
      <c r="O215" s="1134">
        <f>SUMIFS(INDEX(ArchetypeDemand!$I$56:$AH$100,,MATCH(O$129,ArchetypeDemand!$I$4:$AH$4,0)),ArchetypeDemand!$F$56:$F$100,$F215)*'SHWLP-Apt'!$R$23</f>
        <v>1.2908179631270769E-4</v>
      </c>
      <c r="P215" s="1134">
        <f>SUMIFS(INDEX(ArchetypeDemand!$I$56:$AH$100,,MATCH(P$129,ArchetypeDemand!$I$4:$AH$4,0)),ArchetypeDemand!$F$56:$F$100,$F215)*'SHWLP-Apt'!$R$23</f>
        <v>2.1200027277721431E-4</v>
      </c>
      <c r="Q215" s="1134">
        <f>SUMIFS(INDEX(ArchetypeDemand!$I$56:$AH$100,,MATCH(Q$129,ArchetypeDemand!$I$4:$AH$4,0)),ArchetypeDemand!$F$56:$F$100,$F215)*'SHWLP-Apt'!$R$23</f>
        <v>2.2524749761284555E-4</v>
      </c>
      <c r="R215" s="1134">
        <f>SUMIFS(INDEX(ArchetypeDemand!$I$56:$AH$100,,MATCH(R$129,ArchetypeDemand!$I$4:$AH$4,0)),ArchetypeDemand!$F$56:$F$100,$F215)*'SHWLP-Apt'!$R$23</f>
        <v>2.1086775594924314E-4</v>
      </c>
      <c r="S215" s="1134">
        <f>SUMIFS(INDEX(ArchetypeDemand!$I$56:$AH$100,,MATCH(S$129,ArchetypeDemand!$I$4:$AH$4,0)),ArchetypeDemand!$F$56:$F$100,$F215)*'SHWLP-Apt'!$R$23</f>
        <v>1.6946183605138739E-4</v>
      </c>
      <c r="T215" s="1134">
        <f>SUMIFS(INDEX(ArchetypeDemand!$I$56:$AH$100,,MATCH(T$129,ArchetypeDemand!$I$4:$AH$4,0)),ArchetypeDemand!$F$56:$F$100,$F215)*'SHWLP-Apt'!$R$23</f>
        <v>1.0296214398621236E-3</v>
      </c>
      <c r="U215" s="1134">
        <f>SUMIFS(INDEX(ArchetypeDemand!$I$56:$AH$100,,MATCH(U$129,ArchetypeDemand!$I$4:$AH$4,0)),ArchetypeDemand!$F$56:$F$100,$F215)*'SHWLP-Apt'!$R$23</f>
        <v>1.7210284183913401E-4</v>
      </c>
      <c r="V215" s="1134">
        <f>SUMIFS(INDEX(ArchetypeDemand!$I$56:$AH$100,,MATCH(V$129,ArchetypeDemand!$I$4:$AH$4,0)),ArchetypeDemand!$F$56:$F$100,$F215)*'SHWLP-Apt'!$R$23</f>
        <v>3.7349669813873244E-4</v>
      </c>
      <c r="W215" s="1134">
        <f>SUMIFS(INDEX(ArchetypeDemand!$I$56:$AH$100,,MATCH(W$129,ArchetypeDemand!$I$4:$AH$4,0)),ArchetypeDemand!$F$56:$F$100,$F215)*'SHWLP-Apt'!$R$23</f>
        <v>2.623936842377727E-4</v>
      </c>
      <c r="X215" s="1134">
        <f>SUMIFS(INDEX(ArchetypeDemand!$I$56:$AH$100,,MATCH(X$129,ArchetypeDemand!$I$4:$AH$4,0)),ArchetypeDemand!$F$56:$F$100,$F215)*'SHWLP-Apt'!$R$23</f>
        <v>2.0274375984799173E-4</v>
      </c>
      <c r="Y215" s="1134">
        <f>SUMIFS(INDEX(ArchetypeDemand!$I$56:$AH$100,,MATCH(Y$129,ArchetypeDemand!$I$4:$AH$4,0)),ArchetypeDemand!$F$56:$F$100,$F215)*'SHWLP-Apt'!$R$23</f>
        <v>6.5491370028853172E-4</v>
      </c>
      <c r="Z215" s="1134">
        <f>SUMIFS(INDEX(ArchetypeDemand!$I$56:$AH$100,,MATCH(Z$129,ArchetypeDemand!$I$4:$AH$4,0)),ArchetypeDemand!$F$56:$F$100,$F215)*'SHWLP-Apt'!$R$23</f>
        <v>3.5400718486281158E-5</v>
      </c>
      <c r="AA215" s="1134">
        <f>SUMIFS(INDEX(ArchetypeDemand!$I$56:$AH$100,,MATCH(AA$129,ArchetypeDemand!$I$4:$AH$4,0)),ArchetypeDemand!$F$56:$F$100,$F215)*'SHWLP-Apt'!$R$23</f>
        <v>1.6619357803089981E-4</v>
      </c>
      <c r="AB215" s="1134">
        <f>SUMIFS(INDEX(ArchetypeDemand!$I$56:$AH$100,,MATCH(AB$129,ArchetypeDemand!$I$4:$AH$4,0)),ArchetypeDemand!$F$56:$F$100,$F215)*'SHWLP-Apt'!$R$23</f>
        <v>4.6155493451237195E-5</v>
      </c>
      <c r="AC215" s="1134">
        <f>SUMIFS(INDEX(ArchetypeDemand!$I$56:$AH$100,,MATCH(AC$129,ArchetypeDemand!$I$4:$AH$4,0)),ArchetypeDemand!$F$56:$F$100,$F215)*'SHWLP-Apt'!$R$23</f>
        <v>9.0119223565651786E-5</v>
      </c>
      <c r="AD215" s="1134">
        <f>SUMIFS(INDEX(ArchetypeDemand!$I$56:$AH$100,,MATCH(AD$129,ArchetypeDemand!$I$4:$AH$4,0)),ArchetypeDemand!$F$56:$F$100,$F215)*'SHWLP-Apt'!$R$23</f>
        <v>9.7762422238952139E-5</v>
      </c>
      <c r="AE215" s="1134">
        <f>SUMIFS(INDEX(ArchetypeDemand!$I$56:$AH$100,,MATCH(AE$129,ArchetypeDemand!$I$4:$AH$4,0)),ArchetypeDemand!$F$56:$F$100,$F215)*'SHWLP-Apt'!$R$23</f>
        <v>1.5687505866802904E-4</v>
      </c>
      <c r="AF215" s="1134">
        <f>SUMIFS(INDEX(ArchetypeDemand!$I$56:$AH$100,,MATCH(AF$129,ArchetypeDemand!$I$4:$AH$4,0)),ArchetypeDemand!$F$56:$F$100,$F215)*'SHWLP-Apt'!$R$23</f>
        <v>9.0050357272271873E-5</v>
      </c>
    </row>
    <row r="216" spans="3:32" ht="13.5" thickBot="1">
      <c r="C216" s="1138" t="s">
        <v>1190</v>
      </c>
      <c r="D216" s="1138" t="s">
        <v>1094</v>
      </c>
      <c r="E216" s="1138" t="s">
        <v>837</v>
      </c>
      <c r="F216" s="1138" t="s">
        <v>1170</v>
      </c>
      <c r="G216" s="1138">
        <f>SUMIFS(INDEX(ArchetypeDemand!$I$56:$AH$100,,MATCH(G$129,ArchetypeDemand!$I$4:$AH$4,0)),ArchetypeDemand!$F$56:$F$100,$F216)*'SHWLP-Apt'!$R$23</f>
        <v>1.0911134581519373E-4</v>
      </c>
      <c r="H216" s="1138">
        <f>SUMIFS(INDEX(ArchetypeDemand!$I$56:$AH$100,,MATCH(H$129,ArchetypeDemand!$I$4:$AH$4,0)),ArchetypeDemand!$F$56:$F$100,$F216)*'SHWLP-Apt'!$R$23</f>
        <v>5.4394655256721899E-3</v>
      </c>
      <c r="I216" s="1138">
        <f>SUMIFS(INDEX(ArchetypeDemand!$I$56:$AH$100,,MATCH(I$129,ArchetypeDemand!$I$4:$AH$4,0)),ArchetypeDemand!$F$56:$F$100,$F216)*'SHWLP-Apt'!$R$23</f>
        <v>3.5375059822811793E-4</v>
      </c>
      <c r="J216" s="1138">
        <f>SUMIFS(INDEX(ArchetypeDemand!$I$56:$AH$100,,MATCH(J$129,ArchetypeDemand!$I$4:$AH$4,0)),ArchetypeDemand!$F$56:$F$100,$F216)*'SHWLP-Apt'!$R$23</f>
        <v>1.5401331909654429E-4</v>
      </c>
      <c r="K216" s="1138">
        <f>SUMIFS(INDEX(ArchetypeDemand!$I$56:$AH$100,,MATCH(K$129,ArchetypeDemand!$I$4:$AH$4,0)),ArchetypeDemand!$F$56:$F$100,$F216)*'SHWLP-Apt'!$R$23</f>
        <v>1.1117771165853841E-4</v>
      </c>
      <c r="L216" s="1138">
        <f>SUMIFS(INDEX(ArchetypeDemand!$I$56:$AH$100,,MATCH(L$129,ArchetypeDemand!$I$4:$AH$4,0)),ArchetypeDemand!$F$56:$F$100,$F216)*'SHWLP-Apt'!$R$23</f>
        <v>5.6370422134808592E-5</v>
      </c>
      <c r="M216" s="1138">
        <f>SUMIFS(INDEX(ArchetypeDemand!$I$56:$AH$100,,MATCH(M$129,ArchetypeDemand!$I$4:$AH$4,0)),ArchetypeDemand!$F$56:$F$100,$F216)*'SHWLP-Apt'!$R$23</f>
        <v>1.8004409064243903E-4</v>
      </c>
      <c r="N216" s="1138">
        <f>SUMIFS(INDEX(ArchetypeDemand!$I$56:$AH$100,,MATCH(N$129,ArchetypeDemand!$I$4:$AH$4,0)),ArchetypeDemand!$F$56:$F$100,$F216)*'SHWLP-Apt'!$R$23</f>
        <v>1.8440219830969675E-4</v>
      </c>
      <c r="O216" s="1138">
        <f>SUMIFS(INDEX(ArchetypeDemand!$I$56:$AH$100,,MATCH(O$129,ArchetypeDemand!$I$4:$AH$4,0)),ArchetypeDemand!$F$56:$F$100,$F216)*'SHWLP-Apt'!$R$23</f>
        <v>1.3126962336885525E-4</v>
      </c>
      <c r="P216" s="1138">
        <f>SUMIFS(INDEX(ArchetypeDemand!$I$56:$AH$100,,MATCH(P$129,ArchetypeDemand!$I$4:$AH$4,0)),ArchetypeDemand!$F$56:$F$100,$F216)*'SHWLP-Apt'!$R$23</f>
        <v>1.6591325695608074E-4</v>
      </c>
      <c r="Q216" s="1138">
        <f>SUMIFS(INDEX(ArchetypeDemand!$I$56:$AH$100,,MATCH(Q$129,ArchetypeDemand!$I$4:$AH$4,0)),ArchetypeDemand!$F$56:$F$100,$F216)*'SHWLP-Apt'!$R$23</f>
        <v>2.6620158808790838E-4</v>
      </c>
      <c r="R216" s="1138">
        <f>SUMIFS(INDEX(ArchetypeDemand!$I$56:$AH$100,,MATCH(R$129,ArchetypeDemand!$I$4:$AH$4,0)),ArchetypeDemand!$F$56:$F$100,$F216)*'SHWLP-Apt'!$R$23</f>
        <v>3.6258967791272294E-4</v>
      </c>
      <c r="S216" s="1138">
        <f>SUMIFS(INDEX(ArchetypeDemand!$I$56:$AH$100,,MATCH(S$129,ArchetypeDemand!$I$4:$AH$4,0)),ArchetypeDemand!$F$56:$F$100,$F216)*'SHWLP-Apt'!$R$23</f>
        <v>2.5865227607843339E-4</v>
      </c>
      <c r="T216" s="1138">
        <f>SUMIFS(INDEX(ArchetypeDemand!$I$56:$AH$100,,MATCH(T$129,ArchetypeDemand!$I$4:$AH$4,0)),ArchetypeDemand!$F$56:$F$100,$F216)*'SHWLP-Apt'!$R$23</f>
        <v>1.485982034386165E-3</v>
      </c>
      <c r="U216" s="1138">
        <f>SUMIFS(INDEX(ArchetypeDemand!$I$56:$AH$100,,MATCH(U$129,ArchetypeDemand!$I$4:$AH$4,0)),ArchetypeDemand!$F$56:$F$100,$F216)*'SHWLP-Apt'!$R$23</f>
        <v>2.6423870666210473E-4</v>
      </c>
      <c r="V216" s="1138">
        <f>SUMIFS(INDEX(ArchetypeDemand!$I$56:$AH$100,,MATCH(V$129,ArchetypeDemand!$I$4:$AH$4,0)),ArchetypeDemand!$F$56:$F$100,$F216)*'SHWLP-Apt'!$R$23</f>
        <v>4.4330916508055157E-4</v>
      </c>
      <c r="W216" s="1138">
        <f>SUMIFS(INDEX(ArchetypeDemand!$I$56:$AH$100,,MATCH(W$129,ArchetypeDemand!$I$4:$AH$4,0)),ArchetypeDemand!$F$56:$F$100,$F216)*'SHWLP-Apt'!$R$23</f>
        <v>4.3126090676703238E-4</v>
      </c>
      <c r="X216" s="1138">
        <f>SUMIFS(INDEX(ArchetypeDemand!$I$56:$AH$100,,MATCH(X$129,ArchetypeDemand!$I$4:$AH$4,0)),ArchetypeDemand!$F$56:$F$100,$F216)*'SHWLP-Apt'!$R$23</f>
        <v>2.4491446189637401E-4</v>
      </c>
      <c r="Y216" s="1138">
        <f>SUMIFS(INDEX(ArchetypeDemand!$I$56:$AH$100,,MATCH(Y$129,ArchetypeDemand!$I$4:$AH$4,0)),ArchetypeDemand!$F$56:$F$100,$F216)*'SHWLP-Apt'!$R$23</f>
        <v>4.7962797462307175E-4</v>
      </c>
      <c r="Z216" s="1138">
        <f>SUMIFS(INDEX(ArchetypeDemand!$I$56:$AH$100,,MATCH(Z$129,ArchetypeDemand!$I$4:$AH$4,0)),ArchetypeDemand!$F$56:$F$100,$F216)*'SHWLP-Apt'!$R$23</f>
        <v>3.3984689746829915E-5</v>
      </c>
      <c r="AA216" s="1138">
        <f>SUMIFS(INDEX(ArchetypeDemand!$I$56:$AH$100,,MATCH(AA$129,ArchetypeDemand!$I$4:$AH$4,0)),ArchetypeDemand!$F$56:$F$100,$F216)*'SHWLP-Apt'!$R$23</f>
        <v>1.8338601713754459E-4</v>
      </c>
      <c r="AB216" s="1138">
        <f>SUMIFS(INDEX(ArchetypeDemand!$I$56:$AH$100,,MATCH(AB$129,ArchetypeDemand!$I$4:$AH$4,0)),ArchetypeDemand!$F$56:$F$100,$F216)*'SHWLP-Apt'!$R$23</f>
        <v>7.8109296609786015E-5</v>
      </c>
      <c r="AC216" s="1138">
        <f>SUMIFS(INDEX(ArchetypeDemand!$I$56:$AH$100,,MATCH(AC$129,ArchetypeDemand!$I$4:$AH$4,0)),ArchetypeDemand!$F$56:$F$100,$F216)*'SHWLP-Apt'!$R$23</f>
        <v>6.0891367274089041E-5</v>
      </c>
      <c r="AD216" s="1138">
        <f>SUMIFS(INDEX(ArchetypeDemand!$I$56:$AH$100,,MATCH(AD$129,ArchetypeDemand!$I$4:$AH$4,0)),ArchetypeDemand!$F$56:$F$100,$F216)*'SHWLP-Apt'!$R$23</f>
        <v>1.1731490668674254E-4</v>
      </c>
      <c r="AE216" s="1138">
        <f>SUMIFS(INDEX(ArchetypeDemand!$I$56:$AH$100,,MATCH(AE$129,ArchetypeDemand!$I$4:$AH$4,0)),ArchetypeDemand!$F$56:$F$100,$F216)*'SHWLP-Apt'!$R$23</f>
        <v>1.9015158626427763E-4</v>
      </c>
      <c r="AF216" s="1138">
        <f>SUMIFS(INDEX(ArchetypeDemand!$I$56:$AH$100,,MATCH(AF$129,ArchetypeDemand!$I$4:$AH$4,0)),ArchetypeDemand!$F$56:$F$100,$F216)*'SHWLP-Apt'!$R$23</f>
        <v>2.2512589318067974E-4</v>
      </c>
    </row>
    <row r="217" spans="3:32" ht="13.5" thickBot="1">
      <c r="C217" s="1141" t="s">
        <v>1191</v>
      </c>
      <c r="D217" s="1141" t="s">
        <v>1094</v>
      </c>
      <c r="E217" s="1141" t="s">
        <v>837</v>
      </c>
      <c r="F217" s="1141" t="s">
        <v>934</v>
      </c>
      <c r="G217" s="1141">
        <f>SUM(ArchetypeDemand!I56:I100)*'SHWLP-Apt'!$R$49</f>
        <v>1.6783117267439118E-3</v>
      </c>
      <c r="H217" s="1141">
        <f>SUM(ArchetypeDemand!J56:J100)*'SHWLP-Apt'!$R$49</f>
        <v>0.16269397309792974</v>
      </c>
      <c r="I217" s="1141">
        <f>SUM(ArchetypeDemand!K56:K100)*'SHWLP-Apt'!$R$49</f>
        <v>9.715350837861729E-3</v>
      </c>
      <c r="J217" s="1141">
        <f>SUM(ArchetypeDemand!L56:L100)*'SHWLP-Apt'!$R$49</f>
        <v>2.3106677967535388E-3</v>
      </c>
      <c r="K217" s="1141">
        <f>SUM(ArchetypeDemand!M56:M100)*'SHWLP-Apt'!$R$49</f>
        <v>1.8932523692355915E-3</v>
      </c>
      <c r="L217" s="1141">
        <f>SUM(ArchetypeDemand!N56:N100)*'SHWLP-Apt'!$R$49</f>
        <v>9.1223392693258682E-4</v>
      </c>
      <c r="M217" s="1141">
        <f>SUM(ArchetypeDemand!O56:O100)*'SHWLP-Apt'!$R$49</f>
        <v>4.0092302289576782E-3</v>
      </c>
      <c r="N217" s="1141">
        <f>SUM(ArchetypeDemand!P56:P100)*'SHWLP-Apt'!$R$49</f>
        <v>7.1395055503775343E-3</v>
      </c>
      <c r="O217" s="1141">
        <f>SUM(ArchetypeDemand!Q56:Q100)*'SHWLP-Apt'!$R$49</f>
        <v>1.5506118216051296E-3</v>
      </c>
      <c r="P217" s="1141">
        <f>SUM(ArchetypeDemand!R56:R100)*'SHWLP-Apt'!$R$49</f>
        <v>3.8115209159416148E-3</v>
      </c>
      <c r="Q217" s="1141">
        <f>SUM(ArchetypeDemand!S56:S100)*'SHWLP-Apt'!$R$49</f>
        <v>3.5212913905826931E-3</v>
      </c>
      <c r="R217" s="1141">
        <f>SUM(ArchetypeDemand!T56:T100)*'SHWLP-Apt'!$R$49</f>
        <v>5.9544331183245692E-3</v>
      </c>
      <c r="S217" s="1141">
        <f>SUM(ArchetypeDemand!U56:U100)*'SHWLP-Apt'!$R$49</f>
        <v>3.2867706322274033E-3</v>
      </c>
      <c r="T217" s="1141">
        <f>SUM(ArchetypeDemand!V56:V100)*'SHWLP-Apt'!$R$49</f>
        <v>2.3965241310391655E-2</v>
      </c>
      <c r="U217" s="1141">
        <f>SUM(ArchetypeDemand!W56:W100)*'SHWLP-Apt'!$R$49</f>
        <v>3.834096849429747E-3</v>
      </c>
      <c r="V217" s="1141">
        <f>SUM(ArchetypeDemand!X56:X100)*'SHWLP-Apt'!$R$49</f>
        <v>9.8437608390978589E-3</v>
      </c>
      <c r="W217" s="1141">
        <f>SUM(ArchetypeDemand!Y56:Y100)*'SHWLP-Apt'!$R$49</f>
        <v>3.1429764914832456E-3</v>
      </c>
      <c r="X217" s="1141">
        <f>SUM(ArchetypeDemand!Z56:Z100)*'SHWLP-Apt'!$R$49</f>
        <v>4.2207951380586152E-3</v>
      </c>
      <c r="Y217" s="1141">
        <f>SUM(ArchetypeDemand!AA56:AA100)*'SHWLP-Apt'!$R$49</f>
        <v>1.303717473881783E-2</v>
      </c>
      <c r="Z217" s="1141">
        <f>SUM(ArchetypeDemand!AB56:AB100)*'SHWLP-Apt'!$R$49</f>
        <v>7.1643334259008601E-4</v>
      </c>
      <c r="AA217" s="1141">
        <f>SUM(ArchetypeDemand!AC56:AC100)*'SHWLP-Apt'!$R$49</f>
        <v>2.8251244076918434E-3</v>
      </c>
      <c r="AB217" s="1141">
        <f>SUM(ArchetypeDemand!AD56:AD100)*'SHWLP-Apt'!$R$49</f>
        <v>8.9246977957304588E-4</v>
      </c>
      <c r="AC217" s="1141">
        <f>SUM(ArchetypeDemand!AE56:AE100)*'SHWLP-Apt'!$R$49</f>
        <v>2.2113376023733225E-3</v>
      </c>
      <c r="AD217" s="1141">
        <f>SUM(ArchetypeDemand!AF56:AF100)*'SHWLP-Apt'!$R$49</f>
        <v>1.6769503448229466E-3</v>
      </c>
      <c r="AE217" s="1141">
        <f>SUM(ArchetypeDemand!AG56:AG100)*'SHWLP-Apt'!$R$49</f>
        <v>3.1571702593512626E-3</v>
      </c>
      <c r="AF217" s="1141">
        <f>SUM(ArchetypeDemand!AH56:AH100)*'SHWLP-Apt'!$R$49</f>
        <v>1.3556687815365399E-3</v>
      </c>
    </row>
    <row r="218" spans="3:32" ht="15">
      <c r="C218" s="1137" t="s">
        <v>1206</v>
      </c>
      <c r="D218" s="1137"/>
      <c r="E218" s="1137"/>
      <c r="F218" s="1137"/>
      <c r="G218" s="1137"/>
      <c r="H218" s="1137"/>
      <c r="I218" s="1137"/>
      <c r="J218" s="1137"/>
      <c r="K218" s="1137"/>
      <c r="L218" s="1137"/>
      <c r="M218" s="1137"/>
      <c r="N218" s="1137"/>
      <c r="O218" s="1137"/>
      <c r="P218" s="1137"/>
      <c r="Q218" s="1137"/>
      <c r="R218" s="1137"/>
      <c r="S218" s="1137"/>
      <c r="T218" s="1137"/>
      <c r="U218" s="1137"/>
      <c r="V218" s="1137"/>
      <c r="W218" s="1137"/>
      <c r="X218" s="1137"/>
      <c r="Y218" s="1137"/>
      <c r="Z218" s="1137"/>
      <c r="AA218" s="1137"/>
      <c r="AB218" s="1137"/>
      <c r="AC218" s="1137"/>
      <c r="AD218" s="1137"/>
      <c r="AE218" s="1137"/>
      <c r="AF218" s="1137"/>
    </row>
    <row r="219" spans="3:32">
      <c r="C219" s="1145" t="s">
        <v>1192</v>
      </c>
      <c r="D219" s="1134" t="s">
        <v>1094</v>
      </c>
      <c r="E219" s="1134" t="s">
        <v>1193</v>
      </c>
      <c r="F219" s="1134" t="s">
        <v>1165</v>
      </c>
      <c r="G219" s="1134">
        <f>SUMIFS(INDEX(ArchetypeDemand!$I$56:$AH$100,,MATCH(G$129,ArchetypeDemand!$I$4:$AH$4,0)),ArchetypeDemand!$F$56:$F$100,$F219)*'SHWLP-Apt'!$R$24</f>
        <v>6.8711943434247779E-3</v>
      </c>
      <c r="H219" s="1134">
        <f>SUMIFS(INDEX(ArchetypeDemand!$I$56:$AH$100,,MATCH(H$129,ArchetypeDemand!$I$4:$AH$4,0)),ArchetypeDemand!$F$56:$F$100,$F219)*'SHWLP-Apt'!$R$24</f>
        <v>2.4161834663408763</v>
      </c>
      <c r="I219" s="1134">
        <f>SUMIFS(INDEX(ArchetypeDemand!$I$56:$AH$100,,MATCH(I$129,ArchetypeDemand!$I$4:$AH$4,0)),ArchetypeDemand!$F$56:$F$100,$F219)*'SHWLP-Apt'!$R$24</f>
        <v>8.4423693980748879E-2</v>
      </c>
      <c r="J219" s="1134">
        <f>SUMIFS(INDEX(ArchetypeDemand!$I$56:$AH$100,,MATCH(J$129,ArchetypeDemand!$I$4:$AH$4,0)),ArchetypeDemand!$F$56:$F$100,$F219)*'SHWLP-Apt'!$R$24</f>
        <v>2.0795949358557619E-2</v>
      </c>
      <c r="K219" s="1134">
        <f>SUMIFS(INDEX(ArchetypeDemand!$I$56:$AH$100,,MATCH(K$129,ArchetypeDemand!$I$4:$AH$4,0)),ArchetypeDemand!$F$56:$F$100,$F219)*'SHWLP-Apt'!$R$24</f>
        <v>1.9082685601400036E-2</v>
      </c>
      <c r="L219" s="1134">
        <f>SUMIFS(INDEX(ArchetypeDemand!$I$56:$AH$100,,MATCH(L$129,ArchetypeDemand!$I$4:$AH$4,0)),ArchetypeDemand!$F$56:$F$100,$F219)*'SHWLP-Apt'!$R$24</f>
        <v>3.2297195275605962E-3</v>
      </c>
      <c r="M219" s="1134">
        <f>SUMIFS(INDEX(ArchetypeDemand!$I$56:$AH$100,,MATCH(M$129,ArchetypeDemand!$I$4:$AH$4,0)),ArchetypeDemand!$F$56:$F$100,$F219)*'SHWLP-Apt'!$R$24</f>
        <v>5.0503524364578604E-2</v>
      </c>
      <c r="N219" s="1134">
        <f>SUMIFS(INDEX(ArchetypeDemand!$I$56:$AH$100,,MATCH(N$129,ArchetypeDemand!$I$4:$AH$4,0)),ArchetypeDemand!$F$56:$F$100,$F219)*'SHWLP-Apt'!$R$24</f>
        <v>8.1790848287282086E-2</v>
      </c>
      <c r="O219" s="1134">
        <f>SUMIFS(INDEX(ArchetypeDemand!$I$56:$AH$100,,MATCH(O$129,ArchetypeDemand!$I$4:$AH$4,0)),ArchetypeDemand!$F$56:$F$100,$F219)*'SHWLP-Apt'!$R$24</f>
        <v>6.3843132169932237E-3</v>
      </c>
      <c r="P219" s="1134">
        <f>SUMIFS(INDEX(ArchetypeDemand!$I$56:$AH$100,,MATCH(P$129,ArchetypeDemand!$I$4:$AH$4,0)),ArchetypeDemand!$F$56:$F$100,$F219)*'SHWLP-Apt'!$R$24</f>
        <v>3.0166425509417852E-2</v>
      </c>
      <c r="Q219" s="1134">
        <f>SUMIFS(INDEX(ArchetypeDemand!$I$56:$AH$100,,MATCH(Q$129,ArchetypeDemand!$I$4:$AH$4,0)),ArchetypeDemand!$F$56:$F$100,$F219)*'SHWLP-Apt'!$R$24</f>
        <v>1.5585845308244342E-2</v>
      </c>
      <c r="R219" s="1134">
        <f>SUMIFS(INDEX(ArchetypeDemand!$I$56:$AH$100,,MATCH(R$129,ArchetypeDemand!$I$4:$AH$4,0)),ArchetypeDemand!$F$56:$F$100,$F219)*'SHWLP-Apt'!$R$24</f>
        <v>7.6162616324192398E-2</v>
      </c>
      <c r="S219" s="1134">
        <f>SUMIFS(INDEX(ArchetypeDemand!$I$56:$AH$100,,MATCH(S$129,ArchetypeDemand!$I$4:$AH$4,0)),ArchetypeDemand!$F$56:$F$100,$F219)*'SHWLP-Apt'!$R$24</f>
        <v>1.726468018157894E-2</v>
      </c>
      <c r="T219" s="1134">
        <f>SUMIFS(INDEX(ArchetypeDemand!$I$56:$AH$100,,MATCH(T$129,ArchetypeDemand!$I$4:$AH$4,0)),ArchetypeDemand!$F$56:$F$100,$F219)*'SHWLP-Apt'!$R$24</f>
        <v>0.33676741948493744</v>
      </c>
      <c r="U219" s="1134">
        <f>SUMIFS(INDEX(ArchetypeDemand!$I$56:$AH$100,,MATCH(U$129,ArchetypeDemand!$I$4:$AH$4,0)),ArchetypeDemand!$F$56:$F$100,$F219)*'SHWLP-Apt'!$R$24</f>
        <v>2.2664811736928955E-2</v>
      </c>
      <c r="V219" s="1134">
        <f>SUMIFS(INDEX(ArchetypeDemand!$I$56:$AH$100,,MATCH(V$129,ArchetypeDemand!$I$4:$AH$4,0)),ArchetypeDemand!$F$56:$F$100,$F219)*'SHWLP-Apt'!$R$24</f>
        <v>5.4704763903551119E-2</v>
      </c>
      <c r="W219" s="1134">
        <f>SUMIFS(INDEX(ArchetypeDemand!$I$56:$AH$100,,MATCH(W$129,ArchetypeDemand!$I$4:$AH$4,0)),ArchetypeDemand!$F$56:$F$100,$F219)*'SHWLP-Apt'!$R$24</f>
        <v>9.3891496803384482E-3</v>
      </c>
      <c r="X219" s="1134">
        <f>SUMIFS(INDEX(ArchetypeDemand!$I$56:$AH$100,,MATCH(X$129,ArchetypeDemand!$I$4:$AH$4,0)),ArchetypeDemand!$F$56:$F$100,$F219)*'SHWLP-Apt'!$R$24</f>
        <v>2.329178264485491E-2</v>
      </c>
      <c r="Y219" s="1134">
        <f>SUMIFS(INDEX(ArchetypeDemand!$I$56:$AH$100,,MATCH(Y$129,ArchetypeDemand!$I$4:$AH$4,0)),ArchetypeDemand!$F$56:$F$100,$F219)*'SHWLP-Apt'!$R$24</f>
        <v>7.3402556719959433E-2</v>
      </c>
      <c r="Z219" s="1134">
        <f>SUMIFS(INDEX(ArchetypeDemand!$I$56:$AH$100,,MATCH(Z$129,ArchetypeDemand!$I$4:$AH$4,0)),ArchetypeDemand!$F$56:$F$100,$F219)*'SHWLP-Apt'!$R$24</f>
        <v>1.460508701031656E-3</v>
      </c>
      <c r="AA219" s="1134">
        <f>SUMIFS(INDEX(ArchetypeDemand!$I$56:$AH$100,,MATCH(AA$129,ArchetypeDemand!$I$4:$AH$4,0)),ArchetypeDemand!$F$56:$F$100,$F219)*'SHWLP-Apt'!$R$24</f>
        <v>1.2096778369210213E-2</v>
      </c>
      <c r="AB219" s="1134">
        <f>SUMIFS(INDEX(ArchetypeDemand!$I$56:$AH$100,,MATCH(AB$129,ArchetypeDemand!$I$4:$AH$4,0)),ArchetypeDemand!$F$56:$F$100,$F219)*'SHWLP-Apt'!$R$24</f>
        <v>4.2969193935726135E-3</v>
      </c>
      <c r="AC219" s="1134">
        <f>SUMIFS(INDEX(ArchetypeDemand!$I$56:$AH$100,,MATCH(AC$129,ArchetypeDemand!$I$4:$AH$4,0)),ArchetypeDemand!$F$56:$F$100,$F219)*'SHWLP-Apt'!$R$24</f>
        <v>1.21219559033283E-2</v>
      </c>
      <c r="AD219" s="1134">
        <f>SUMIFS(INDEX(ArchetypeDemand!$I$56:$AH$100,,MATCH(AD$129,ArchetypeDemand!$I$4:$AH$4,0)),ArchetypeDemand!$F$56:$F$100,$F219)*'SHWLP-Apt'!$R$24</f>
        <v>1.1259697239760304E-2</v>
      </c>
      <c r="AE219" s="1134">
        <f>SUMIFS(INDEX(ArchetypeDemand!$I$56:$AH$100,,MATCH(AE$129,ArchetypeDemand!$I$4:$AH$4,0)),ArchetypeDemand!$F$56:$F$100,$F219)*'SHWLP-Apt'!$R$24</f>
        <v>2.3328078543041877E-2</v>
      </c>
      <c r="AF219" s="1134">
        <f>SUMIFS(INDEX(ArchetypeDemand!$I$56:$AH$100,,MATCH(AF$129,ArchetypeDemand!$I$4:$AH$4,0)),ArchetypeDemand!$F$56:$F$100,$F219)*'SHWLP-Apt'!$R$24</f>
        <v>9.2496266910997837E-3</v>
      </c>
    </row>
    <row r="220" spans="3:32">
      <c r="C220" s="1136" t="s">
        <v>1192</v>
      </c>
      <c r="D220" s="1136" t="s">
        <v>1094</v>
      </c>
      <c r="E220" s="1136" t="s">
        <v>1193</v>
      </c>
      <c r="F220" s="1136" t="s">
        <v>1166</v>
      </c>
      <c r="G220" s="1136">
        <f>SUMIFS(INDEX(ArchetypeDemand!$I$56:$AH$100,,MATCH(G$129,ArchetypeDemand!$I$4:$AH$4,0)),ArchetypeDemand!$F$56:$F$100,$F220)*'SHWLP-Apt'!$R$24</f>
        <v>3.1906202674190483E-2</v>
      </c>
      <c r="H220" s="1136">
        <f>SUMIFS(INDEX(ArchetypeDemand!$I$56:$AH$100,,MATCH(H$129,ArchetypeDemand!$I$4:$AH$4,0)),ArchetypeDemand!$F$56:$F$100,$F220)*'SHWLP-Apt'!$R$24</f>
        <v>2.6667799929287477</v>
      </c>
      <c r="I220" s="1136">
        <f>SUMIFS(INDEX(ArchetypeDemand!$I$56:$AH$100,,MATCH(I$129,ArchetypeDemand!$I$4:$AH$4,0)),ArchetypeDemand!$F$56:$F$100,$F220)*'SHWLP-Apt'!$R$24</f>
        <v>0.19129156241364706</v>
      </c>
      <c r="J220" s="1136">
        <f>SUMIFS(INDEX(ArchetypeDemand!$I$56:$AH$100,,MATCH(J$129,ArchetypeDemand!$I$4:$AH$4,0)),ArchetypeDemand!$F$56:$F$100,$F220)*'SHWLP-Apt'!$R$24</f>
        <v>4.698717847190198E-2</v>
      </c>
      <c r="K220" s="1136">
        <f>SUMIFS(INDEX(ArchetypeDemand!$I$56:$AH$100,,MATCH(K$129,ArchetypeDemand!$I$4:$AH$4,0)),ArchetypeDemand!$F$56:$F$100,$F220)*'SHWLP-Apt'!$R$24</f>
        <v>3.0316280089650309E-2</v>
      </c>
      <c r="L220" s="1136">
        <f>SUMIFS(INDEX(ArchetypeDemand!$I$56:$AH$100,,MATCH(L$129,ArchetypeDemand!$I$4:$AH$4,0)),ArchetypeDemand!$F$56:$F$100,$F220)*'SHWLP-Apt'!$R$24</f>
        <v>1.2358873709670155E-2</v>
      </c>
      <c r="M220" s="1136">
        <f>SUMIFS(INDEX(ArchetypeDemand!$I$56:$AH$100,,MATCH(M$129,ArchetypeDemand!$I$4:$AH$4,0)),ArchetypeDemand!$F$56:$F$100,$F220)*'SHWLP-Apt'!$R$24</f>
        <v>7.8278153902924488E-2</v>
      </c>
      <c r="N220" s="1136">
        <f>SUMIFS(INDEX(ArchetypeDemand!$I$56:$AH$100,,MATCH(N$129,ArchetypeDemand!$I$4:$AH$4,0)),ArchetypeDemand!$F$56:$F$100,$F220)*'SHWLP-Apt'!$R$24</f>
        <v>0.14924360703816619</v>
      </c>
      <c r="O220" s="1136">
        <f>SUMIFS(INDEX(ArchetypeDemand!$I$56:$AH$100,,MATCH(O$129,ArchetypeDemand!$I$4:$AH$4,0)),ArchetypeDemand!$F$56:$F$100,$F220)*'SHWLP-Apt'!$R$24</f>
        <v>2.0924377964995525E-2</v>
      </c>
      <c r="P220" s="1136">
        <f>SUMIFS(INDEX(ArchetypeDemand!$I$56:$AH$100,,MATCH(P$129,ArchetypeDemand!$I$4:$AH$4,0)),ArchetypeDemand!$F$56:$F$100,$F220)*'SHWLP-Apt'!$R$24</f>
        <v>5.6955201672054631E-2</v>
      </c>
      <c r="Q220" s="1136">
        <f>SUMIFS(INDEX(ArchetypeDemand!$I$56:$AH$100,,MATCH(Q$129,ArchetypeDemand!$I$4:$AH$4,0)),ArchetypeDemand!$F$56:$F$100,$F220)*'SHWLP-Apt'!$R$24</f>
        <v>4.7840601090582822E-2</v>
      </c>
      <c r="R220" s="1136">
        <f>SUMIFS(INDEX(ArchetypeDemand!$I$56:$AH$100,,MATCH(R$129,ArchetypeDemand!$I$4:$AH$4,0)),ArchetypeDemand!$F$56:$F$100,$F220)*'SHWLP-Apt'!$R$24</f>
        <v>0.10090929730876946</v>
      </c>
      <c r="S220" s="1136">
        <f>SUMIFS(INDEX(ArchetypeDemand!$I$56:$AH$100,,MATCH(S$129,ArchetypeDemand!$I$4:$AH$4,0)),ArchetypeDemand!$F$56:$F$100,$F220)*'SHWLP-Apt'!$R$24</f>
        <v>4.9842975644855493E-2</v>
      </c>
      <c r="T220" s="1136">
        <f>SUMIFS(INDEX(ArchetypeDemand!$I$56:$AH$100,,MATCH(T$129,ArchetypeDemand!$I$4:$AH$4,0)),ArchetypeDemand!$F$56:$F$100,$F220)*'SHWLP-Apt'!$R$24</f>
        <v>0.3786855352221184</v>
      </c>
      <c r="U220" s="1136">
        <f>SUMIFS(INDEX(ArchetypeDemand!$I$56:$AH$100,,MATCH(U$129,ArchetypeDemand!$I$4:$AH$4,0)),ArchetypeDemand!$F$56:$F$100,$F220)*'SHWLP-Apt'!$R$24</f>
        <v>6.3489178070570557E-2</v>
      </c>
      <c r="V220" s="1136">
        <f>SUMIFS(INDEX(ArchetypeDemand!$I$56:$AH$100,,MATCH(V$129,ArchetypeDemand!$I$4:$AH$4,0)),ArchetypeDemand!$F$56:$F$100,$F220)*'SHWLP-Apt'!$R$24</f>
        <v>0.21347964532678129</v>
      </c>
      <c r="W220" s="1136">
        <f>SUMIFS(INDEX(ArchetypeDemand!$I$56:$AH$100,,MATCH(W$129,ArchetypeDemand!$I$4:$AH$4,0)),ArchetypeDemand!$F$56:$F$100,$F220)*'SHWLP-Apt'!$R$24</f>
        <v>3.0693184110105545E-2</v>
      </c>
      <c r="X220" s="1136">
        <f>SUMIFS(INDEX(ArchetypeDemand!$I$56:$AH$100,,MATCH(X$129,ArchetypeDemand!$I$4:$AH$4,0)),ArchetypeDemand!$F$56:$F$100,$F220)*'SHWLP-Apt'!$R$24</f>
        <v>6.3570138934888512E-2</v>
      </c>
      <c r="Y220" s="1136">
        <f>SUMIFS(INDEX(ArchetypeDemand!$I$56:$AH$100,,MATCH(Y$129,ArchetypeDemand!$I$4:$AH$4,0)),ArchetypeDemand!$F$56:$F$100,$F220)*'SHWLP-Apt'!$R$24</f>
        <v>0.19831104103968714</v>
      </c>
      <c r="Z220" s="1136">
        <f>SUMIFS(INDEX(ArchetypeDemand!$I$56:$AH$100,,MATCH(Z$129,ArchetypeDemand!$I$4:$AH$4,0)),ArchetypeDemand!$F$56:$F$100,$F220)*'SHWLP-Apt'!$R$24</f>
        <v>1.2945418031871495E-2</v>
      </c>
      <c r="AA220" s="1136">
        <f>SUMIFS(INDEX(ArchetypeDemand!$I$56:$AH$100,,MATCH(AA$129,ArchetypeDemand!$I$4:$AH$4,0)),ArchetypeDemand!$F$56:$F$100,$F220)*'SHWLP-Apt'!$R$24</f>
        <v>4.1375795903360192E-2</v>
      </c>
      <c r="AB220" s="1136">
        <f>SUMIFS(INDEX(ArchetypeDemand!$I$56:$AH$100,,MATCH(AB$129,ArchetypeDemand!$I$4:$AH$4,0)),ArchetypeDemand!$F$56:$F$100,$F220)*'SHWLP-Apt'!$R$24</f>
        <v>1.3815529625759238E-2</v>
      </c>
      <c r="AC220" s="1136">
        <f>SUMIFS(INDEX(ArchetypeDemand!$I$56:$AH$100,,MATCH(AC$129,ArchetypeDemand!$I$4:$AH$4,0)),ArchetypeDemand!$F$56:$F$100,$F220)*'SHWLP-Apt'!$R$24</f>
        <v>2.8261832658984985E-2</v>
      </c>
      <c r="AD220" s="1136">
        <f>SUMIFS(INDEX(ArchetypeDemand!$I$56:$AH$100,,MATCH(AD$129,ArchetypeDemand!$I$4:$AH$4,0)),ArchetypeDemand!$F$56:$F$100,$F220)*'SHWLP-Apt'!$R$24</f>
        <v>2.3924995043388353E-2</v>
      </c>
      <c r="AE220" s="1136">
        <f>SUMIFS(INDEX(ArchetypeDemand!$I$56:$AH$100,,MATCH(AE$129,ArchetypeDemand!$I$4:$AH$4,0)),ArchetypeDemand!$F$56:$F$100,$F220)*'SHWLP-Apt'!$R$24</f>
        <v>5.8391637256160096E-2</v>
      </c>
      <c r="AF220" s="1136">
        <f>SUMIFS(INDEX(ArchetypeDemand!$I$56:$AH$100,,MATCH(AF$129,ArchetypeDemand!$I$4:$AH$4,0)),ArchetypeDemand!$F$56:$F$100,$F220)*'SHWLP-Apt'!$R$24</f>
        <v>1.805980514850344E-2</v>
      </c>
    </row>
    <row r="221" spans="3:32">
      <c r="C221" s="1134" t="s">
        <v>1192</v>
      </c>
      <c r="D221" s="1134" t="s">
        <v>1094</v>
      </c>
      <c r="E221" s="1134" t="s">
        <v>1193</v>
      </c>
      <c r="F221" s="1134" t="s">
        <v>1167</v>
      </c>
      <c r="G221" s="1134">
        <f>SUMIFS(INDEX(ArchetypeDemand!$I$56:$AH$100,,MATCH(G$129,ArchetypeDemand!$I$4:$AH$4,0)),ArchetypeDemand!$F$56:$F$100,$F221)*'SHWLP-Apt'!$R$24</f>
        <v>2.2629127440118794E-2</v>
      </c>
      <c r="H221" s="1134">
        <f>SUMIFS(INDEX(ArchetypeDemand!$I$56:$AH$100,,MATCH(H$129,ArchetypeDemand!$I$4:$AH$4,0)),ArchetypeDemand!$F$56:$F$100,$F221)*'SHWLP-Apt'!$R$24</f>
        <v>1.6294894832211315</v>
      </c>
      <c r="I221" s="1134">
        <f>SUMIFS(INDEX(ArchetypeDemand!$I$56:$AH$100,,MATCH(I$129,ArchetypeDemand!$I$4:$AH$4,0)),ArchetypeDemand!$F$56:$F$100,$F221)*'SHWLP-Apt'!$R$24</f>
        <v>0.10745951190220314</v>
      </c>
      <c r="J221" s="1134">
        <f>SUMIFS(INDEX(ArchetypeDemand!$I$56:$AH$100,,MATCH(J$129,ArchetypeDemand!$I$4:$AH$4,0)),ArchetypeDemand!$F$56:$F$100,$F221)*'SHWLP-Apt'!$R$24</f>
        <v>2.3385820477987915E-2</v>
      </c>
      <c r="K221" s="1134">
        <f>SUMIFS(INDEX(ArchetypeDemand!$I$56:$AH$100,,MATCH(K$129,ArchetypeDemand!$I$4:$AH$4,0)),ArchetypeDemand!$F$56:$F$100,$F221)*'SHWLP-Apt'!$R$24</f>
        <v>2.5423126110268156E-2</v>
      </c>
      <c r="L221" s="1134">
        <f>SUMIFS(INDEX(ArchetypeDemand!$I$56:$AH$100,,MATCH(L$129,ArchetypeDemand!$I$4:$AH$4,0)),ArchetypeDemand!$F$56:$F$100,$F221)*'SHWLP-Apt'!$R$24</f>
        <v>1.7333514699726063E-2</v>
      </c>
      <c r="M221" s="1134">
        <f>SUMIFS(INDEX(ArchetypeDemand!$I$56:$AH$100,,MATCH(M$129,ArchetypeDemand!$I$4:$AH$4,0)),ArchetypeDemand!$F$56:$F$100,$F221)*'SHWLP-Apt'!$R$24</f>
        <v>3.3674710929861948E-2</v>
      </c>
      <c r="N221" s="1134">
        <f>SUMIFS(INDEX(ArchetypeDemand!$I$56:$AH$100,,MATCH(N$129,ArchetypeDemand!$I$4:$AH$4,0)),ArchetypeDemand!$F$56:$F$100,$F221)*'SHWLP-Apt'!$R$24</f>
        <v>7.3598028775681057E-2</v>
      </c>
      <c r="O221" s="1134">
        <f>SUMIFS(INDEX(ArchetypeDemand!$I$56:$AH$100,,MATCH(O$129,ArchetypeDemand!$I$4:$AH$4,0)),ArchetypeDemand!$F$56:$F$100,$F221)*'SHWLP-Apt'!$R$24</f>
        <v>2.3796351411171382E-2</v>
      </c>
      <c r="P221" s="1134">
        <f>SUMIFS(INDEX(ArchetypeDemand!$I$56:$AH$100,,MATCH(P$129,ArchetypeDemand!$I$4:$AH$4,0)),ArchetypeDemand!$F$56:$F$100,$F221)*'SHWLP-Apt'!$R$24</f>
        <v>5.7041628381723913E-2</v>
      </c>
      <c r="Q221" s="1134">
        <f>SUMIFS(INDEX(ArchetypeDemand!$I$56:$AH$100,,MATCH(Q$129,ArchetypeDemand!$I$4:$AH$4,0)),ArchetypeDemand!$F$56:$F$100,$F221)*'SHWLP-Apt'!$R$24</f>
        <v>5.2320657380001946E-2</v>
      </c>
      <c r="R221" s="1134">
        <f>SUMIFS(INDEX(ArchetypeDemand!$I$56:$AH$100,,MATCH(R$129,ArchetypeDemand!$I$4:$AH$4,0)),ArchetypeDemand!$F$56:$F$100,$F221)*'SHWLP-Apt'!$R$24</f>
        <v>6.2088755213878459E-2</v>
      </c>
      <c r="S221" s="1134">
        <f>SUMIFS(INDEX(ArchetypeDemand!$I$56:$AH$100,,MATCH(S$129,ArchetypeDemand!$I$4:$AH$4,0)),ArchetypeDemand!$F$56:$F$100,$F221)*'SHWLP-Apt'!$R$24</f>
        <v>4.5159743033929479E-2</v>
      </c>
      <c r="T221" s="1134">
        <f>SUMIFS(INDEX(ArchetypeDemand!$I$56:$AH$100,,MATCH(T$129,ArchetypeDemand!$I$4:$AH$4,0)),ArchetypeDemand!$F$56:$F$100,$F221)*'SHWLP-Apt'!$R$24</f>
        <v>0.22154105066431751</v>
      </c>
      <c r="U221" s="1134">
        <f>SUMIFS(INDEX(ArchetypeDemand!$I$56:$AH$100,,MATCH(U$129,ArchetypeDemand!$I$4:$AH$4,0)),ArchetypeDemand!$F$56:$F$100,$F221)*'SHWLP-Apt'!$R$24</f>
        <v>5.5828096249474747E-2</v>
      </c>
      <c r="V221" s="1134">
        <f>SUMIFS(INDEX(ArchetypeDemand!$I$56:$AH$100,,MATCH(V$129,ArchetypeDemand!$I$4:$AH$4,0)),ArchetypeDemand!$F$56:$F$100,$F221)*'SHWLP-Apt'!$R$24</f>
        <v>0.12674586838297594</v>
      </c>
      <c r="W221" s="1134">
        <f>SUMIFS(INDEX(ArchetypeDemand!$I$56:$AH$100,,MATCH(W$129,ArchetypeDemand!$I$4:$AH$4,0)),ArchetypeDemand!$F$56:$F$100,$F221)*'SHWLP-Apt'!$R$24</f>
        <v>5.2616887045895212E-2</v>
      </c>
      <c r="X221" s="1134">
        <f>SUMIFS(INDEX(ArchetypeDemand!$I$56:$AH$100,,MATCH(X$129,ArchetypeDemand!$I$4:$AH$4,0)),ArchetypeDemand!$F$56:$F$100,$F221)*'SHWLP-Apt'!$R$24</f>
        <v>6.5395119000004928E-2</v>
      </c>
      <c r="Y221" s="1134">
        <f>SUMIFS(INDEX(ArchetypeDemand!$I$56:$AH$100,,MATCH(Y$129,ArchetypeDemand!$I$4:$AH$4,0)),ArchetypeDemand!$F$56:$F$100,$F221)*'SHWLP-Apt'!$R$24</f>
        <v>0.20526457025647035</v>
      </c>
      <c r="Z221" s="1134">
        <f>SUMIFS(INDEX(ArchetypeDemand!$I$56:$AH$100,,MATCH(Z$129,ArchetypeDemand!$I$4:$AH$4,0)),ArchetypeDemand!$F$56:$F$100,$F221)*'SHWLP-Apt'!$R$24</f>
        <v>1.3277351827560509E-2</v>
      </c>
      <c r="AA221" s="1134">
        <f>SUMIFS(INDEX(ArchetypeDemand!$I$56:$AH$100,,MATCH(AA$129,ArchetypeDemand!$I$4:$AH$4,0)),ArchetypeDemand!$F$56:$F$100,$F221)*'SHWLP-Apt'!$R$24</f>
        <v>4.9077783885370971E-2</v>
      </c>
      <c r="AB221" s="1134">
        <f>SUMIFS(INDEX(ArchetypeDemand!$I$56:$AH$100,,MATCH(AB$129,ArchetypeDemand!$I$4:$AH$4,0)),ArchetypeDemand!$F$56:$F$100,$F221)*'SHWLP-Apt'!$R$24</f>
        <v>1.290004272284748E-2</v>
      </c>
      <c r="AC221" s="1134">
        <f>SUMIFS(INDEX(ArchetypeDemand!$I$56:$AH$100,,MATCH(AC$129,ArchetypeDemand!$I$4:$AH$4,0)),ArchetypeDemand!$F$56:$F$100,$F221)*'SHWLP-Apt'!$R$24</f>
        <v>3.69402135966935E-2</v>
      </c>
      <c r="AD221" s="1134">
        <f>SUMIFS(INDEX(ArchetypeDemand!$I$56:$AH$100,,MATCH(AD$129,ArchetypeDemand!$I$4:$AH$4,0)),ArchetypeDemand!$F$56:$F$100,$F221)*'SHWLP-Apt'!$R$24</f>
        <v>2.4933328167822344E-2</v>
      </c>
      <c r="AE221" s="1134">
        <f>SUMIFS(INDEX(ArchetypeDemand!$I$56:$AH$100,,MATCH(AE$129,ArchetypeDemand!$I$4:$AH$4,0)),ArchetypeDemand!$F$56:$F$100,$F221)*'SHWLP-Apt'!$R$24</f>
        <v>3.6179042422073752E-2</v>
      </c>
      <c r="AF221" s="1134">
        <f>SUMIFS(INDEX(ArchetypeDemand!$I$56:$AH$100,,MATCH(AF$129,ArchetypeDemand!$I$4:$AH$4,0)),ArchetypeDemand!$F$56:$F$100,$F221)*'SHWLP-Apt'!$R$24</f>
        <v>1.4658932750408636E-2</v>
      </c>
    </row>
    <row r="222" spans="3:32">
      <c r="C222" s="1136" t="s">
        <v>1192</v>
      </c>
      <c r="D222" s="1136" t="s">
        <v>1094</v>
      </c>
      <c r="E222" s="1136" t="s">
        <v>1193</v>
      </c>
      <c r="F222" s="1136" t="s">
        <v>1168</v>
      </c>
      <c r="G222" s="1136">
        <f>SUMIFS(INDEX(ArchetypeDemand!$I$56:$AH$100,,MATCH(G$129,ArchetypeDemand!$I$4:$AH$4,0)),ArchetypeDemand!$F$56:$F$100,$F222)*'SHWLP-Apt'!$R$24</f>
        <v>1.1704721089716619E-2</v>
      </c>
      <c r="H222" s="1136">
        <f>SUMIFS(INDEX(ArchetypeDemand!$I$56:$AH$100,,MATCH(H$129,ArchetypeDemand!$I$4:$AH$4,0)),ArchetypeDemand!$F$56:$F$100,$F222)*'SHWLP-Apt'!$R$24</f>
        <v>0.78389094893705757</v>
      </c>
      <c r="I222" s="1136">
        <f>SUMIFS(INDEX(ArchetypeDemand!$I$56:$AH$100,,MATCH(I$129,ArchetypeDemand!$I$4:$AH$4,0)),ArchetypeDemand!$F$56:$F$100,$F222)*'SHWLP-Apt'!$R$24</f>
        <v>5.9636621298791388E-2</v>
      </c>
      <c r="J222" s="1136">
        <f>SUMIFS(INDEX(ArchetypeDemand!$I$56:$AH$100,,MATCH(J$129,ArchetypeDemand!$I$4:$AH$4,0)),ArchetypeDemand!$F$56:$F$100,$F222)*'SHWLP-Apt'!$R$24</f>
        <v>1.0884644554270871E-2</v>
      </c>
      <c r="K222" s="1136">
        <f>SUMIFS(INDEX(ArchetypeDemand!$I$56:$AH$100,,MATCH(K$129,ArchetypeDemand!$I$4:$AH$4,0)),ArchetypeDemand!$F$56:$F$100,$F222)*'SHWLP-Apt'!$R$24</f>
        <v>9.892680871359574E-3</v>
      </c>
      <c r="L222" s="1136">
        <f>SUMIFS(INDEX(ArchetypeDemand!$I$56:$AH$100,,MATCH(L$129,ArchetypeDemand!$I$4:$AH$4,0)),ArchetypeDemand!$F$56:$F$100,$F222)*'SHWLP-Apt'!$R$24</f>
        <v>7.4619614850838668E-3</v>
      </c>
      <c r="M222" s="1136">
        <f>SUMIFS(INDEX(ArchetypeDemand!$I$56:$AH$100,,MATCH(M$129,ArchetypeDemand!$I$4:$AH$4,0)),ArchetypeDemand!$F$56:$F$100,$F222)*'SHWLP-Apt'!$R$24</f>
        <v>1.9369622645672574E-2</v>
      </c>
      <c r="N222" s="1136">
        <f>SUMIFS(INDEX(ArchetypeDemand!$I$56:$AH$100,,MATCH(N$129,ArchetypeDemand!$I$4:$AH$4,0)),ArchetypeDemand!$F$56:$F$100,$F222)*'SHWLP-Apt'!$R$24</f>
        <v>3.0713242302061648E-2</v>
      </c>
      <c r="O222" s="1136">
        <f>SUMIFS(INDEX(ArchetypeDemand!$I$56:$AH$100,,MATCH(O$129,ArchetypeDemand!$I$4:$AH$4,0)),ArchetypeDemand!$F$56:$F$100,$F222)*'SHWLP-Apt'!$R$24</f>
        <v>1.3129021468232487E-2</v>
      </c>
      <c r="P222" s="1136">
        <f>SUMIFS(INDEX(ArchetypeDemand!$I$56:$AH$100,,MATCH(P$129,ArchetypeDemand!$I$4:$AH$4,0)),ArchetypeDemand!$F$56:$F$100,$F222)*'SHWLP-Apt'!$R$24</f>
        <v>2.6014439610452873E-2</v>
      </c>
      <c r="Q222" s="1136">
        <f>SUMIFS(INDEX(ArchetypeDemand!$I$56:$AH$100,,MATCH(Q$129,ArchetypeDemand!$I$4:$AH$4,0)),ArchetypeDemand!$F$56:$F$100,$F222)*'SHWLP-Apt'!$R$24</f>
        <v>3.4800437248166428E-2</v>
      </c>
      <c r="R222" s="1136">
        <f>SUMIFS(INDEX(ArchetypeDemand!$I$56:$AH$100,,MATCH(R$129,ArchetypeDemand!$I$4:$AH$4,0)),ArchetypeDemand!$F$56:$F$100,$F222)*'SHWLP-Apt'!$R$24</f>
        <v>2.7487837259736487E-2</v>
      </c>
      <c r="S222" s="1136">
        <f>SUMIFS(INDEX(ArchetypeDemand!$I$56:$AH$100,,MATCH(S$129,ArchetypeDemand!$I$4:$AH$4,0)),ArchetypeDemand!$F$56:$F$100,$F222)*'SHWLP-Apt'!$R$24</f>
        <v>2.9688349587120303E-2</v>
      </c>
      <c r="T222" s="1136">
        <f>SUMIFS(INDEX(ArchetypeDemand!$I$56:$AH$100,,MATCH(T$129,ArchetypeDemand!$I$4:$AH$4,0)),ArchetypeDemand!$F$56:$F$100,$F222)*'SHWLP-Apt'!$R$24</f>
        <v>0.1264744342517512</v>
      </c>
      <c r="U222" s="1136">
        <f>SUMIFS(INDEX(ArchetypeDemand!$I$56:$AH$100,,MATCH(U$129,ArchetypeDemand!$I$4:$AH$4,0)),ArchetypeDemand!$F$56:$F$100,$F222)*'SHWLP-Apt'!$R$24</f>
        <v>2.6569283762523752E-2</v>
      </c>
      <c r="V222" s="1136">
        <f>SUMIFS(INDEX(ArchetypeDemand!$I$56:$AH$100,,MATCH(V$129,ArchetypeDemand!$I$4:$AH$4,0)),ArchetypeDemand!$F$56:$F$100,$F222)*'SHWLP-Apt'!$R$24</f>
        <v>5.2040266166283218E-2</v>
      </c>
      <c r="W222" s="1136">
        <f>SUMIFS(INDEX(ArchetypeDemand!$I$56:$AH$100,,MATCH(W$129,ArchetypeDemand!$I$4:$AH$4,0)),ArchetypeDemand!$F$56:$F$100,$F222)*'SHWLP-Apt'!$R$24</f>
        <v>2.9718797312959337E-2</v>
      </c>
      <c r="X222" s="1136">
        <f>SUMIFS(INDEX(ArchetypeDemand!$I$56:$AH$100,,MATCH(X$129,ArchetypeDemand!$I$4:$AH$4,0)),ArchetypeDemand!$F$56:$F$100,$F222)*'SHWLP-Apt'!$R$24</f>
        <v>3.4826702909304952E-2</v>
      </c>
      <c r="Y222" s="1136">
        <f>SUMIFS(INDEX(ArchetypeDemand!$I$56:$AH$100,,MATCH(Y$129,ArchetypeDemand!$I$4:$AH$4,0)),ArchetypeDemand!$F$56:$F$100,$F222)*'SHWLP-Apt'!$R$24</f>
        <v>0.11252074550794634</v>
      </c>
      <c r="Z222" s="1136">
        <f>SUMIFS(INDEX(ArchetypeDemand!$I$56:$AH$100,,MATCH(Z$129,ArchetypeDemand!$I$4:$AH$4,0)),ArchetypeDemand!$F$56:$F$100,$F222)*'SHWLP-Apt'!$R$24</f>
        <v>4.3815261030949676E-3</v>
      </c>
      <c r="AA222" s="1136">
        <f>SUMIFS(INDEX(ArchetypeDemand!$I$56:$AH$100,,MATCH(AA$129,ArchetypeDemand!$I$4:$AH$4,0)),ArchetypeDemand!$F$56:$F$100,$F222)*'SHWLP-Apt'!$R$24</f>
        <v>2.0329665952516809E-2</v>
      </c>
      <c r="AB222" s="1136">
        <f>SUMIFS(INDEX(ArchetypeDemand!$I$56:$AH$100,,MATCH(AB$129,ArchetypeDemand!$I$4:$AH$4,0)),ArchetypeDemand!$F$56:$F$100,$F222)*'SHWLP-Apt'!$R$24</f>
        <v>7.1574430591282798E-3</v>
      </c>
      <c r="AC222" s="1136">
        <f>SUMIFS(INDEX(ArchetypeDemand!$I$56:$AH$100,,MATCH(AC$129,ArchetypeDemand!$I$4:$AH$4,0)),ArchetypeDemand!$F$56:$F$100,$F222)*'SHWLP-Apt'!$R$24</f>
        <v>2.4607777527318235E-2</v>
      </c>
      <c r="AD222" s="1136">
        <f>SUMIFS(INDEX(ArchetypeDemand!$I$56:$AH$100,,MATCH(AD$129,ArchetypeDemand!$I$4:$AH$4,0)),ArchetypeDemand!$F$56:$F$100,$F222)*'SHWLP-Apt'!$R$24</f>
        <v>1.2466664083911172E-2</v>
      </c>
      <c r="AE222" s="1136">
        <f>SUMIFS(INDEX(ArchetypeDemand!$I$56:$AH$100,,MATCH(AE$129,ArchetypeDemand!$I$4:$AH$4,0)),ArchetypeDemand!$F$56:$F$100,$F222)*'SHWLP-Apt'!$R$24</f>
        <v>2.1469698685789143E-2</v>
      </c>
      <c r="AF222" s="1136">
        <f>SUMIFS(INDEX(ArchetypeDemand!$I$56:$AH$100,,MATCH(AF$129,ArchetypeDemand!$I$4:$AH$4,0)),ArchetypeDemand!$F$56:$F$100,$F222)*'SHWLP-Apt'!$R$24</f>
        <v>1.0085345732281141E-2</v>
      </c>
    </row>
    <row r="223" spans="3:32">
      <c r="C223" s="1134" t="s">
        <v>1192</v>
      </c>
      <c r="D223" s="1134" t="s">
        <v>1094</v>
      </c>
      <c r="E223" s="1134" t="s">
        <v>1193</v>
      </c>
      <c r="F223" s="1134" t="s">
        <v>1169</v>
      </c>
      <c r="G223" s="1134">
        <f>SUMIFS(INDEX(ArchetypeDemand!$I$56:$AH$100,,MATCH(G$129,ArchetypeDemand!$I$4:$AH$4,0)),ArchetypeDemand!$F$56:$F$100,$F223)*'SHWLP-Apt'!$R$24</f>
        <v>4.5084851604834377E-3</v>
      </c>
      <c r="H223" s="1134">
        <f>SUMIFS(INDEX(ArchetypeDemand!$I$56:$AH$100,,MATCH(H$129,ArchetypeDemand!$I$4:$AH$4,0)),ArchetypeDemand!$F$56:$F$100,$F223)*'SHWLP-Apt'!$R$24</f>
        <v>0.26890722619808116</v>
      </c>
      <c r="I223" s="1134">
        <f>SUMIFS(INDEX(ArchetypeDemand!$I$56:$AH$100,,MATCH(I$129,ArchetypeDemand!$I$4:$AH$4,0)),ArchetypeDemand!$F$56:$F$100,$F223)*'SHWLP-Apt'!$R$24</f>
        <v>1.9538093073127847E-2</v>
      </c>
      <c r="J223" s="1134">
        <f>SUMIFS(INDEX(ArchetypeDemand!$I$56:$AH$100,,MATCH(J$129,ArchetypeDemand!$I$4:$AH$4,0)),ArchetypeDemand!$F$56:$F$100,$F223)*'SHWLP-Apt'!$R$24</f>
        <v>4.6340565924123511E-3</v>
      </c>
      <c r="K223" s="1134">
        <f>SUMIFS(INDEX(ArchetypeDemand!$I$56:$AH$100,,MATCH(K$129,ArchetypeDemand!$I$4:$AH$4,0)),ArchetypeDemand!$F$56:$F$100,$F223)*'SHWLP-Apt'!$R$24</f>
        <v>3.4039332030484561E-3</v>
      </c>
      <c r="L223" s="1134">
        <f>SUMIFS(INDEX(ArchetypeDemand!$I$56:$AH$100,,MATCH(L$129,ArchetypeDemand!$I$4:$AH$4,0)),ArchetypeDemand!$F$56:$F$100,$F223)*'SHWLP-Apt'!$R$24</f>
        <v>1.9432191367405901E-3</v>
      </c>
      <c r="M223" s="1134">
        <f>SUMIFS(INDEX(ArchetypeDemand!$I$56:$AH$100,,MATCH(M$129,ArchetypeDemand!$I$4:$AH$4,0)),ArchetypeDemand!$F$56:$F$100,$F223)*'SHWLP-Apt'!$R$24</f>
        <v>7.3746728421597418E-3</v>
      </c>
      <c r="N223" s="1134">
        <f>SUMIFS(INDEX(ArchetypeDemand!$I$56:$AH$100,,MATCH(N$129,ArchetypeDemand!$I$4:$AH$4,0)),ArchetypeDemand!$F$56:$F$100,$F223)*'SHWLP-Apt'!$R$24</f>
        <v>7.9626924486826487E-3</v>
      </c>
      <c r="O223" s="1134">
        <f>SUMIFS(INDEX(ArchetypeDemand!$I$56:$AH$100,,MATCH(O$129,ArchetypeDemand!$I$4:$AH$4,0)),ArchetypeDemand!$F$56:$F$100,$F223)*'SHWLP-Apt'!$R$24</f>
        <v>6.0516583330134125E-3</v>
      </c>
      <c r="P223" s="1134">
        <f>SUMIFS(INDEX(ArchetypeDemand!$I$56:$AH$100,,MATCH(P$129,ArchetypeDemand!$I$4:$AH$4,0)),ArchetypeDemand!$F$56:$F$100,$F223)*'SHWLP-Apt'!$R$24</f>
        <v>9.9390716119670455E-3</v>
      </c>
      <c r="Q223" s="1134">
        <f>SUMIFS(INDEX(ArchetypeDemand!$I$56:$AH$100,,MATCH(Q$129,ArchetypeDemand!$I$4:$AH$4,0)),ArchetypeDemand!$F$56:$F$100,$F223)*'SHWLP-Apt'!$R$24</f>
        <v>1.0560132682202229E-2</v>
      </c>
      <c r="R223" s="1134">
        <f>SUMIFS(INDEX(ArchetypeDemand!$I$56:$AH$100,,MATCH(R$129,ArchetypeDemand!$I$4:$AH$4,0)),ArchetypeDemand!$F$56:$F$100,$F223)*'SHWLP-Apt'!$R$24</f>
        <v>9.8859765583262805E-3</v>
      </c>
      <c r="S223" s="1134">
        <f>SUMIFS(INDEX(ArchetypeDemand!$I$56:$AH$100,,MATCH(S$129,ArchetypeDemand!$I$4:$AH$4,0)),ArchetypeDemand!$F$56:$F$100,$F223)*'SHWLP-Apt'!$R$24</f>
        <v>7.9447696078209264E-3</v>
      </c>
      <c r="T223" s="1134">
        <f>SUMIFS(INDEX(ArchetypeDemand!$I$56:$AH$100,,MATCH(T$129,ArchetypeDemand!$I$4:$AH$4,0)),ArchetypeDemand!$F$56:$F$100,$F223)*'SHWLP-Apt'!$R$24</f>
        <v>4.8271075739418377E-2</v>
      </c>
      <c r="U223" s="1134">
        <f>SUMIFS(INDEX(ArchetypeDemand!$I$56:$AH$100,,MATCH(U$129,ArchetypeDemand!$I$4:$AH$4,0)),ArchetypeDemand!$F$56:$F$100,$F223)*'SHWLP-Apt'!$R$24</f>
        <v>8.0685861732817526E-3</v>
      </c>
      <c r="V223" s="1134">
        <f>SUMIFS(INDEX(ArchetypeDemand!$I$56:$AH$100,,MATCH(V$129,ArchetypeDemand!$I$4:$AH$4,0)),ArchetypeDemand!$F$56:$F$100,$F223)*'SHWLP-Apt'!$R$24</f>
        <v>1.75104040245041E-2</v>
      </c>
      <c r="W223" s="1134">
        <f>SUMIFS(INDEX(ArchetypeDemand!$I$56:$AH$100,,MATCH(W$129,ArchetypeDemand!$I$4:$AH$4,0)),ArchetypeDemand!$F$56:$F$100,$F223)*'SHWLP-Apt'!$R$24</f>
        <v>1.2301633313970873E-2</v>
      </c>
      <c r="X223" s="1134">
        <f>SUMIFS(INDEX(ArchetypeDemand!$I$56:$AH$100,,MATCH(X$129,ArchetypeDemand!$I$4:$AH$4,0)),ArchetypeDemand!$F$56:$F$100,$F223)*'SHWLP-Apt'!$R$24</f>
        <v>9.50510450581467E-3</v>
      </c>
      <c r="Y223" s="1134">
        <f>SUMIFS(INDEX(ArchetypeDemand!$I$56:$AH$100,,MATCH(Y$129,ArchetypeDemand!$I$4:$AH$4,0)),ArchetypeDemand!$F$56:$F$100,$F223)*'SHWLP-Apt'!$R$24</f>
        <v>3.070389524293881E-2</v>
      </c>
      <c r="Z223" s="1134">
        <f>SUMIFS(INDEX(ArchetypeDemand!$I$56:$AH$100,,MATCH(Z$129,ArchetypeDemand!$I$4:$AH$4,0)),ArchetypeDemand!$F$56:$F$100,$F223)*'SHWLP-Apt'!$R$24</f>
        <v>1.6596689784450637E-3</v>
      </c>
      <c r="AA223" s="1134">
        <f>SUMIFS(INDEX(ArchetypeDemand!$I$56:$AH$100,,MATCH(AA$129,ArchetypeDemand!$I$4:$AH$4,0)),ArchetypeDemand!$F$56:$F$100,$F223)*'SHWLP-Apt'!$R$24</f>
        <v>7.7915459818015953E-3</v>
      </c>
      <c r="AB223" s="1134">
        <f>SUMIFS(INDEX(ArchetypeDemand!$I$56:$AH$100,,MATCH(AB$129,ArchetypeDemand!$I$4:$AH$4,0)),ArchetypeDemand!$F$56:$F$100,$F223)*'SHWLP-Apt'!$R$24</f>
        <v>2.1638781341550609E-3</v>
      </c>
      <c r="AC223" s="1134">
        <f>SUMIFS(INDEX(ArchetypeDemand!$I$56:$AH$100,,MATCH(AC$129,ArchetypeDemand!$I$4:$AH$4,0)),ArchetypeDemand!$F$56:$F$100,$F223)*'SHWLP-Apt'!$R$24</f>
        <v>4.2250012459896747E-3</v>
      </c>
      <c r="AD223" s="1134">
        <f>SUMIFS(INDEX(ArchetypeDemand!$I$56:$AH$100,,MATCH(AD$129,ArchetypeDemand!$I$4:$AH$4,0)),ArchetypeDemand!$F$56:$F$100,$F223)*'SHWLP-Apt'!$R$24</f>
        <v>4.5833323837908731E-3</v>
      </c>
      <c r="AE223" s="1134">
        <f>SUMIFS(INDEX(ArchetypeDemand!$I$56:$AH$100,,MATCH(AE$129,ArchetypeDemand!$I$4:$AH$4,0)),ArchetypeDemand!$F$56:$F$100,$F223)*'SHWLP-Apt'!$R$24</f>
        <v>7.354671868142303E-3</v>
      </c>
      <c r="AF223" s="1134">
        <f>SUMIFS(INDEX(ArchetypeDemand!$I$56:$AH$100,,MATCH(AF$129,ArchetypeDemand!$I$4:$AH$4,0)),ArchetypeDemand!$F$56:$F$100,$F223)*'SHWLP-Apt'!$R$24</f>
        <v>4.2217726321176867E-3</v>
      </c>
    </row>
    <row r="224" spans="3:32" ht="13.5" thickBot="1">
      <c r="C224" s="1138" t="s">
        <v>1192</v>
      </c>
      <c r="D224" s="1138" t="s">
        <v>1094</v>
      </c>
      <c r="E224" s="1138" t="s">
        <v>1193</v>
      </c>
      <c r="F224" s="1138" t="s">
        <v>1170</v>
      </c>
      <c r="G224" s="1138">
        <f>SUMIFS(INDEX(ArchetypeDemand!$I$56:$AH$100,,MATCH(G$129,ArchetypeDemand!$I$4:$AH$4,0)),ArchetypeDemand!$F$56:$F$100,$F224)*'SHWLP-Apt'!$R$24</f>
        <v>5.11539662439467E-3</v>
      </c>
      <c r="H224" s="1138">
        <f>SUMIFS(INDEX(ArchetypeDemand!$I$56:$AH$100,,MATCH(H$129,ArchetypeDemand!$I$4:$AH$4,0)),ArchetypeDemand!$F$56:$F$100,$F224)*'SHWLP-Apt'!$R$24</f>
        <v>0.25501494258592555</v>
      </c>
      <c r="I224" s="1138">
        <f>SUMIFS(INDEX(ArchetypeDemand!$I$56:$AH$100,,MATCH(I$129,ArchetypeDemand!$I$4:$AH$4,0)),ArchetypeDemand!$F$56:$F$100,$F224)*'SHWLP-Apt'!$R$24</f>
        <v>1.6584660399282938E-2</v>
      </c>
      <c r="J224" s="1138">
        <f>SUMIFS(INDEX(ArchetypeDemand!$I$56:$AH$100,,MATCH(J$129,ArchetypeDemand!$I$4:$AH$4,0)),ArchetypeDemand!$F$56:$F$100,$F224)*'SHWLP-Apt'!$R$24</f>
        <v>7.220506783526222E-3</v>
      </c>
      <c r="K224" s="1138">
        <f>SUMIFS(INDEX(ArchetypeDemand!$I$56:$AH$100,,MATCH(K$129,ArchetypeDemand!$I$4:$AH$4,0)),ArchetypeDemand!$F$56:$F$100,$F224)*'SHWLP-Apt'!$R$24</f>
        <v>5.2122727171679479E-3</v>
      </c>
      <c r="L224" s="1138">
        <f>SUMIFS(INDEX(ArchetypeDemand!$I$56:$AH$100,,MATCH(L$129,ArchetypeDemand!$I$4:$AH$4,0)),ArchetypeDemand!$F$56:$F$100,$F224)*'SHWLP-Apt'!$R$24</f>
        <v>2.6427780259672025E-3</v>
      </c>
      <c r="M224" s="1138">
        <f>SUMIFS(INDEX(ArchetypeDemand!$I$56:$AH$100,,MATCH(M$129,ArchetypeDemand!$I$4:$AH$4,0)),ArchetypeDemand!$F$56:$F$100,$F224)*'SHWLP-Apt'!$R$24</f>
        <v>8.4408906024719937E-3</v>
      </c>
      <c r="N224" s="1138">
        <f>SUMIFS(INDEX(ArchetypeDemand!$I$56:$AH$100,,MATCH(N$129,ArchetypeDemand!$I$4:$AH$4,0)),ArchetypeDemand!$F$56:$F$100,$F224)*'SHWLP-Apt'!$R$24</f>
        <v>8.645208944284017E-3</v>
      </c>
      <c r="O224" s="1138">
        <f>SUMIFS(INDEX(ArchetypeDemand!$I$56:$AH$100,,MATCH(O$129,ArchetypeDemand!$I$4:$AH$4,0)),ArchetypeDemand!$F$56:$F$100,$F224)*'SHWLP-Apt'!$R$24</f>
        <v>6.1542288132339787E-3</v>
      </c>
      <c r="P224" s="1138">
        <f>SUMIFS(INDEX(ArchetypeDemand!$I$56:$AH$100,,MATCH(P$129,ArchetypeDemand!$I$4:$AH$4,0)),ArchetypeDemand!$F$56:$F$100,$F224)*'SHWLP-Apt'!$R$24</f>
        <v>7.778403870235079E-3</v>
      </c>
      <c r="Q224" s="1138">
        <f>SUMIFS(INDEX(ArchetypeDemand!$I$56:$AH$100,,MATCH(Q$129,ArchetypeDemand!$I$4:$AH$4,0)),ArchetypeDemand!$F$56:$F$100,$F224)*'SHWLP-Apt'!$R$24</f>
        <v>1.2480156806238997E-2</v>
      </c>
      <c r="R224" s="1138">
        <f>SUMIFS(INDEX(ArchetypeDemand!$I$56:$AH$100,,MATCH(R$129,ArchetypeDemand!$I$4:$AH$4,0)),ArchetypeDemand!$F$56:$F$100,$F224)*'SHWLP-Apt'!$R$24</f>
        <v>1.6999057252731774E-2</v>
      </c>
      <c r="S224" s="1138">
        <f>SUMIFS(INDEX(ArchetypeDemand!$I$56:$AH$100,,MATCH(S$129,ArchetypeDemand!$I$4:$AH$4,0)),ArchetypeDemand!$F$56:$F$100,$F224)*'SHWLP-Apt'!$R$24</f>
        <v>1.2126227296147728E-2</v>
      </c>
      <c r="T224" s="1138">
        <f>SUMIFS(INDEX(ArchetypeDemand!$I$56:$AH$100,,MATCH(T$129,ArchetypeDemand!$I$4:$AH$4,0)),ArchetypeDemand!$F$56:$F$100,$F224)*'SHWLP-Apt'!$R$24</f>
        <v>6.9666334200339616E-2</v>
      </c>
      <c r="U224" s="1138">
        <f>SUMIFS(INDEX(ArchetypeDemand!$I$56:$AH$100,,MATCH(U$129,ArchetypeDemand!$I$4:$AH$4,0)),ArchetypeDemand!$F$56:$F$100,$F224)*'SHWLP-Apt'!$R$24</f>
        <v>1.238813230645279E-2</v>
      </c>
      <c r="V224" s="1138">
        <f>SUMIFS(INDEX(ArchetypeDemand!$I$56:$AH$100,,MATCH(V$129,ArchetypeDemand!$I$4:$AH$4,0)),ArchetypeDemand!$F$56:$F$100,$F224)*'SHWLP-Apt'!$R$24</f>
        <v>2.078337673936468E-2</v>
      </c>
      <c r="W224" s="1138">
        <f>SUMIFS(INDEX(ArchetypeDemand!$I$56:$AH$100,,MATCH(W$129,ArchetypeDemand!$I$4:$AH$4,0)),ArchetypeDemand!$F$56:$F$100,$F224)*'SHWLP-Apt'!$R$24</f>
        <v>2.0218526040783811E-2</v>
      </c>
      <c r="X224" s="1138">
        <f>SUMIFS(INDEX(ArchetypeDemand!$I$56:$AH$100,,MATCH(X$129,ArchetypeDemand!$I$4:$AH$4,0)),ArchetypeDemand!$F$56:$F$100,$F224)*'SHWLP-Apt'!$R$24</f>
        <v>1.148216624302412E-2</v>
      </c>
      <c r="Y224" s="1138">
        <f>SUMIFS(INDEX(ArchetypeDemand!$I$56:$AH$100,,MATCH(Y$129,ArchetypeDemand!$I$4:$AH$4,0)),ArchetypeDemand!$F$56:$F$100,$F224)*'SHWLP-Apt'!$R$24</f>
        <v>2.2486087986740479E-2</v>
      </c>
      <c r="Z224" s="1138">
        <f>SUMIFS(INDEX(ArchetypeDemand!$I$56:$AH$100,,MATCH(Z$129,ArchetypeDemand!$I$4:$AH$4,0)),ArchetypeDemand!$F$56:$F$100,$F224)*'SHWLP-Apt'!$R$24</f>
        <v>1.5932822193072611E-3</v>
      </c>
      <c r="AA224" s="1138">
        <f>SUMIFS(INDEX(ArchetypeDemand!$I$56:$AH$100,,MATCH(AA$129,ArchetypeDemand!$I$4:$AH$4,0)),ArchetypeDemand!$F$56:$F$100,$F224)*'SHWLP-Apt'!$R$24</f>
        <v>8.5975679799190022E-3</v>
      </c>
      <c r="AB224" s="1138">
        <f>SUMIFS(INDEX(ArchetypeDemand!$I$56:$AH$100,,MATCH(AB$129,ArchetypeDemand!$I$4:$AH$4,0)),ArchetypeDemand!$F$56:$F$100,$F224)*'SHWLP-Apt'!$R$24</f>
        <v>3.6619476116470265E-3</v>
      </c>
      <c r="AC224" s="1138">
        <f>SUMIFS(INDEX(ArchetypeDemand!$I$56:$AH$100,,MATCH(AC$129,ArchetypeDemand!$I$4:$AH$4,0)),ArchetypeDemand!$F$56:$F$100,$F224)*'SHWLP-Apt'!$R$24</f>
        <v>2.8547305716146447E-3</v>
      </c>
      <c r="AD224" s="1138">
        <f>SUMIFS(INDEX(ArchetypeDemand!$I$56:$AH$100,,MATCH(AD$129,ArchetypeDemand!$I$4:$AH$4,0)),ArchetypeDemand!$F$56:$F$100,$F224)*'SHWLP-Apt'!$R$24</f>
        <v>5.4999988605490468E-3</v>
      </c>
      <c r="AE224" s="1138">
        <f>SUMIFS(INDEX(ArchetypeDemand!$I$56:$AH$100,,MATCH(AE$129,ArchetypeDemand!$I$4:$AH$4,0)),ArchetypeDemand!$F$56:$F$100,$F224)*'SHWLP-Apt'!$R$24</f>
        <v>8.9147537795664263E-3</v>
      </c>
      <c r="AF224" s="1138">
        <f>SUMIFS(INDEX(ArchetypeDemand!$I$56:$AH$100,,MATCH(AF$129,ArchetypeDemand!$I$4:$AH$4,0)),ArchetypeDemand!$F$56:$F$100,$F224)*'SHWLP-Apt'!$R$24</f>
        <v>1.0554431580294218E-2</v>
      </c>
    </row>
    <row r="225" spans="3:32" ht="13.5" thickBot="1">
      <c r="C225" s="1141" t="s">
        <v>1194</v>
      </c>
      <c r="D225" s="1141" t="s">
        <v>1094</v>
      </c>
      <c r="E225" s="1141" t="s">
        <v>1193</v>
      </c>
      <c r="F225" s="1141" t="s">
        <v>934</v>
      </c>
      <c r="G225" s="1141">
        <f>SUM(ArchetypeDemand!I56:I100)*'SHWLP-Apt'!$R$50</f>
        <v>8.1311317927507676E-2</v>
      </c>
      <c r="H225" s="1141">
        <f>SUM(ArchetypeDemand!J56:J100)*'SHWLP-Apt'!$R$50</f>
        <v>7.8822433047765372</v>
      </c>
      <c r="I225" s="1141">
        <f>SUM(ArchetypeDemand!K56:K100)*'SHWLP-Apt'!$R$50</f>
        <v>0.47069204615954624</v>
      </c>
      <c r="J225" s="1141">
        <f>SUM(ArchetypeDemand!L56:L100)*'SHWLP-Apt'!$R$50</f>
        <v>0.11194788241823996</v>
      </c>
      <c r="K225" s="1141">
        <f>SUM(ArchetypeDemand!M56:M100)*'SHWLP-Apt'!$R$50</f>
        <v>9.1724822545681942E-2</v>
      </c>
      <c r="L225" s="1141">
        <f>SUM(ArchetypeDemand!N56:N100)*'SHWLP-Apt'!$R$50</f>
        <v>4.4196165512697096E-2</v>
      </c>
      <c r="M225" s="1141">
        <f>SUM(ArchetypeDemand!O56:O100)*'SHWLP-Apt'!$R$50</f>
        <v>0.19424031221173421</v>
      </c>
      <c r="N225" s="1141">
        <f>SUM(ArchetypeDemand!P56:P100)*'SHWLP-Apt'!$R$50</f>
        <v>0.34589677018954268</v>
      </c>
      <c r="O225" s="1141">
        <f>SUM(ArchetypeDemand!Q56:Q100)*'SHWLP-Apt'!$R$50</f>
        <v>7.512447705605825E-2</v>
      </c>
      <c r="P225" s="1141">
        <f>SUM(ArchetypeDemand!R56:R100)*'SHWLP-Apt'!$R$50</f>
        <v>0.18466163588378692</v>
      </c>
      <c r="Q225" s="1141">
        <f>SUM(ArchetypeDemand!S56:S100)*'SHWLP-Apt'!$R$50</f>
        <v>0.1706005143219462</v>
      </c>
      <c r="R225" s="1141">
        <f>SUM(ArchetypeDemand!T56:T100)*'SHWLP-Apt'!$R$50</f>
        <v>0.28848204814816675</v>
      </c>
      <c r="S225" s="1141">
        <f>SUM(ArchetypeDemand!U56:U100)*'SHWLP-Apt'!$R$50</f>
        <v>0.1592383867509119</v>
      </c>
      <c r="T225" s="1141">
        <f>SUM(ArchetypeDemand!V56:V100)*'SHWLP-Apt'!$R$50</f>
        <v>1.1610747421632204</v>
      </c>
      <c r="U225" s="1141">
        <f>SUM(ArchetypeDemand!W56:W100)*'SHWLP-Apt'!$R$50</f>
        <v>0.18575540105036009</v>
      </c>
      <c r="V225" s="1141">
        <f>SUM(ArchetypeDemand!X56:X100)*'SHWLP-Apt'!$R$50</f>
        <v>0.47691328996616589</v>
      </c>
      <c r="W225" s="1141">
        <f>SUM(ArchetypeDemand!Y56:Y100)*'SHWLP-Apt'!$R$50</f>
        <v>0.15227180783243841</v>
      </c>
      <c r="X225" s="1141">
        <f>SUM(ArchetypeDemand!Z56:Z100)*'SHWLP-Apt'!$R$50</f>
        <v>0.20449026835044587</v>
      </c>
      <c r="Y225" s="1141">
        <f>SUM(ArchetypeDemand!AA56:AA100)*'SHWLP-Apt'!$R$50</f>
        <v>0.63162870351929623</v>
      </c>
      <c r="Z225" s="1141">
        <f>SUM(ArchetypeDemand!AB56:AB100)*'SHWLP-Apt'!$R$50</f>
        <v>3.4709963807634359E-2</v>
      </c>
      <c r="AA225" s="1141">
        <f>SUM(ArchetypeDemand!AC56:AC100)*'SHWLP-Apt'!$R$50</f>
        <v>0.13687242080126674</v>
      </c>
      <c r="AB225" s="1141">
        <f>SUM(ArchetypeDemand!AD56:AD100)*'SHWLP-Apt'!$R$50</f>
        <v>4.3238626550232966E-2</v>
      </c>
      <c r="AC225" s="1141">
        <f>SUM(ArchetypeDemand!AE56:AE100)*'SHWLP-Apt'!$R$50</f>
        <v>0.10713550526186959</v>
      </c>
      <c r="AD225" s="1141">
        <f>SUM(ArchetypeDemand!AF56:AF100)*'SHWLP-Apt'!$R$50</f>
        <v>8.1245361313827147E-2</v>
      </c>
      <c r="AE225" s="1141">
        <f>SUM(ArchetypeDemand!AG56:AG100)*'SHWLP-Apt'!$R$50</f>
        <v>0.1529594714847354</v>
      </c>
      <c r="AF225" s="1141">
        <f>SUM(ArchetypeDemand!AH56:AH100)*'SHWLP-Apt'!$R$50</f>
        <v>6.5679821896837867E-2</v>
      </c>
    </row>
    <row r="226" spans="3:32" ht="15.75" thickBot="1">
      <c r="C226" s="1137" t="s">
        <v>1207</v>
      </c>
      <c r="D226" s="1137"/>
      <c r="E226" s="1137"/>
      <c r="F226" s="1137"/>
      <c r="G226" s="1137"/>
      <c r="H226" s="1137"/>
      <c r="I226" s="1137"/>
      <c r="J226" s="1137"/>
      <c r="K226" s="1137"/>
      <c r="L226" s="1137"/>
      <c r="M226" s="1137"/>
      <c r="N226" s="1137"/>
      <c r="O226" s="1137"/>
      <c r="P226" s="1137"/>
      <c r="Q226" s="1137"/>
      <c r="R226" s="1137"/>
      <c r="S226" s="1137"/>
      <c r="T226" s="1137"/>
      <c r="U226" s="1137"/>
      <c r="V226" s="1137"/>
      <c r="W226" s="1137"/>
      <c r="X226" s="1137"/>
      <c r="Y226" s="1137"/>
      <c r="Z226" s="1137"/>
      <c r="AA226" s="1137"/>
      <c r="AB226" s="1137"/>
      <c r="AC226" s="1137"/>
      <c r="AD226" s="1137"/>
      <c r="AE226" s="1137"/>
      <c r="AF226" s="1137"/>
    </row>
    <row r="227" spans="3:32" ht="13.5" thickBot="1">
      <c r="C227" s="1141" t="s">
        <v>1195</v>
      </c>
      <c r="D227" s="1141" t="s">
        <v>1094</v>
      </c>
      <c r="E227" s="1141" t="s">
        <v>836</v>
      </c>
      <c r="F227" s="1141" t="s">
        <v>934</v>
      </c>
      <c r="G227" s="1141">
        <f>SUM(ArchetypeDemand!I56:I100)*'SHWLP-Apt'!$R$51</f>
        <v>1.2720844329746312E-2</v>
      </c>
      <c r="H227" s="1141">
        <f>SUM(ArchetypeDemand!J56:J100)*'SHWLP-Apt'!$R$51</f>
        <v>1.2331467820831672</v>
      </c>
      <c r="I227" s="1141">
        <f>SUM(ArchetypeDemand!K56:K100)*'SHWLP-Apt'!$R$51</f>
        <v>7.3637968231969136E-2</v>
      </c>
      <c r="J227" s="1141">
        <f>SUM(ArchetypeDemand!L56:L100)*'SHWLP-Apt'!$R$51</f>
        <v>1.7513817529766173E-2</v>
      </c>
      <c r="K227" s="1141">
        <f>SUM(ArchetypeDemand!M56:M100)*'SHWLP-Apt'!$R$51</f>
        <v>1.4349997251520254E-2</v>
      </c>
      <c r="L227" s="1141">
        <f>SUM(ArchetypeDemand!N56:N100)*'SHWLP-Apt'!$R$51</f>
        <v>6.9143208570294915E-3</v>
      </c>
      <c r="M227" s="1141">
        <f>SUM(ArchetypeDemand!O56:O100)*'SHWLP-Apt'!$R$51</f>
        <v>3.0388153054039788E-2</v>
      </c>
      <c r="N227" s="1141">
        <f>SUM(ArchetypeDemand!P56:P100)*'SHWLP-Apt'!$R$51</f>
        <v>5.41142251766977E-2</v>
      </c>
      <c r="O227" s="1141">
        <f>SUM(ArchetypeDemand!Q56:Q100)*'SHWLP-Apt'!$R$51</f>
        <v>1.1752936766265591E-2</v>
      </c>
      <c r="P227" s="1141">
        <f>SUM(ArchetypeDemand!R56:R100)*'SHWLP-Apt'!$R$51</f>
        <v>2.8889605821519504E-2</v>
      </c>
      <c r="Q227" s="1141">
        <f>SUM(ArchetypeDemand!S56:S100)*'SHWLP-Apt'!$R$51</f>
        <v>2.6689797196485478E-2</v>
      </c>
      <c r="R227" s="1141">
        <f>SUM(ArchetypeDemand!T56:T100)*'SHWLP-Apt'!$R$51</f>
        <v>4.5131911767694211E-2</v>
      </c>
      <c r="S227" s="1141">
        <f>SUM(ArchetypeDemand!U56:U100)*'SHWLP-Apt'!$R$51</f>
        <v>2.4912235846235253E-2</v>
      </c>
      <c r="T227" s="1141">
        <f>SUM(ArchetypeDemand!V56:V100)*'SHWLP-Apt'!$R$51</f>
        <v>0.18164569738528383</v>
      </c>
      <c r="U227" s="1141">
        <f>SUM(ArchetypeDemand!W56:W100)*'SHWLP-Apt'!$R$51</f>
        <v>2.90607211935478E-2</v>
      </c>
      <c r="V227" s="1141">
        <f>SUM(ArchetypeDemand!X56:X100)*'SHWLP-Apt'!$R$51</f>
        <v>7.4611258002920372E-2</v>
      </c>
      <c r="W227" s="1141">
        <f>SUM(ArchetypeDemand!Y56:Y100)*'SHWLP-Apt'!$R$51</f>
        <v>2.3822341251096567E-2</v>
      </c>
      <c r="X227" s="1141">
        <f>SUM(ArchetypeDemand!Z56:Z100)*'SHWLP-Apt'!$R$51</f>
        <v>3.1991719442467099E-2</v>
      </c>
      <c r="Y227" s="1141">
        <f>SUM(ArchetypeDemand!AA56:AA100)*'SHWLP-Apt'!$R$51</f>
        <v>9.8815892011882622E-2</v>
      </c>
      <c r="Z227" s="1141">
        <f>SUM(ArchetypeDemand!AB56:AB100)*'SHWLP-Apt'!$R$51</f>
        <v>5.430240925152585E-3</v>
      </c>
      <c r="AA227" s="1141">
        <f>SUM(ArchetypeDemand!AC56:AC100)*'SHWLP-Apt'!$R$51</f>
        <v>2.1413166117916518E-2</v>
      </c>
      <c r="AB227" s="1141">
        <f>SUM(ArchetypeDemand!AD56:AD100)*'SHWLP-Apt'!$R$51</f>
        <v>6.7645175529921298E-3</v>
      </c>
      <c r="AC227" s="1141">
        <f>SUM(ArchetypeDemand!AE56:AE100)*'SHWLP-Apt'!$R$51</f>
        <v>1.6760939551367246E-2</v>
      </c>
      <c r="AD227" s="1141">
        <f>SUM(ArchetypeDemand!AF56:AF100)*'SHWLP-Apt'!$R$51</f>
        <v>1.2710525670099259E-2</v>
      </c>
      <c r="AE227" s="1141">
        <f>SUM(ArchetypeDemand!AG56:AG100)*'SHWLP-Apt'!$R$51</f>
        <v>2.3929923596273828E-2</v>
      </c>
      <c r="AF227" s="1141">
        <f>SUM(ArchetypeDemand!AH56:AH100)*'SHWLP-Apt'!$R$51</f>
        <v>1.0275356632394301E-2</v>
      </c>
    </row>
  </sheetData>
  <mergeCells count="3">
    <mergeCell ref="C121:D123"/>
    <mergeCell ref="C124:D126"/>
    <mergeCell ref="C128:H128"/>
  </mergeCells>
  <phoneticPr fontId="24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zoomScale="70" zoomScaleNormal="70" workbookViewId="0">
      <selection activeCell="F125" sqref="F125"/>
    </sheetView>
  </sheetViews>
  <sheetFormatPr defaultRowHeight="12.75"/>
  <cols>
    <col min="1" max="2" width="9.140625" style="1164"/>
    <col min="3" max="3" width="23.42578125" style="1164" customWidth="1"/>
    <col min="4" max="4" width="17.28515625" style="1164" customWidth="1"/>
    <col min="5" max="5" width="11.5703125" style="1164" customWidth="1"/>
    <col min="6" max="6" width="9.7109375" style="1164" customWidth="1"/>
    <col min="7" max="7" width="9.140625" style="1164" customWidth="1"/>
    <col min="8" max="32" width="9.140625" style="1164"/>
    <col min="33" max="33" width="9.140625" style="1167"/>
    <col min="34" max="36" width="9.140625" style="1164"/>
    <col min="37" max="37" width="13.42578125" style="1164" customWidth="1"/>
    <col min="38" max="39" width="9.140625" style="1164"/>
    <col min="40" max="40" width="18.85546875" style="1164" customWidth="1"/>
    <col min="41" max="41" width="9.140625" style="1164"/>
    <col min="42" max="42" width="13.42578125" style="1164" customWidth="1"/>
    <col min="43" max="43" width="14.140625" style="1164" bestFit="1" customWidth="1"/>
    <col min="44" max="44" width="14.7109375" style="1164" bestFit="1" customWidth="1"/>
    <col min="45" max="45" width="15.5703125" style="1164" bestFit="1" customWidth="1"/>
    <col min="46" max="46" width="12.7109375" style="1164" bestFit="1" customWidth="1"/>
    <col min="47" max="47" width="17" style="1164" bestFit="1" customWidth="1"/>
    <col min="48" max="48" width="17" style="1164" customWidth="1"/>
    <col min="49" max="49" width="13.7109375" style="1164" bestFit="1" customWidth="1"/>
    <col min="50" max="50" width="14" style="1164" bestFit="1" customWidth="1"/>
    <col min="51" max="51" width="18.42578125" style="1164" bestFit="1" customWidth="1"/>
    <col min="52" max="52" width="16.5703125" style="1164" bestFit="1" customWidth="1"/>
    <col min="53" max="53" width="16.28515625" style="1164" bestFit="1" customWidth="1"/>
    <col min="54" max="54" width="13.28515625" style="1164" bestFit="1" customWidth="1"/>
    <col min="55" max="55" width="13" style="1164" bestFit="1" customWidth="1"/>
    <col min="56" max="56" width="13.28515625" style="1164" bestFit="1" customWidth="1"/>
    <col min="57" max="57" width="15.5703125" style="1164" bestFit="1" customWidth="1"/>
    <col min="58" max="58" width="17.28515625" style="1164" bestFit="1" customWidth="1"/>
    <col min="59" max="59" width="13.5703125" style="1164" customWidth="1"/>
    <col min="60" max="60" width="14.85546875" style="1164" bestFit="1" customWidth="1"/>
    <col min="61" max="61" width="12.7109375" style="1164" customWidth="1"/>
    <col min="62" max="62" width="13.7109375" style="1164" bestFit="1" customWidth="1"/>
    <col min="63" max="63" width="13.85546875" style="1164" customWidth="1"/>
    <col min="64" max="64" width="12.7109375" style="1164" bestFit="1" customWidth="1"/>
    <col min="65" max="65" width="13.42578125" style="1164" customWidth="1"/>
    <col min="66" max="66" width="16.140625" style="1164" bestFit="1" customWidth="1"/>
    <col min="67" max="67" width="13.7109375" style="1164" customWidth="1"/>
    <col min="68" max="16384" width="9.140625" style="1164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ht="15.95" customHeight="1" thickBot="1">
      <c r="D4" s="501" t="s">
        <v>1095</v>
      </c>
      <c r="AE4" s="1167"/>
      <c r="AG4" s="1164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F5" s="1167"/>
      <c r="AG5" s="1164"/>
      <c r="AL5" s="1144" t="s">
        <v>401</v>
      </c>
      <c r="AM5" s="1144" t="s">
        <v>48</v>
      </c>
      <c r="AN5" s="1135">
        <f>SUMIFS(Table91517[Count of EnergyRating],Table91517[MainSpaceHeatingFuel],AL5,Table91517[EnergyRating (group)],AM5,Table91517[CountyName (group)],AN$4)</f>
        <v>51</v>
      </c>
      <c r="AO5" s="1164">
        <f>SUMIFS(Table91517[Count of EnergyRating],Table91517[MainSpaceHeatingFuel],AL5,Table91517[EnergyRating (group)],AM5,Table91517[CountyName (group)],AO$4)</f>
        <v>22</v>
      </c>
      <c r="AP5" s="1164">
        <f>SUMIFS(Table91517[Count of EnergyRating],Table91517[MainSpaceHeatingFuel],AL5,Table91517[EnergyRating (group)],AM5,Table91517[CountyName (group)],AP$4)</f>
        <v>48</v>
      </c>
      <c r="AQ5" s="1164">
        <f>SUMIFS(Table91517[Count of EnergyRating],Table91517[MainSpaceHeatingFuel],AL5,Table91517[EnergyRating (group)],AM5,Table91517[CountyName (group)],AQ$4)</f>
        <v>56</v>
      </c>
      <c r="AR5" s="1164">
        <f>SUMIFS(Table91517[Count of EnergyRating],Table91517[MainSpaceHeatingFuel],AL5,Table91517[EnergyRating (group)],AM5,Table91517[CountyName (group)],AR$4)</f>
        <v>20</v>
      </c>
      <c r="AS5" s="1164">
        <f>SUMIFS(Table91517[Count of EnergyRating],Table91517[MainSpaceHeatingFuel],AL5,Table91517[EnergyRating (group)],AM5,Table91517[CountyName (group)],AS$4)</f>
        <v>4</v>
      </c>
      <c r="AT5" s="1164">
        <f>SUMIFS(Table91517[Count of EnergyRating],Table91517[MainSpaceHeatingFuel],AL5,Table91517[EnergyRating (group)],AM5,Table91517[CountyName (group)],AT$4)</f>
        <v>30</v>
      </c>
      <c r="AU5" s="1164">
        <f>SUMIFS(Table91517[Count of EnergyRating],Table91517[MainSpaceHeatingFuel],AL5,Table91517[EnergyRating (group)],AM5,Table91517[CountyName (group)],AU$4)</f>
        <v>56</v>
      </c>
      <c r="AV5" s="1164">
        <f>SUMIFS(Table91517[Count of EnergyRating],Table91517[MainSpaceHeatingFuel],AL5,Table91517[EnergyRating (group)],AM5,Table91517[CountyName (group)],AV$4)</f>
        <v>31</v>
      </c>
      <c r="AW5" s="1164">
        <f>SUMIFS(Table91517[Count of EnergyRating],Table91517[MainSpaceHeatingFuel],AL5,Table91517[EnergyRating (group)],AM5,Table91517[CountyName (group)],AW$4)</f>
        <v>10</v>
      </c>
      <c r="AX5" s="1164">
        <f>SUMIFS(Table91517[Count of EnergyRating],Table91517[MainSpaceHeatingFuel],AL5,Table91517[EnergyRating (group)],AM5,Table91517[CountyName (group)],AX$4)</f>
        <v>169</v>
      </c>
      <c r="AY5" s="1164">
        <f>SUMIFS(Table91517[Count of EnergyRating],Table91517[MainSpaceHeatingFuel],AL5,Table91517[EnergyRating (group)],AM5,Table91517[CountyName (group)],AY$4)</f>
        <v>25</v>
      </c>
      <c r="AZ5" s="1164">
        <f>SUMIFS(Table91517[Count of EnergyRating],Table91517[MainSpaceHeatingFuel],AL5,Table91517[EnergyRating (group)],AM5,Table91517[CountyName (group)],AZ$4)</f>
        <v>24</v>
      </c>
      <c r="BA5" s="1164">
        <f>SUMIFS(Table91517[Count of EnergyRating],Table91517[MainSpaceHeatingFuel],AL5,Table91517[EnergyRating (group)],AM5,Table91517[CountyName (group)],BA$4)</f>
        <v>256</v>
      </c>
      <c r="BB5" s="1164">
        <f>SUMIFS(Table91517[Count of EnergyRating],Table91517[MainSpaceHeatingFuel],AL5,Table91517[EnergyRating (group)],AM5,Table91517[CountyName (group)],BB$4)</f>
        <v>43</v>
      </c>
      <c r="BC5" s="1164">
        <f>SUMIFS(Table91517[Count of EnergyRating],Table91517[MainSpaceHeatingFuel],AL5,Table91517[EnergyRating (group)],AM5,Table91517[CountyName (group)],BC$4)</f>
        <v>26</v>
      </c>
      <c r="BD5" s="1164">
        <f>SUMIFS(Table91517[Count of EnergyRating],Table91517[MainSpaceHeatingFuel],AL5,Table91517[EnergyRating (group)],AM5,Table91517[CountyName (group)],BD$4)</f>
        <v>41</v>
      </c>
      <c r="BE5" s="1164">
        <f>SUMIFS(Table91517[Count of EnergyRating],Table91517[MainSpaceHeatingFuel],AL5,Table91517[EnergyRating (group)],AM5,Table91517[CountyName (group)],BE$4)</f>
        <v>38</v>
      </c>
      <c r="BF5" s="1164">
        <f>SUMIFS(Table91517[Count of EnergyRating],Table91517[MainSpaceHeatingFuel],AL5,Table91517[EnergyRating (group)],AM5,Table91517[CountyName (group)],BF$4)</f>
        <v>85</v>
      </c>
      <c r="BG5" s="1164">
        <f>SUMIFS(Table91517[Count of EnergyRating],Table91517[MainSpaceHeatingFuel],AL5,Table91517[EnergyRating (group)],AM5,Table91517[CountyName (group)],BG$4)</f>
        <v>3</v>
      </c>
      <c r="BH5" s="1164">
        <f>SUMIFS(Table91517[Count of EnergyRating],Table91517[MainSpaceHeatingFuel],AL5,Table91517[EnergyRating (group)],AM5,Table91517[CountyName (group)],BH$4)</f>
        <v>80</v>
      </c>
      <c r="BI5" s="1164">
        <f>SUMIFS(Table91517[Count of EnergyRating],Table91517[MainSpaceHeatingFuel],AL5,Table91517[EnergyRating (group)],AM5,Table91517[CountyName (group)],BI$4)</f>
        <v>11</v>
      </c>
      <c r="BJ5" s="1164">
        <f>SUMIFS(Table91517[Count of EnergyRating],Table91517[MainSpaceHeatingFuel],AL5,Table91517[EnergyRating (group)],AM5,Table91517[CountyName (group)],BJ$4)</f>
        <v>22</v>
      </c>
      <c r="BK5" s="1135">
        <f>SUMIFS(Table91517[Count of EnergyRating],Table91517[MainSpaceHeatingFuel],AL5,Table91517[EnergyRating (group)],AM5,Table91517[CountyName (group)],BK$4)</f>
        <v>21</v>
      </c>
      <c r="BL5" s="1164">
        <f>SUMIFS(Table91517[Count of EnergyRating],Table91517[MainSpaceHeatingFuel],AL5,Table91517[EnergyRating (group)],AM5,Table91517[CountyName (group)],BL$4)</f>
        <v>84</v>
      </c>
      <c r="BM5" s="1164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39" t="s">
        <v>1208</v>
      </c>
      <c r="C6" s="1139" t="s">
        <v>1210</v>
      </c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F6" s="1167"/>
      <c r="AG6" s="1164"/>
      <c r="AL6" s="1144" t="s">
        <v>401</v>
      </c>
      <c r="AM6" s="1144" t="s">
        <v>50</v>
      </c>
      <c r="AN6" s="1135">
        <f>SUMIFS(Table91517[Count of EnergyRating],Table91517[MainSpaceHeatingFuel],AL6,Table91517[EnergyRating (group)],AM6,Table91517[CountyName (group)],AN$4)</f>
        <v>31</v>
      </c>
      <c r="AO6" s="1164">
        <f>SUMIFS(Table91517[Count of EnergyRating],Table91517[MainSpaceHeatingFuel],AL6,Table91517[EnergyRating (group)],AM6,Table91517[CountyName (group)],AO$4)</f>
        <v>20</v>
      </c>
      <c r="AP6" s="1164">
        <f>SUMIFS(Table91517[Count of EnergyRating],Table91517[MainSpaceHeatingFuel],AL6,Table91517[EnergyRating (group)],AM6,Table91517[CountyName (group)],AP$4)</f>
        <v>59</v>
      </c>
      <c r="AQ6" s="1164">
        <f>SUMIFS(Table91517[Count of EnergyRating],Table91517[MainSpaceHeatingFuel],AL6,Table91517[EnergyRating (group)],AM6,Table91517[CountyName (group)],AQ$4)</f>
        <v>29</v>
      </c>
      <c r="AR6" s="1164">
        <f>SUMIFS(Table91517[Count of EnergyRating],Table91517[MainSpaceHeatingFuel],AL6,Table91517[EnergyRating (group)],AM6,Table91517[CountyName (group)],AR$4)</f>
        <v>21</v>
      </c>
      <c r="AS6" s="1164">
        <f>SUMIFS(Table91517[Count of EnergyRating],Table91517[MainSpaceHeatingFuel],AL6,Table91517[EnergyRating (group)],AM6,Table91517[CountyName (group)],AS$4)</f>
        <v>29</v>
      </c>
      <c r="AT6" s="1164">
        <f>SUMIFS(Table91517[Count of EnergyRating],Table91517[MainSpaceHeatingFuel],AL6,Table91517[EnergyRating (group)],AM6,Table91517[CountyName (group)],AT$4)</f>
        <v>43</v>
      </c>
      <c r="AU6" s="1164">
        <f>SUMIFS(Table91517[Count of EnergyRating],Table91517[MainSpaceHeatingFuel],AL6,Table91517[EnergyRating (group)],AM6,Table91517[CountyName (group)],AU$4)</f>
        <v>48</v>
      </c>
      <c r="AV6" s="1164">
        <f>SUMIFS(Table91517[Count of EnergyRating],Table91517[MainSpaceHeatingFuel],AL6,Table91517[EnergyRating (group)],AM6,Table91517[CountyName (group)],AV$4)</f>
        <v>28</v>
      </c>
      <c r="AW6" s="1164">
        <f>SUMIFS(Table91517[Count of EnergyRating],Table91517[MainSpaceHeatingFuel],AL6,Table91517[EnergyRating (group)],AM6,Table91517[CountyName (group)],AW$4)</f>
        <v>22</v>
      </c>
      <c r="AX6" s="1164">
        <f>SUMIFS(Table91517[Count of EnergyRating],Table91517[MainSpaceHeatingFuel],AL6,Table91517[EnergyRating (group)],AM6,Table91517[CountyName (group)],AX$4)</f>
        <v>80</v>
      </c>
      <c r="AY6" s="1164">
        <f>SUMIFS(Table91517[Count of EnergyRating],Table91517[MainSpaceHeatingFuel],AL6,Table91517[EnergyRating (group)],AM6,Table91517[CountyName (group)],AY$4)</f>
        <v>24</v>
      </c>
      <c r="AZ6" s="1164">
        <f>SUMIFS(Table91517[Count of EnergyRating],Table91517[MainSpaceHeatingFuel],AL6,Table91517[EnergyRating (group)],AM6,Table91517[CountyName (group)],AZ$4)</f>
        <v>46</v>
      </c>
      <c r="BA6" s="1164">
        <f>SUMIFS(Table91517[Count of EnergyRating],Table91517[MainSpaceHeatingFuel],AL6,Table91517[EnergyRating (group)],AM6,Table91517[CountyName (group)],BA$4)</f>
        <v>195</v>
      </c>
      <c r="BB6" s="1164">
        <f>SUMIFS(Table91517[Count of EnergyRating],Table91517[MainSpaceHeatingFuel],AL6,Table91517[EnergyRating (group)],AM6,Table91517[CountyName (group)],BB$4)</f>
        <v>128</v>
      </c>
      <c r="BC6" s="1164">
        <f>SUMIFS(Table91517[Count of EnergyRating],Table91517[MainSpaceHeatingFuel],AL6,Table91517[EnergyRating (group)],AM6,Table91517[CountyName (group)],BC$4)</f>
        <v>47</v>
      </c>
      <c r="BD6" s="1164">
        <f>SUMIFS(Table91517[Count of EnergyRating],Table91517[MainSpaceHeatingFuel],AL6,Table91517[EnergyRating (group)],AM6,Table91517[CountyName (group)],BD$4)</f>
        <v>67</v>
      </c>
      <c r="BE6" s="1164">
        <f>SUMIFS(Table91517[Count of EnergyRating],Table91517[MainSpaceHeatingFuel],AL6,Table91517[EnergyRating (group)],AM6,Table91517[CountyName (group)],BE$4)</f>
        <v>49</v>
      </c>
      <c r="BF6" s="1164">
        <f>SUMIFS(Table91517[Count of EnergyRating],Table91517[MainSpaceHeatingFuel],AL6,Table91517[EnergyRating (group)],AM6,Table91517[CountyName (group)],BF$4)</f>
        <v>118</v>
      </c>
      <c r="BG6" s="1164">
        <f>SUMIFS(Table91517[Count of EnergyRating],Table91517[MainSpaceHeatingFuel],AL6,Table91517[EnergyRating (group)],AM6,Table91517[CountyName (group)],BG$4)</f>
        <v>16</v>
      </c>
      <c r="BH6" s="1164">
        <f>SUMIFS(Table91517[Count of EnergyRating],Table91517[MainSpaceHeatingFuel],AL6,Table91517[EnergyRating (group)],AM6,Table91517[CountyName (group)],BH$4)</f>
        <v>58</v>
      </c>
      <c r="BI6" s="1164">
        <f>SUMIFS(Table91517[Count of EnergyRating],Table91517[MainSpaceHeatingFuel],AL6,Table91517[EnergyRating (group)],AM6,Table91517[CountyName (group)],BI$4)</f>
        <v>11</v>
      </c>
      <c r="BJ6" s="1164">
        <f>SUMIFS(Table91517[Count of EnergyRating],Table91517[MainSpaceHeatingFuel],AL6,Table91517[EnergyRating (group)],AM6,Table91517[CountyName (group)],BJ$4)</f>
        <v>45</v>
      </c>
      <c r="BK6" s="1135">
        <f>SUMIFS(Table91517[Count of EnergyRating],Table91517[MainSpaceHeatingFuel],AL6,Table91517[EnergyRating (group)],AM6,Table91517[CountyName (group)],BK$4)</f>
        <v>21</v>
      </c>
      <c r="BL6" s="1164">
        <f>SUMIFS(Table91517[Count of EnergyRating],Table91517[MainSpaceHeatingFuel],AL6,Table91517[EnergyRating (group)],AM6,Table91517[CountyName (group)],BL$4)</f>
        <v>74</v>
      </c>
      <c r="BM6" s="1164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34" t="s">
        <v>1259</v>
      </c>
      <c r="C7" s="1134" t="s">
        <v>1223</v>
      </c>
      <c r="D7" s="1134" t="s">
        <v>1094</v>
      </c>
      <c r="E7" s="1145">
        <f t="shared" ref="E7:AD7" si="0">IFERROR(G130*((SUM(AN$5:AN$8)/SUM(AN$5:AN$13))/(SUM(G$130)/SUM(G$130:G$135))),G130)</f>
        <v>0.87899557787066485</v>
      </c>
      <c r="F7" s="1145">
        <f t="shared" si="0"/>
        <v>2.7267286896206682</v>
      </c>
      <c r="G7" s="1145">
        <f t="shared" si="0"/>
        <v>2.7312336620362205</v>
      </c>
      <c r="H7" s="1145">
        <f t="shared" si="0"/>
        <v>1.3965667570314282</v>
      </c>
      <c r="I7" s="1145">
        <f t="shared" si="0"/>
        <v>0.92321264098374689</v>
      </c>
      <c r="J7" s="1145">
        <f t="shared" si="0"/>
        <v>0.84244033534457818</v>
      </c>
      <c r="K7" s="1145">
        <f t="shared" si="0"/>
        <v>1.5713056277047655</v>
      </c>
      <c r="L7" s="1145">
        <f t="shared" si="0"/>
        <v>2.554703528119127</v>
      </c>
      <c r="M7" s="1145">
        <f t="shared" si="0"/>
        <v>1.053015785519364</v>
      </c>
      <c r="N7" s="1145">
        <f t="shared" si="0"/>
        <v>1.157821905449308</v>
      </c>
      <c r="O7" s="1145">
        <f t="shared" si="0"/>
        <v>2.7767945005670023</v>
      </c>
      <c r="P7" s="1145">
        <f t="shared" si="0"/>
        <v>1.5171935796092755</v>
      </c>
      <c r="Q7" s="1145">
        <f t="shared" si="0"/>
        <v>1.7657990917073985</v>
      </c>
      <c r="R7" s="1145">
        <f t="shared" si="0"/>
        <v>9.5858792200269747</v>
      </c>
      <c r="S7" s="1145">
        <f t="shared" si="0"/>
        <v>3.4696649975230485</v>
      </c>
      <c r="T7" s="1145">
        <f t="shared" si="0"/>
        <v>2.0642742649417278</v>
      </c>
      <c r="U7" s="1145">
        <f t="shared" si="0"/>
        <v>2.1904709458040101</v>
      </c>
      <c r="V7" s="1145">
        <f t="shared" si="0"/>
        <v>1.6507186490577508</v>
      </c>
      <c r="W7" s="1145">
        <f t="shared" si="0"/>
        <v>4.7174764529061726</v>
      </c>
      <c r="X7" s="1145">
        <f t="shared" si="0"/>
        <v>0.64851972760161281</v>
      </c>
      <c r="Y7" s="1145">
        <f t="shared" si="0"/>
        <v>2.1693121420413002</v>
      </c>
      <c r="Z7" s="1145">
        <f t="shared" si="0"/>
        <v>1.0656331368492997</v>
      </c>
      <c r="AA7" s="1145">
        <f t="shared" si="0"/>
        <v>1.1326452413251273</v>
      </c>
      <c r="AB7" s="1145">
        <f t="shared" si="0"/>
        <v>1.5860458881256227</v>
      </c>
      <c r="AC7" s="1145">
        <f t="shared" si="0"/>
        <v>2.7821864530975851</v>
      </c>
      <c r="AD7" s="1145">
        <f t="shared" si="0"/>
        <v>1.256634965951978</v>
      </c>
      <c r="AE7" s="1172">
        <f>SUM(E7:AD7)</f>
        <v>56.21527376681577</v>
      </c>
      <c r="AG7" s="1164"/>
      <c r="AL7" s="1144" t="s">
        <v>401</v>
      </c>
      <c r="AM7" s="1144" t="s">
        <v>52</v>
      </c>
      <c r="AN7" s="1135">
        <f>SUMIFS(Table91517[Count of EnergyRating],Table91517[MainSpaceHeatingFuel],AL7,Table91517[EnergyRating (group)],AM7,Table91517[CountyName (group)],AN$4)</f>
        <v>69</v>
      </c>
      <c r="AO7" s="1164">
        <f>SUMIFS(Table91517[Count of EnergyRating],Table91517[MainSpaceHeatingFuel],AL7,Table91517[EnergyRating (group)],AM7,Table91517[CountyName (group)],AO$4)</f>
        <v>89</v>
      </c>
      <c r="AP7" s="1164">
        <f>SUMIFS(Table91517[Count of EnergyRating],Table91517[MainSpaceHeatingFuel],AL7,Table91517[EnergyRating (group)],AM7,Table91517[CountyName (group)],AP$4)</f>
        <v>178</v>
      </c>
      <c r="AQ7" s="1164">
        <f>SUMIFS(Table91517[Count of EnergyRating],Table91517[MainSpaceHeatingFuel],AL7,Table91517[EnergyRating (group)],AM7,Table91517[CountyName (group)],AQ$4)</f>
        <v>73</v>
      </c>
      <c r="AR7" s="1164">
        <f>SUMIFS(Table91517[Count of EnergyRating],Table91517[MainSpaceHeatingFuel],AL7,Table91517[EnergyRating (group)],AM7,Table91517[CountyName (group)],AR$4)</f>
        <v>60</v>
      </c>
      <c r="AS7" s="1164">
        <f>SUMIFS(Table91517[Count of EnergyRating],Table91517[MainSpaceHeatingFuel],AL7,Table91517[EnergyRating (group)],AM7,Table91517[CountyName (group)],AS$4)</f>
        <v>77</v>
      </c>
      <c r="AT7" s="1164">
        <f>SUMIFS(Table91517[Count of EnergyRating],Table91517[MainSpaceHeatingFuel],AL7,Table91517[EnergyRating (group)],AM7,Table91517[CountyName (group)],AT$4)</f>
        <v>125</v>
      </c>
      <c r="AU7" s="1164">
        <f>SUMIFS(Table91517[Count of EnergyRating],Table91517[MainSpaceHeatingFuel],AL7,Table91517[EnergyRating (group)],AM7,Table91517[CountyName (group)],AU$4)</f>
        <v>165</v>
      </c>
      <c r="AV7" s="1164">
        <f>SUMIFS(Table91517[Count of EnergyRating],Table91517[MainSpaceHeatingFuel],AL7,Table91517[EnergyRating (group)],AM7,Table91517[CountyName (group)],AV$4)</f>
        <v>66</v>
      </c>
      <c r="AW7" s="1164">
        <f>SUMIFS(Table91517[Count of EnergyRating],Table91517[MainSpaceHeatingFuel],AL7,Table91517[EnergyRating (group)],AM7,Table91517[CountyName (group)],AW$4)</f>
        <v>82</v>
      </c>
      <c r="AX7" s="1164">
        <f>SUMIFS(Table91517[Count of EnergyRating],Table91517[MainSpaceHeatingFuel],AL7,Table91517[EnergyRating (group)],AM7,Table91517[CountyName (group)],AX$4)</f>
        <v>289</v>
      </c>
      <c r="AY7" s="1164">
        <f>SUMIFS(Table91517[Count of EnergyRating],Table91517[MainSpaceHeatingFuel],AL7,Table91517[EnergyRating (group)],AM7,Table91517[CountyName (group)],AY$4)</f>
        <v>104</v>
      </c>
      <c r="AZ7" s="1164">
        <f>SUMIFS(Table91517[Count of EnergyRating],Table91517[MainSpaceHeatingFuel],AL7,Table91517[EnergyRating (group)],AM7,Table91517[CountyName (group)],AZ$4)</f>
        <v>163</v>
      </c>
      <c r="BA7" s="1164">
        <f>SUMIFS(Table91517[Count of EnergyRating],Table91517[MainSpaceHeatingFuel],AL7,Table91517[EnergyRating (group)],AM7,Table91517[CountyName (group)],BA$4)</f>
        <v>617</v>
      </c>
      <c r="BB7" s="1164">
        <f>SUMIFS(Table91517[Count of EnergyRating],Table91517[MainSpaceHeatingFuel],AL7,Table91517[EnergyRating (group)],AM7,Table91517[CountyName (group)],BB$4)</f>
        <v>391</v>
      </c>
      <c r="BC7" s="1164">
        <f>SUMIFS(Table91517[Count of EnergyRating],Table91517[MainSpaceHeatingFuel],AL7,Table91517[EnergyRating (group)],AM7,Table91517[CountyName (group)],BC$4)</f>
        <v>164</v>
      </c>
      <c r="BD7" s="1164">
        <f>SUMIFS(Table91517[Count of EnergyRating],Table91517[MainSpaceHeatingFuel],AL7,Table91517[EnergyRating (group)],AM7,Table91517[CountyName (group)],BD$4)</f>
        <v>194</v>
      </c>
      <c r="BE7" s="1164">
        <f>SUMIFS(Table91517[Count of EnergyRating],Table91517[MainSpaceHeatingFuel],AL7,Table91517[EnergyRating (group)],AM7,Table91517[CountyName (group)],BE$4)</f>
        <v>134</v>
      </c>
      <c r="BF7" s="1164">
        <f>SUMIFS(Table91517[Count of EnergyRating],Table91517[MainSpaceHeatingFuel],AL7,Table91517[EnergyRating (group)],AM7,Table91517[CountyName (group)],BF$4)</f>
        <v>410</v>
      </c>
      <c r="BG7" s="1164">
        <f>SUMIFS(Table91517[Count of EnergyRating],Table91517[MainSpaceHeatingFuel],AL7,Table91517[EnergyRating (group)],AM7,Table91517[CountyName (group)],BG$4)</f>
        <v>66</v>
      </c>
      <c r="BH7" s="1164">
        <f>SUMIFS(Table91517[Count of EnergyRating],Table91517[MainSpaceHeatingFuel],AL7,Table91517[EnergyRating (group)],AM7,Table91517[CountyName (group)],BH$4)</f>
        <v>163</v>
      </c>
      <c r="BI7" s="1164">
        <f>SUMIFS(Table91517[Count of EnergyRating],Table91517[MainSpaceHeatingFuel],AL7,Table91517[EnergyRating (group)],AM7,Table91517[CountyName (group)],BI$4)</f>
        <v>72</v>
      </c>
      <c r="BJ7" s="1164">
        <f>SUMIFS(Table91517[Count of EnergyRating],Table91517[MainSpaceHeatingFuel],AL7,Table91517[EnergyRating (group)],AM7,Table91517[CountyName (group)],BJ$4)</f>
        <v>93</v>
      </c>
      <c r="BK7" s="1135">
        <f>SUMIFS(Table91517[Count of EnergyRating],Table91517[MainSpaceHeatingFuel],AL7,Table91517[EnergyRating (group)],AM7,Table91517[CountyName (group)],BK$4)</f>
        <v>150</v>
      </c>
      <c r="BL7" s="1164">
        <f>SUMIFS(Table91517[Count of EnergyRating],Table91517[MainSpaceHeatingFuel],AL7,Table91517[EnergyRating (group)],AM7,Table91517[CountyName (group)],BL$4)</f>
        <v>213</v>
      </c>
      <c r="BM7" s="1164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36" t="s">
        <v>56</v>
      </c>
      <c r="C8" s="1136" t="s">
        <v>1223</v>
      </c>
      <c r="D8" s="1136" t="s">
        <v>1094</v>
      </c>
      <c r="E8" s="1146">
        <f t="shared" ref="E8:N12" si="1">IFERROR(G131*((SUM(AN9)/SUM(AN$5:AN$13))/(SUM(G131)/SUM(G$130:G$135))),G131)</f>
        <v>2.8022679533825468</v>
      </c>
      <c r="F8" s="1146">
        <f t="shared" si="1"/>
        <v>11.322982351449316</v>
      </c>
      <c r="G8" s="1146">
        <f t="shared" si="1"/>
        <v>8.4825814695932618</v>
      </c>
      <c r="H8" s="1146">
        <f t="shared" si="1"/>
        <v>5.4732116239850725</v>
      </c>
      <c r="I8" s="1146">
        <f t="shared" si="1"/>
        <v>4.7778633584932049</v>
      </c>
      <c r="J8" s="1146">
        <f t="shared" si="1"/>
        <v>2.6958090731026498</v>
      </c>
      <c r="K8" s="1146">
        <f t="shared" si="1"/>
        <v>4.5950246372552446</v>
      </c>
      <c r="L8" s="1146">
        <f t="shared" si="1"/>
        <v>9.2231840407408594</v>
      </c>
      <c r="M8" s="1146">
        <f t="shared" si="1"/>
        <v>4.6500697081339428</v>
      </c>
      <c r="N8" s="1146">
        <f t="shared" si="1"/>
        <v>4.7463030428683561</v>
      </c>
      <c r="O8" s="1146">
        <f t="shared" ref="O8:X12" si="2">IFERROR(Q131*((SUM(AX9)/SUM(AX$5:AX$13))/(SUM(Q131)/SUM(Q$130:Q$135))),Q131)</f>
        <v>10.873133894363075</v>
      </c>
      <c r="P8" s="1146">
        <f t="shared" si="2"/>
        <v>5.8751515187536318</v>
      </c>
      <c r="Q8" s="1146">
        <f t="shared" si="2"/>
        <v>7.8757363087720753</v>
      </c>
      <c r="R8" s="1146">
        <f t="shared" si="2"/>
        <v>24.721477988490619</v>
      </c>
      <c r="S8" s="1146">
        <f t="shared" si="2"/>
        <v>10.625421896551215</v>
      </c>
      <c r="T8" s="1146">
        <f t="shared" si="2"/>
        <v>8.4575646393019355</v>
      </c>
      <c r="U8" s="1146">
        <f t="shared" si="2"/>
        <v>8.8338598274374203</v>
      </c>
      <c r="V8" s="1146">
        <f t="shared" si="2"/>
        <v>5.3862549690707926</v>
      </c>
      <c r="W8" s="1146">
        <f t="shared" si="2"/>
        <v>16.496260634785664</v>
      </c>
      <c r="X8" s="1146">
        <f t="shared" si="2"/>
        <v>2.6286666292118706</v>
      </c>
      <c r="Y8" s="1146">
        <f t="shared" ref="Y8:AD12" si="3">IFERROR(AA131*((SUM(BH9)/SUM(BH$5:BH$13))/(SUM(AA131)/SUM(AA$130:AA$135))),AA131)</f>
        <v>9.5832691398681344</v>
      </c>
      <c r="Z8" s="1146">
        <f t="shared" si="3"/>
        <v>5.1615026818008731</v>
      </c>
      <c r="AA8" s="1146">
        <f t="shared" si="3"/>
        <v>3.8051263685840024</v>
      </c>
      <c r="AB8" s="1146">
        <f t="shared" si="3"/>
        <v>5.3442330528999111</v>
      </c>
      <c r="AC8" s="1146">
        <f t="shared" si="3"/>
        <v>12.108887899007909</v>
      </c>
      <c r="AD8" s="1146">
        <f t="shared" si="3"/>
        <v>3.5796946424636999</v>
      </c>
      <c r="AE8" s="1173">
        <f t="shared" ref="AE8:AE79" si="4">SUM(E8:AD8)</f>
        <v>200.12553935036723</v>
      </c>
      <c r="AG8" s="1164"/>
      <c r="AL8" s="1144" t="s">
        <v>401</v>
      </c>
      <c r="AM8" s="1144" t="s">
        <v>54</v>
      </c>
      <c r="AN8" s="1135">
        <f>SUMIFS(Table91517[Count of EnergyRating],Table91517[MainSpaceHeatingFuel],AL8,Table91517[EnergyRating (group)],AM8,Table91517[CountyName (group)],AN$4)</f>
        <v>200</v>
      </c>
      <c r="AO8" s="1164">
        <f>SUMIFS(Table91517[Count of EnergyRating],Table91517[MainSpaceHeatingFuel],AL8,Table91517[EnergyRating (group)],AM8,Table91517[CountyName (group)],AO$4)</f>
        <v>236</v>
      </c>
      <c r="AP8" s="1164">
        <f>SUMIFS(Table91517[Count of EnergyRating],Table91517[MainSpaceHeatingFuel],AL8,Table91517[EnergyRating (group)],AM8,Table91517[CountyName (group)],AP$4)</f>
        <v>547</v>
      </c>
      <c r="AQ8" s="1164">
        <f>SUMIFS(Table91517[Count of EnergyRating],Table91517[MainSpaceHeatingFuel],AL8,Table91517[EnergyRating (group)],AM8,Table91517[CountyName (group)],AQ$4)</f>
        <v>262</v>
      </c>
      <c r="AR8" s="1164">
        <f>SUMIFS(Table91517[Count of EnergyRating],Table91517[MainSpaceHeatingFuel],AL8,Table91517[EnergyRating (group)],AM8,Table91517[CountyName (group)],AR$4)</f>
        <v>190</v>
      </c>
      <c r="AS8" s="1164">
        <f>SUMIFS(Table91517[Count of EnergyRating],Table91517[MainSpaceHeatingFuel],AL8,Table91517[EnergyRating (group)],AM8,Table91517[CountyName (group)],AS$4)</f>
        <v>230</v>
      </c>
      <c r="AT8" s="1164">
        <f>SUMIFS(Table91517[Count of EnergyRating],Table91517[MainSpaceHeatingFuel],AL8,Table91517[EnergyRating (group)],AM8,Table91517[CountyName (group)],AT$4)</f>
        <v>291</v>
      </c>
      <c r="AU8" s="1164">
        <f>SUMIFS(Table91517[Count of EnergyRating],Table91517[MainSpaceHeatingFuel],AL8,Table91517[EnergyRating (group)],AM8,Table91517[CountyName (group)],AU$4)</f>
        <v>529</v>
      </c>
      <c r="AV8" s="1164">
        <f>SUMIFS(Table91517[Count of EnergyRating],Table91517[MainSpaceHeatingFuel],AL8,Table91517[EnergyRating (group)],AM8,Table91517[CountyName (group)],AV$4)</f>
        <v>226</v>
      </c>
      <c r="AW8" s="1164">
        <f>SUMIFS(Table91517[Count of EnergyRating],Table91517[MainSpaceHeatingFuel],AL8,Table91517[EnergyRating (group)],AM8,Table91517[CountyName (group)],AW$4)</f>
        <v>339</v>
      </c>
      <c r="AX8" s="1164">
        <f>SUMIFS(Table91517[Count of EnergyRating],Table91517[MainSpaceHeatingFuel],AL8,Table91517[EnergyRating (group)],AM8,Table91517[CountyName (group)],AX$4)</f>
        <v>862</v>
      </c>
      <c r="AY8" s="1164">
        <f>SUMIFS(Table91517[Count of EnergyRating],Table91517[MainSpaceHeatingFuel],AL8,Table91517[EnergyRating (group)],AM8,Table91517[CountyName (group)],AY$4)</f>
        <v>372</v>
      </c>
      <c r="AZ8" s="1164">
        <f>SUMIFS(Table91517[Count of EnergyRating],Table91517[MainSpaceHeatingFuel],AL8,Table91517[EnergyRating (group)],AM8,Table91517[CountyName (group)],AZ$4)</f>
        <v>545</v>
      </c>
      <c r="BA8" s="1164">
        <f>SUMIFS(Table91517[Count of EnergyRating],Table91517[MainSpaceHeatingFuel],AL8,Table91517[EnergyRating (group)],AM8,Table91517[CountyName (group)],BA$4)</f>
        <v>2048</v>
      </c>
      <c r="BB8" s="1164">
        <f>SUMIFS(Table91517[Count of EnergyRating],Table91517[MainSpaceHeatingFuel],AL8,Table91517[EnergyRating (group)],AM8,Table91517[CountyName (group)],BB$4)</f>
        <v>961</v>
      </c>
      <c r="BC8" s="1164">
        <f>SUMIFS(Table91517[Count of EnergyRating],Table91517[MainSpaceHeatingFuel],AL8,Table91517[EnergyRating (group)],AM8,Table91517[CountyName (group)],BC$4)</f>
        <v>525</v>
      </c>
      <c r="BD8" s="1164">
        <f>SUMIFS(Table91517[Count of EnergyRating],Table91517[MainSpaceHeatingFuel],AL8,Table91517[EnergyRating (group)],AM8,Table91517[CountyName (group)],BD$4)</f>
        <v>611</v>
      </c>
      <c r="BE8" s="1164">
        <f>SUMIFS(Table91517[Count of EnergyRating],Table91517[MainSpaceHeatingFuel],AL8,Table91517[EnergyRating (group)],AM8,Table91517[CountyName (group)],BE$4)</f>
        <v>357</v>
      </c>
      <c r="BF8" s="1164">
        <f>SUMIFS(Table91517[Count of EnergyRating],Table91517[MainSpaceHeatingFuel],AL8,Table91517[EnergyRating (group)],AM8,Table91517[CountyName (group)],BF$4)</f>
        <v>1444</v>
      </c>
      <c r="BG8" s="1164">
        <f>SUMIFS(Table91517[Count of EnergyRating],Table91517[MainSpaceHeatingFuel],AL8,Table91517[EnergyRating (group)],AM8,Table91517[CountyName (group)],BG$4)</f>
        <v>215</v>
      </c>
      <c r="BH8" s="1164">
        <f>SUMIFS(Table91517[Count of EnergyRating],Table91517[MainSpaceHeatingFuel],AL8,Table91517[EnergyRating (group)],AM8,Table91517[CountyName (group)],BH$4)</f>
        <v>628</v>
      </c>
      <c r="BI8" s="1164">
        <f>SUMIFS(Table91517[Count of EnergyRating],Table91517[MainSpaceHeatingFuel],AL8,Table91517[EnergyRating (group)],AM8,Table91517[CountyName (group)],BI$4)</f>
        <v>328</v>
      </c>
      <c r="BJ8" s="1164">
        <f>SUMIFS(Table91517[Count of EnergyRating],Table91517[MainSpaceHeatingFuel],AL8,Table91517[EnergyRating (group)],AM8,Table91517[CountyName (group)],BJ$4)</f>
        <v>324</v>
      </c>
      <c r="BK8" s="1135">
        <f>SUMIFS(Table91517[Count of EnergyRating],Table91517[MainSpaceHeatingFuel],AL8,Table91517[EnergyRating (group)],AM8,Table91517[CountyName (group)],BK$4)</f>
        <v>471</v>
      </c>
      <c r="BL8" s="1164">
        <f>SUMIFS(Table91517[Count of EnergyRating],Table91517[MainSpaceHeatingFuel],AL8,Table91517[EnergyRating (group)],AM8,Table91517[CountyName (group)],BL$4)</f>
        <v>807</v>
      </c>
      <c r="BM8" s="1164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34" t="s">
        <v>58</v>
      </c>
      <c r="C9" s="1134" t="s">
        <v>1223</v>
      </c>
      <c r="D9" s="1134" t="s">
        <v>1094</v>
      </c>
      <c r="E9" s="1145">
        <f t="shared" si="1"/>
        <v>1.9558277672848701</v>
      </c>
      <c r="F9" s="1145">
        <f t="shared" si="1"/>
        <v>10.305102704370212</v>
      </c>
      <c r="G9" s="1145">
        <f t="shared" si="1"/>
        <v>5.59705936751413</v>
      </c>
      <c r="H9" s="1145">
        <f t="shared" si="1"/>
        <v>4.026767482773951</v>
      </c>
      <c r="I9" s="1145">
        <f t="shared" si="1"/>
        <v>3.1566892707176226</v>
      </c>
      <c r="J9" s="1145">
        <f t="shared" si="1"/>
        <v>1.7344359845329549</v>
      </c>
      <c r="K9" s="1145">
        <f t="shared" si="1"/>
        <v>3.3321961879955859</v>
      </c>
      <c r="L9" s="1145">
        <f t="shared" si="1"/>
        <v>6.463592009113432</v>
      </c>
      <c r="M9" s="1145">
        <f t="shared" si="1"/>
        <v>3.1350469967741748</v>
      </c>
      <c r="N9" s="1145">
        <f t="shared" si="1"/>
        <v>3.1309753513805791</v>
      </c>
      <c r="O9" s="1145">
        <f t="shared" si="2"/>
        <v>6.3588594062984338</v>
      </c>
      <c r="P9" s="1145">
        <f t="shared" si="2"/>
        <v>4.447544607654617</v>
      </c>
      <c r="Q9" s="1145">
        <f t="shared" si="2"/>
        <v>4.7277114499055424</v>
      </c>
      <c r="R9" s="1145">
        <f t="shared" si="2"/>
        <v>15.126369744824338</v>
      </c>
      <c r="S9" s="1145">
        <f t="shared" si="2"/>
        <v>6.761632115987136</v>
      </c>
      <c r="T9" s="1145">
        <f t="shared" si="2"/>
        <v>6.826733789571068</v>
      </c>
      <c r="U9" s="1145">
        <f t="shared" si="2"/>
        <v>6.8545186113494587</v>
      </c>
      <c r="V9" s="1145">
        <f t="shared" si="2"/>
        <v>3.752671807719524</v>
      </c>
      <c r="W9" s="1145">
        <f t="shared" si="2"/>
        <v>10.035817675215078</v>
      </c>
      <c r="X9" s="1145">
        <f t="shared" si="2"/>
        <v>1.4245816682982095</v>
      </c>
      <c r="Y9" s="1145">
        <f t="shared" si="3"/>
        <v>6.8605372156268469</v>
      </c>
      <c r="Z9" s="1145">
        <f t="shared" si="3"/>
        <v>3.1438702734061095</v>
      </c>
      <c r="AA9" s="1145">
        <f t="shared" si="3"/>
        <v>2.6467391899560311</v>
      </c>
      <c r="AB9" s="1145">
        <f t="shared" si="3"/>
        <v>2.9328691686908197</v>
      </c>
      <c r="AC9" s="1145">
        <f t="shared" si="3"/>
        <v>7.2412425001673988</v>
      </c>
      <c r="AD9" s="1145">
        <f t="shared" si="3"/>
        <v>2.6941255845719825</v>
      </c>
      <c r="AE9" s="1172">
        <f t="shared" si="4"/>
        <v>134.6735179317001</v>
      </c>
      <c r="AG9" s="1164"/>
      <c r="AL9" s="1144" t="s">
        <v>401</v>
      </c>
      <c r="AM9" s="1144" t="s">
        <v>56</v>
      </c>
      <c r="AN9" s="1135">
        <f>SUMIFS(Table91517[Count of EnergyRating],Table91517[MainSpaceHeatingFuel],AL9,Table91517[EnergyRating (group)],AM9,Table91517[CountyName (group)],AN$4)</f>
        <v>1119</v>
      </c>
      <c r="AO9" s="1164">
        <f>SUMIFS(Table91517[Count of EnergyRating],Table91517[MainSpaceHeatingFuel],AL9,Table91517[EnergyRating (group)],AM9,Table91517[CountyName (group)],AO$4)</f>
        <v>1524</v>
      </c>
      <c r="AP9" s="1164">
        <f>SUMIFS(Table91517[Count of EnergyRating],Table91517[MainSpaceHeatingFuel],AL9,Table91517[EnergyRating (group)],AM9,Table91517[CountyName (group)],AP$4)</f>
        <v>2584</v>
      </c>
      <c r="AQ9" s="1164">
        <f>SUMIFS(Table91517[Count of EnergyRating],Table91517[MainSpaceHeatingFuel],AL9,Table91517[EnergyRating (group)],AM9,Table91517[CountyName (group)],AQ$4)</f>
        <v>1646</v>
      </c>
      <c r="AR9" s="1164">
        <f>SUMIFS(Table91517[Count of EnergyRating],Table91517[MainSpaceHeatingFuel],AL9,Table91517[EnergyRating (group)],AM9,Table91517[CountyName (group)],AR$4)</f>
        <v>1506</v>
      </c>
      <c r="AS9" s="1164">
        <f>SUMIFS(Table91517[Count of EnergyRating],Table91517[MainSpaceHeatingFuel],AL9,Table91517[EnergyRating (group)],AM9,Table91517[CountyName (group)],AS$4)</f>
        <v>1088</v>
      </c>
      <c r="AT9" s="1164">
        <f>SUMIFS(Table91517[Count of EnergyRating],Table91517[MainSpaceHeatingFuel],AL9,Table91517[EnergyRating (group)],AM9,Table91517[CountyName (group)],AT$4)</f>
        <v>1430</v>
      </c>
      <c r="AU9" s="1164">
        <f>SUMIFS(Table91517[Count of EnergyRating],Table91517[MainSpaceHeatingFuel],AL9,Table91517[EnergyRating (group)],AM9,Table91517[CountyName (group)],AU$4)</f>
        <v>2881</v>
      </c>
      <c r="AV9" s="1164">
        <f>SUMIFS(Table91517[Count of EnergyRating],Table91517[MainSpaceHeatingFuel],AL9,Table91517[EnergyRating (group)],AM9,Table91517[CountyName (group)],AV$4)</f>
        <v>1550</v>
      </c>
      <c r="AW9" s="1164">
        <f>SUMIFS(Table91517[Count of EnergyRating],Table91517[MainSpaceHeatingFuel],AL9,Table91517[EnergyRating (group)],AM9,Table91517[CountyName (group)],AW$4)</f>
        <v>1857</v>
      </c>
      <c r="AX9" s="1164">
        <f>SUMIFS(Table91517[Count of EnergyRating],Table91517[MainSpaceHeatingFuel],AL9,Table91517[EnergyRating (group)],AM9,Table91517[CountyName (group)],AX$4)</f>
        <v>5482</v>
      </c>
      <c r="AY9" s="1164">
        <f>SUMIFS(Table91517[Count of EnergyRating],Table91517[MainSpaceHeatingFuel],AL9,Table91517[EnergyRating (group)],AM9,Table91517[CountyName (group)],AY$4)</f>
        <v>2033</v>
      </c>
      <c r="AZ9" s="1164">
        <f>SUMIFS(Table91517[Count of EnergyRating],Table91517[MainSpaceHeatingFuel],AL9,Table91517[EnergyRating (group)],AM9,Table91517[CountyName (group)],AZ$4)</f>
        <v>3470</v>
      </c>
      <c r="BA9" s="1164">
        <f>SUMIFS(Table91517[Count of EnergyRating],Table91517[MainSpaceHeatingFuel],AL9,Table91517[EnergyRating (group)],AM9,Table91517[CountyName (group)],BA$4)</f>
        <v>8036</v>
      </c>
      <c r="BB9" s="1164">
        <f>SUMIFS(Table91517[Count of EnergyRating],Table91517[MainSpaceHeatingFuel],AL9,Table91517[EnergyRating (group)],AM9,Table91517[CountyName (group)],BB$4)</f>
        <v>4664</v>
      </c>
      <c r="BC9" s="1164">
        <f>SUMIFS(Table91517[Count of EnergyRating],Table91517[MainSpaceHeatingFuel],AL9,Table91517[EnergyRating (group)],AM9,Table91517[CountyName (group)],BC$4)</f>
        <v>3122</v>
      </c>
      <c r="BD9" s="1164">
        <f>SUMIFS(Table91517[Count of EnergyRating],Table91517[MainSpaceHeatingFuel],AL9,Table91517[EnergyRating (group)],AM9,Table91517[CountyName (group)],BD$4)</f>
        <v>3682</v>
      </c>
      <c r="BE9" s="1164">
        <f>SUMIFS(Table91517[Count of EnergyRating],Table91517[MainSpaceHeatingFuel],AL9,Table91517[EnergyRating (group)],AM9,Table91517[CountyName (group)],BE$4)</f>
        <v>1886</v>
      </c>
      <c r="BF9" s="1164">
        <f>SUMIFS(Table91517[Count of EnergyRating],Table91517[MainSpaceHeatingFuel],AL9,Table91517[EnergyRating (group)],AM9,Table91517[CountyName (group)],BF$4)</f>
        <v>7193</v>
      </c>
      <c r="BG9" s="1164">
        <f>SUMIFS(Table91517[Count of EnergyRating],Table91517[MainSpaceHeatingFuel],AL9,Table91517[EnergyRating (group)],AM9,Table91517[CountyName (group)],BG$4)</f>
        <v>1216</v>
      </c>
      <c r="BH9" s="1164">
        <f>SUMIFS(Table91517[Count of EnergyRating],Table91517[MainSpaceHeatingFuel],AL9,Table91517[EnergyRating (group)],AM9,Table91517[CountyName (group)],BH$4)</f>
        <v>4104</v>
      </c>
      <c r="BI9" s="1164">
        <f>SUMIFS(Table91517[Count of EnergyRating],Table91517[MainSpaceHeatingFuel],AL9,Table91517[EnergyRating (group)],AM9,Table91517[CountyName (group)],BI$4)</f>
        <v>2044</v>
      </c>
      <c r="BJ9" s="1164">
        <f>SUMIFS(Table91517[Count of EnergyRating],Table91517[MainSpaceHeatingFuel],AL9,Table91517[EnergyRating (group)],AM9,Table91517[CountyName (group)],BJ$4)</f>
        <v>1626</v>
      </c>
      <c r="BK9" s="1135">
        <f>SUMIFS(Table91517[Count of EnergyRating],Table91517[MainSpaceHeatingFuel],AL9,Table91517[EnergyRating (group)],AM9,Table91517[CountyName (group)],BK$4)</f>
        <v>2234</v>
      </c>
      <c r="BL9" s="1164">
        <f>SUMIFS(Table91517[Count of EnergyRating],Table91517[MainSpaceHeatingFuel],AL9,Table91517[EnergyRating (group)],AM9,Table91517[CountyName (group)],BL$4)</f>
        <v>5127</v>
      </c>
      <c r="BM9" s="1164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36" t="s">
        <v>60</v>
      </c>
      <c r="C10" s="1136" t="s">
        <v>1223</v>
      </c>
      <c r="D10" s="1136" t="s">
        <v>1094</v>
      </c>
      <c r="E10" s="1146">
        <f t="shared" si="1"/>
        <v>0.84894444700329152</v>
      </c>
      <c r="F10" s="1146">
        <f t="shared" si="1"/>
        <v>6.7090899365870937</v>
      </c>
      <c r="G10" s="1146">
        <f t="shared" si="1"/>
        <v>2.2388237470056516</v>
      </c>
      <c r="H10" s="1146">
        <f t="shared" si="1"/>
        <v>1.7224323336720946</v>
      </c>
      <c r="I10" s="1146">
        <f t="shared" si="1"/>
        <v>1.1833619075152493</v>
      </c>
      <c r="J10" s="1146">
        <f t="shared" si="1"/>
        <v>0.68881886242880208</v>
      </c>
      <c r="K10" s="1146">
        <f t="shared" si="1"/>
        <v>1.7898102957700497</v>
      </c>
      <c r="L10" s="1146">
        <f t="shared" si="1"/>
        <v>2.7147726714849871</v>
      </c>
      <c r="M10" s="1146">
        <f t="shared" si="1"/>
        <v>1.1370170447630736</v>
      </c>
      <c r="N10" s="1146">
        <f t="shared" si="1"/>
        <v>1.2958404107346559</v>
      </c>
      <c r="O10" s="1146">
        <f t="shared" si="2"/>
        <v>1.8783031371692507</v>
      </c>
      <c r="P10" s="1146">
        <f t="shared" si="2"/>
        <v>1.8495312208570212</v>
      </c>
      <c r="Q10" s="1146">
        <f t="shared" si="2"/>
        <v>1.9292149459528134</v>
      </c>
      <c r="R10" s="1146">
        <f t="shared" si="2"/>
        <v>6.0973082843688902</v>
      </c>
      <c r="S10" s="1146">
        <f t="shared" si="2"/>
        <v>2.4217031466625087</v>
      </c>
      <c r="T10" s="1146">
        <f t="shared" si="2"/>
        <v>2.6250416833707795</v>
      </c>
      <c r="U10" s="1146">
        <f t="shared" si="2"/>
        <v>3.104566707415541</v>
      </c>
      <c r="V10" s="1146">
        <f t="shared" si="2"/>
        <v>1.2908734072216321</v>
      </c>
      <c r="W10" s="1146">
        <f t="shared" si="2"/>
        <v>3.9423150328370009</v>
      </c>
      <c r="X10" s="1146">
        <f t="shared" si="2"/>
        <v>0.74795941916719333</v>
      </c>
      <c r="Y10" s="1146">
        <f t="shared" si="3"/>
        <v>2.713391505976309</v>
      </c>
      <c r="Z10" s="1146">
        <f t="shared" si="3"/>
        <v>1.4545134758890916</v>
      </c>
      <c r="AA10" s="1146">
        <f t="shared" si="3"/>
        <v>1.1490264741542098</v>
      </c>
      <c r="AB10" s="1146">
        <f t="shared" si="3"/>
        <v>1.2439575593142138</v>
      </c>
      <c r="AC10" s="1146">
        <f t="shared" si="3"/>
        <v>3.0892189139657393</v>
      </c>
      <c r="AD10" s="1146">
        <f t="shared" si="3"/>
        <v>1.1880345459744508</v>
      </c>
      <c r="AE10" s="1173">
        <f t="shared" si="4"/>
        <v>57.053871117261608</v>
      </c>
      <c r="AG10" s="1164"/>
      <c r="AL10" s="1144" t="s">
        <v>401</v>
      </c>
      <c r="AM10" s="1144" t="s">
        <v>58</v>
      </c>
      <c r="AN10" s="1135">
        <f>SUMIFS(Table91517[Count of EnergyRating],Table91517[MainSpaceHeatingFuel],AL10,Table91517[EnergyRating (group)],AM10,Table91517[CountyName (group)],AN$4)</f>
        <v>781</v>
      </c>
      <c r="AO10" s="1164">
        <f>SUMIFS(Table91517[Count of EnergyRating],Table91517[MainSpaceHeatingFuel],AL10,Table91517[EnergyRating (group)],AM10,Table91517[CountyName (group)],AO$4)</f>
        <v>1387</v>
      </c>
      <c r="AP10" s="1164">
        <f>SUMIFS(Table91517[Count of EnergyRating],Table91517[MainSpaceHeatingFuel],AL10,Table91517[EnergyRating (group)],AM10,Table91517[CountyName (group)],AP$4)</f>
        <v>1705</v>
      </c>
      <c r="AQ10" s="1164">
        <f>SUMIFS(Table91517[Count of EnergyRating],Table91517[MainSpaceHeatingFuel],AL10,Table91517[EnergyRating (group)],AM10,Table91517[CountyName (group)],AQ$4)</f>
        <v>1211</v>
      </c>
      <c r="AR10" s="1164">
        <f>SUMIFS(Table91517[Count of EnergyRating],Table91517[MainSpaceHeatingFuel],AL10,Table91517[EnergyRating (group)],AM10,Table91517[CountyName (group)],AR$4)</f>
        <v>995</v>
      </c>
      <c r="AS10" s="1164">
        <f>SUMIFS(Table91517[Count of EnergyRating],Table91517[MainSpaceHeatingFuel],AL10,Table91517[EnergyRating (group)],AM10,Table91517[CountyName (group)],AS$4)</f>
        <v>700</v>
      </c>
      <c r="AT10" s="1164">
        <f>SUMIFS(Table91517[Count of EnergyRating],Table91517[MainSpaceHeatingFuel],AL10,Table91517[EnergyRating (group)],AM10,Table91517[CountyName (group)],AT$4)</f>
        <v>1037</v>
      </c>
      <c r="AU10" s="1164">
        <f>SUMIFS(Table91517[Count of EnergyRating],Table91517[MainSpaceHeatingFuel],AL10,Table91517[EnergyRating (group)],AM10,Table91517[CountyName (group)],AU$4)</f>
        <v>2019</v>
      </c>
      <c r="AV10" s="1164">
        <f>SUMIFS(Table91517[Count of EnergyRating],Table91517[MainSpaceHeatingFuel],AL10,Table91517[EnergyRating (group)],AM10,Table91517[CountyName (group)],AV$4)</f>
        <v>1045</v>
      </c>
      <c r="AW10" s="1164">
        <f>SUMIFS(Table91517[Count of EnergyRating],Table91517[MainSpaceHeatingFuel],AL10,Table91517[EnergyRating (group)],AM10,Table91517[CountyName (group)],AW$4)</f>
        <v>1225</v>
      </c>
      <c r="AX10" s="1164">
        <f>SUMIFS(Table91517[Count of EnergyRating],Table91517[MainSpaceHeatingFuel],AL10,Table91517[EnergyRating (group)],AM10,Table91517[CountyName (group)],AX$4)</f>
        <v>3206</v>
      </c>
      <c r="AY10" s="1164">
        <f>SUMIFS(Table91517[Count of EnergyRating],Table91517[MainSpaceHeatingFuel],AL10,Table91517[EnergyRating (group)],AM10,Table91517[CountyName (group)],AY$4)</f>
        <v>1539</v>
      </c>
      <c r="AZ10" s="1164">
        <f>SUMIFS(Table91517[Count of EnergyRating],Table91517[MainSpaceHeatingFuel],AL10,Table91517[EnergyRating (group)],AM10,Table91517[CountyName (group)],AZ$4)</f>
        <v>2083</v>
      </c>
      <c r="BA10" s="1164">
        <f>SUMIFS(Table91517[Count of EnergyRating],Table91517[MainSpaceHeatingFuel],AL10,Table91517[EnergyRating (group)],AM10,Table91517[CountyName (group)],BA$4)</f>
        <v>4917</v>
      </c>
      <c r="BB10" s="1164">
        <f>SUMIFS(Table91517[Count of EnergyRating],Table91517[MainSpaceHeatingFuel],AL10,Table91517[EnergyRating (group)],AM10,Table91517[CountyName (group)],BB$4)</f>
        <v>2968</v>
      </c>
      <c r="BC10" s="1164">
        <f>SUMIFS(Table91517[Count of EnergyRating],Table91517[MainSpaceHeatingFuel],AL10,Table91517[EnergyRating (group)],AM10,Table91517[CountyName (group)],BC$4)</f>
        <v>2520</v>
      </c>
      <c r="BD10" s="1164">
        <f>SUMIFS(Table91517[Count of EnergyRating],Table91517[MainSpaceHeatingFuel],AL10,Table91517[EnergyRating (group)],AM10,Table91517[CountyName (group)],BD$4)</f>
        <v>2857</v>
      </c>
      <c r="BE10" s="1164">
        <f>SUMIFS(Table91517[Count of EnergyRating],Table91517[MainSpaceHeatingFuel],AL10,Table91517[EnergyRating (group)],AM10,Table91517[CountyName (group)],BE$4)</f>
        <v>1314</v>
      </c>
      <c r="BF10" s="1164">
        <f>SUMIFS(Table91517[Count of EnergyRating],Table91517[MainSpaceHeatingFuel],AL10,Table91517[EnergyRating (group)],AM10,Table91517[CountyName (group)],BF$4)</f>
        <v>4376</v>
      </c>
      <c r="BG10" s="1164">
        <f>SUMIFS(Table91517[Count of EnergyRating],Table91517[MainSpaceHeatingFuel],AL10,Table91517[EnergyRating (group)],AM10,Table91517[CountyName (group)],BG$4)</f>
        <v>659</v>
      </c>
      <c r="BH10" s="1164">
        <f>SUMIFS(Table91517[Count of EnergyRating],Table91517[MainSpaceHeatingFuel],AL10,Table91517[EnergyRating (group)],AM10,Table91517[CountyName (group)],BH$4)</f>
        <v>2938</v>
      </c>
      <c r="BI10" s="1164">
        <f>SUMIFS(Table91517[Count of EnergyRating],Table91517[MainSpaceHeatingFuel],AL10,Table91517[EnergyRating (group)],AM10,Table91517[CountyName (group)],BI$4)</f>
        <v>1245</v>
      </c>
      <c r="BJ10" s="1164">
        <f>SUMIFS(Table91517[Count of EnergyRating],Table91517[MainSpaceHeatingFuel],AL10,Table91517[EnergyRating (group)],AM10,Table91517[CountyName (group)],BJ$4)</f>
        <v>1131</v>
      </c>
      <c r="BK10" s="1135">
        <f>SUMIFS(Table91517[Count of EnergyRating],Table91517[MainSpaceHeatingFuel],AL10,Table91517[EnergyRating (group)],AM10,Table91517[CountyName (group)],BK$4)</f>
        <v>1226</v>
      </c>
      <c r="BL10" s="1164">
        <f>SUMIFS(Table91517[Count of EnergyRating],Table91517[MainSpaceHeatingFuel],AL10,Table91517[EnergyRating (group)],AM10,Table91517[CountyName (group)],BL$4)</f>
        <v>3066</v>
      </c>
      <c r="BM10" s="1164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34" t="s">
        <v>62</v>
      </c>
      <c r="C11" s="1134" t="s">
        <v>1223</v>
      </c>
      <c r="D11" s="1134" t="s">
        <v>1094</v>
      </c>
      <c r="E11" s="1145">
        <f t="shared" si="1"/>
        <v>0.42071583214322428</v>
      </c>
      <c r="F11" s="1145">
        <f t="shared" si="1"/>
        <v>3.9452123547372615</v>
      </c>
      <c r="G11" s="1145">
        <f t="shared" si="1"/>
        <v>0.93229610579120992</v>
      </c>
      <c r="H11" s="1145">
        <f t="shared" si="1"/>
        <v>0.79803814687510166</v>
      </c>
      <c r="I11" s="1145">
        <f t="shared" si="1"/>
        <v>0.63768295820526844</v>
      </c>
      <c r="J11" s="1145">
        <f t="shared" si="1"/>
        <v>0.37909815090506011</v>
      </c>
      <c r="K11" s="1145">
        <f t="shared" si="1"/>
        <v>0.78725946582345097</v>
      </c>
      <c r="L11" s="1145">
        <f t="shared" si="1"/>
        <v>1.3029628269981011</v>
      </c>
      <c r="M11" s="1145">
        <f t="shared" si="1"/>
        <v>0.57300858984102143</v>
      </c>
      <c r="N11" s="1145">
        <f t="shared" si="1"/>
        <v>0.60574788430791604</v>
      </c>
      <c r="O11" s="1145">
        <f t="shared" si="2"/>
        <v>0.81320410373747909</v>
      </c>
      <c r="P11" s="1145">
        <f t="shared" si="2"/>
        <v>0.93632518055886704</v>
      </c>
      <c r="Q11" s="1145">
        <f t="shared" si="2"/>
        <v>0.83977591765004822</v>
      </c>
      <c r="R11" s="1145">
        <f t="shared" si="2"/>
        <v>2.7533253857266184</v>
      </c>
      <c r="S11" s="1145">
        <f t="shared" si="2"/>
        <v>0.95683473339440606</v>
      </c>
      <c r="T11" s="1145">
        <f t="shared" si="2"/>
        <v>1.2624039468016339</v>
      </c>
      <c r="U11" s="1145">
        <f t="shared" si="2"/>
        <v>1.4995009212787582</v>
      </c>
      <c r="V11" s="1145">
        <f t="shared" si="2"/>
        <v>0.62544530128658726</v>
      </c>
      <c r="W11" s="1145">
        <f t="shared" si="2"/>
        <v>1.5870168718575945</v>
      </c>
      <c r="X11" s="1145">
        <f t="shared" si="2"/>
        <v>0.3437154556288548</v>
      </c>
      <c r="Y11" s="1145">
        <f t="shared" si="3"/>
        <v>1.1909033287847828</v>
      </c>
      <c r="Z11" s="1145">
        <f t="shared" si="3"/>
        <v>0.73735752597155335</v>
      </c>
      <c r="AA11" s="1145">
        <f t="shared" si="3"/>
        <v>0.64120825645265478</v>
      </c>
      <c r="AB11" s="1145">
        <f t="shared" si="3"/>
        <v>0.57652648422062602</v>
      </c>
      <c r="AC11" s="1145">
        <f t="shared" si="3"/>
        <v>1.3107924290909674</v>
      </c>
      <c r="AD11" s="1145">
        <f t="shared" si="3"/>
        <v>0.49579394438303853</v>
      </c>
      <c r="AE11" s="1172">
        <f t="shared" si="4"/>
        <v>26.952152102452082</v>
      </c>
      <c r="AG11" s="1164"/>
      <c r="AH11" s="1137" t="s">
        <v>1157</v>
      </c>
      <c r="AI11" s="1137" t="s">
        <v>1160</v>
      </c>
      <c r="AJ11" s="1159" t="s">
        <v>1159</v>
      </c>
      <c r="AL11" s="1144" t="s">
        <v>401</v>
      </c>
      <c r="AM11" s="1144" t="s">
        <v>60</v>
      </c>
      <c r="AN11" s="1135">
        <f>SUMIFS(Table91517[Count of EnergyRating],Table91517[MainSpaceHeatingFuel],AL11,Table91517[EnergyRating (group)],AM11,Table91517[CountyName (group)],AN$4)</f>
        <v>339</v>
      </c>
      <c r="AO11" s="1164">
        <f>SUMIFS(Table91517[Count of EnergyRating],Table91517[MainSpaceHeatingFuel],AL11,Table91517[EnergyRating (group)],AM11,Table91517[CountyName (group)],AO$4)</f>
        <v>903</v>
      </c>
      <c r="AP11" s="1164">
        <f>SUMIFS(Table91517[Count of EnergyRating],Table91517[MainSpaceHeatingFuel],AL11,Table91517[EnergyRating (group)],AM11,Table91517[CountyName (group)],AP$4)</f>
        <v>682</v>
      </c>
      <c r="AQ11" s="1164">
        <f>SUMIFS(Table91517[Count of EnergyRating],Table91517[MainSpaceHeatingFuel],AL11,Table91517[EnergyRating (group)],AM11,Table91517[CountyName (group)],AQ$4)</f>
        <v>518</v>
      </c>
      <c r="AR11" s="1164">
        <f>SUMIFS(Table91517[Count of EnergyRating],Table91517[MainSpaceHeatingFuel],AL11,Table91517[EnergyRating (group)],AM11,Table91517[CountyName (group)],AR$4)</f>
        <v>373</v>
      </c>
      <c r="AS11" s="1164">
        <f>SUMIFS(Table91517[Count of EnergyRating],Table91517[MainSpaceHeatingFuel],AL11,Table91517[EnergyRating (group)],AM11,Table91517[CountyName (group)],AS$4)</f>
        <v>278</v>
      </c>
      <c r="AT11" s="1164">
        <f>SUMIFS(Table91517[Count of EnergyRating],Table91517[MainSpaceHeatingFuel],AL11,Table91517[EnergyRating (group)],AM11,Table91517[CountyName (group)],AT$4)</f>
        <v>557</v>
      </c>
      <c r="AU11" s="1164">
        <f>SUMIFS(Table91517[Count of EnergyRating],Table91517[MainSpaceHeatingFuel],AL11,Table91517[EnergyRating (group)],AM11,Table91517[CountyName (group)],AU$4)</f>
        <v>848</v>
      </c>
      <c r="AV11" s="1164">
        <f>SUMIFS(Table91517[Count of EnergyRating],Table91517[MainSpaceHeatingFuel],AL11,Table91517[EnergyRating (group)],AM11,Table91517[CountyName (group)],AV$4)</f>
        <v>379</v>
      </c>
      <c r="AW11" s="1164">
        <f>SUMIFS(Table91517[Count of EnergyRating],Table91517[MainSpaceHeatingFuel],AL11,Table91517[EnergyRating (group)],AM11,Table91517[CountyName (group)],AW$4)</f>
        <v>507</v>
      </c>
      <c r="AX11" s="1164">
        <f>SUMIFS(Table91517[Count of EnergyRating],Table91517[MainSpaceHeatingFuel],AL11,Table91517[EnergyRating (group)],AM11,Table91517[CountyName (group)],AX$4)</f>
        <v>947</v>
      </c>
      <c r="AY11" s="1164">
        <f>SUMIFS(Table91517[Count of EnergyRating],Table91517[MainSpaceHeatingFuel],AL11,Table91517[EnergyRating (group)],AM11,Table91517[CountyName (group)],AY$4)</f>
        <v>640</v>
      </c>
      <c r="AZ11" s="1164">
        <f>SUMIFS(Table91517[Count of EnergyRating],Table91517[MainSpaceHeatingFuel],AL11,Table91517[EnergyRating (group)],AM11,Table91517[CountyName (group)],AZ$4)</f>
        <v>850</v>
      </c>
      <c r="BA11" s="1164">
        <f>SUMIFS(Table91517[Count of EnergyRating],Table91517[MainSpaceHeatingFuel],AL11,Table91517[EnergyRating (group)],AM11,Table91517[CountyName (group)],BA$4)</f>
        <v>1982</v>
      </c>
      <c r="BB11" s="1164">
        <f>SUMIFS(Table91517[Count of EnergyRating],Table91517[MainSpaceHeatingFuel],AL11,Table91517[EnergyRating (group)],AM11,Table91517[CountyName (group)],BB$4)</f>
        <v>1063</v>
      </c>
      <c r="BC11" s="1164">
        <f>SUMIFS(Table91517[Count of EnergyRating],Table91517[MainSpaceHeatingFuel],AL11,Table91517[EnergyRating (group)],AM11,Table91517[CountyName (group)],BC$4)</f>
        <v>969</v>
      </c>
      <c r="BD11" s="1164">
        <f>SUMIFS(Table91517[Count of EnergyRating],Table91517[MainSpaceHeatingFuel],AL11,Table91517[EnergyRating (group)],AM11,Table91517[CountyName (group)],BD$4)</f>
        <v>1294</v>
      </c>
      <c r="BE11" s="1164">
        <f>SUMIFS(Table91517[Count of EnergyRating],Table91517[MainSpaceHeatingFuel],AL11,Table91517[EnergyRating (group)],AM11,Table91517[CountyName (group)],BE$4)</f>
        <v>452</v>
      </c>
      <c r="BF11" s="1164">
        <f>SUMIFS(Table91517[Count of EnergyRating],Table91517[MainSpaceHeatingFuel],AL11,Table91517[EnergyRating (group)],AM11,Table91517[CountyName (group)],BF$4)</f>
        <v>1719</v>
      </c>
      <c r="BG11" s="1164">
        <f>SUMIFS(Table91517[Count of EnergyRating],Table91517[MainSpaceHeatingFuel],AL11,Table91517[EnergyRating (group)],AM11,Table91517[CountyName (group)],BG$4)</f>
        <v>346</v>
      </c>
      <c r="BH11" s="1164">
        <f>SUMIFS(Table91517[Count of EnergyRating],Table91517[MainSpaceHeatingFuel],AL11,Table91517[EnergyRating (group)],AM11,Table91517[CountyName (group)],BH$4)</f>
        <v>1162</v>
      </c>
      <c r="BI11" s="1164">
        <f>SUMIFS(Table91517[Count of EnergyRating],Table91517[MainSpaceHeatingFuel],AL11,Table91517[EnergyRating (group)],AM11,Table91517[CountyName (group)],BI$4)</f>
        <v>576</v>
      </c>
      <c r="BJ11" s="1164">
        <f>SUMIFS(Table91517[Count of EnergyRating],Table91517[MainSpaceHeatingFuel],AL11,Table91517[EnergyRating (group)],AM11,Table91517[CountyName (group)],BJ$4)</f>
        <v>491</v>
      </c>
      <c r="BK11" s="1135">
        <f>SUMIFS(Table91517[Count of EnergyRating],Table91517[MainSpaceHeatingFuel],AL11,Table91517[EnergyRating (group)],AM11,Table91517[CountyName (group)],BK$4)</f>
        <v>520</v>
      </c>
      <c r="BL11" s="1164">
        <f>SUMIFS(Table91517[Count of EnergyRating],Table91517[MainSpaceHeatingFuel],AL11,Table91517[EnergyRating (group)],AM11,Table91517[CountyName (group)],BL$4)</f>
        <v>1308</v>
      </c>
      <c r="BM11" s="1164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38" t="s">
        <v>64</v>
      </c>
      <c r="C12" s="1138" t="s">
        <v>1223</v>
      </c>
      <c r="D12" s="1138" t="s">
        <v>1094</v>
      </c>
      <c r="E12" s="1147">
        <f t="shared" si="1"/>
        <v>0.6135439218755353</v>
      </c>
      <c r="F12" s="1147">
        <f t="shared" si="1"/>
        <v>4.0343696960872562</v>
      </c>
      <c r="G12" s="1147">
        <f t="shared" si="1"/>
        <v>1.0865845458341215</v>
      </c>
      <c r="H12" s="1147">
        <f t="shared" si="1"/>
        <v>1.1072779287892038</v>
      </c>
      <c r="I12" s="1147">
        <f t="shared" si="1"/>
        <v>0.65037316632875641</v>
      </c>
      <c r="J12" s="1147">
        <f t="shared" si="1"/>
        <v>0.41626463628790916</v>
      </c>
      <c r="K12" s="1147">
        <f t="shared" si="1"/>
        <v>1.0411104772522373</v>
      </c>
      <c r="L12" s="1147">
        <f t="shared" si="1"/>
        <v>1.6038928165259181</v>
      </c>
      <c r="M12" s="1147">
        <f t="shared" si="1"/>
        <v>0.55200827503009386</v>
      </c>
      <c r="N12" s="1147">
        <f t="shared" si="1"/>
        <v>0.7591017790694139</v>
      </c>
      <c r="O12" s="1147">
        <f t="shared" si="2"/>
        <v>0.85287259660272197</v>
      </c>
      <c r="P12" s="1147">
        <f t="shared" si="2"/>
        <v>1.0374714191994854</v>
      </c>
      <c r="Q12" s="1147">
        <f t="shared" si="2"/>
        <v>1.0917086929450628</v>
      </c>
      <c r="R12" s="1147">
        <f t="shared" si="2"/>
        <v>3.3870516756257056</v>
      </c>
      <c r="S12" s="1147">
        <f t="shared" si="2"/>
        <v>1.0547963846705</v>
      </c>
      <c r="T12" s="1147">
        <f t="shared" si="2"/>
        <v>1.5333060813084221</v>
      </c>
      <c r="U12" s="1147">
        <f t="shared" si="2"/>
        <v>1.825792321749016</v>
      </c>
      <c r="V12" s="1147">
        <f t="shared" si="2"/>
        <v>0.60259798434461154</v>
      </c>
      <c r="W12" s="1147">
        <f t="shared" si="2"/>
        <v>1.7177393598574251</v>
      </c>
      <c r="X12" s="1147">
        <f t="shared" si="2"/>
        <v>0.53394790905866107</v>
      </c>
      <c r="Y12" s="1147">
        <f t="shared" si="3"/>
        <v>1.6065519415763343</v>
      </c>
      <c r="Z12" s="1147">
        <f t="shared" si="3"/>
        <v>1.0075536056940062</v>
      </c>
      <c r="AA12" s="1147">
        <f t="shared" si="3"/>
        <v>0.70205283553210363</v>
      </c>
      <c r="AB12" s="1147">
        <f t="shared" si="3"/>
        <v>0.91383036088082648</v>
      </c>
      <c r="AC12" s="1147">
        <f t="shared" si="3"/>
        <v>1.7902354256773934</v>
      </c>
      <c r="AD12" s="1147">
        <f t="shared" si="3"/>
        <v>0.62675838252195448</v>
      </c>
      <c r="AE12" s="1174">
        <f t="shared" si="4"/>
        <v>32.148794220324682</v>
      </c>
      <c r="AG12" s="58" t="s">
        <v>1163</v>
      </c>
      <c r="AH12" s="1158">
        <f>SUM(E7:AD12)</f>
        <v>507.16914848892139</v>
      </c>
      <c r="AI12" s="1140">
        <f>'SHWLP-Det'!S14</f>
        <v>507.16914848892145</v>
      </c>
      <c r="AJ12" s="1160">
        <f>(AI12-AH12)/AI12</f>
        <v>1.1207980420372454E-16</v>
      </c>
      <c r="AL12" s="1144" t="s">
        <v>401</v>
      </c>
      <c r="AM12" s="1144" t="s">
        <v>62</v>
      </c>
      <c r="AN12" s="1135">
        <f>SUMIFS(Table91517[Count of EnergyRating],Table91517[MainSpaceHeatingFuel],AL12,Table91517[EnergyRating (group)],AM12,Table91517[CountyName (group)],AN$4)</f>
        <v>168</v>
      </c>
      <c r="AO12" s="1164">
        <f>SUMIFS(Table91517[Count of EnergyRating],Table91517[MainSpaceHeatingFuel],AL12,Table91517[EnergyRating (group)],AM12,Table91517[CountyName (group)],AO$4)</f>
        <v>531</v>
      </c>
      <c r="AP12" s="1164">
        <f>SUMIFS(Table91517[Count of EnergyRating],Table91517[MainSpaceHeatingFuel],AL12,Table91517[EnergyRating (group)],AM12,Table91517[CountyName (group)],AP$4)</f>
        <v>284</v>
      </c>
      <c r="AQ12" s="1164">
        <f>SUMIFS(Table91517[Count of EnergyRating],Table91517[MainSpaceHeatingFuel],AL12,Table91517[EnergyRating (group)],AM12,Table91517[CountyName (group)],AQ$4)</f>
        <v>240</v>
      </c>
      <c r="AR12" s="1164">
        <f>SUMIFS(Table91517[Count of EnergyRating],Table91517[MainSpaceHeatingFuel],AL12,Table91517[EnergyRating (group)],AM12,Table91517[CountyName (group)],AR$4)</f>
        <v>201</v>
      </c>
      <c r="AS12" s="1164">
        <f>SUMIFS(Table91517[Count of EnergyRating],Table91517[MainSpaceHeatingFuel],AL12,Table91517[EnergyRating (group)],AM12,Table91517[CountyName (group)],AS$4)</f>
        <v>153</v>
      </c>
      <c r="AT12" s="1164">
        <f>SUMIFS(Table91517[Count of EnergyRating],Table91517[MainSpaceHeatingFuel],AL12,Table91517[EnergyRating (group)],AM12,Table91517[CountyName (group)],AT$4)</f>
        <v>245</v>
      </c>
      <c r="AU12" s="1164">
        <f>SUMIFS(Table91517[Count of EnergyRating],Table91517[MainSpaceHeatingFuel],AL12,Table91517[EnergyRating (group)],AM12,Table91517[CountyName (group)],AU$4)</f>
        <v>407</v>
      </c>
      <c r="AV12" s="1164">
        <f>SUMIFS(Table91517[Count of EnergyRating],Table91517[MainSpaceHeatingFuel],AL12,Table91517[EnergyRating (group)],AM12,Table91517[CountyName (group)],AV$4)</f>
        <v>191</v>
      </c>
      <c r="AW12" s="1164">
        <f>SUMIFS(Table91517[Count of EnergyRating],Table91517[MainSpaceHeatingFuel],AL12,Table91517[EnergyRating (group)],AM12,Table91517[CountyName (group)],AW$4)</f>
        <v>237</v>
      </c>
      <c r="AX12" s="1164">
        <f>SUMIFS(Table91517[Count of EnergyRating],Table91517[MainSpaceHeatingFuel],AL12,Table91517[EnergyRating (group)],AM12,Table91517[CountyName (group)],AX$4)</f>
        <v>410</v>
      </c>
      <c r="AY12" s="1164">
        <f>SUMIFS(Table91517[Count of EnergyRating],Table91517[MainSpaceHeatingFuel],AL12,Table91517[EnergyRating (group)],AM12,Table91517[CountyName (group)],AY$4)</f>
        <v>324</v>
      </c>
      <c r="AZ12" s="1164">
        <f>SUMIFS(Table91517[Count of EnergyRating],Table91517[MainSpaceHeatingFuel],AL12,Table91517[EnergyRating (group)],AM12,Table91517[CountyName (group)],AZ$4)</f>
        <v>370</v>
      </c>
      <c r="BA12" s="1164">
        <f>SUMIFS(Table91517[Count of EnergyRating],Table91517[MainSpaceHeatingFuel],AL12,Table91517[EnergyRating (group)],AM12,Table91517[CountyName (group)],BA$4)</f>
        <v>895</v>
      </c>
      <c r="BB12" s="1164">
        <f>SUMIFS(Table91517[Count of EnergyRating],Table91517[MainSpaceHeatingFuel],AL12,Table91517[EnergyRating (group)],AM12,Table91517[CountyName (group)],BB$4)</f>
        <v>420</v>
      </c>
      <c r="BC12" s="1164">
        <f>SUMIFS(Table91517[Count of EnergyRating],Table91517[MainSpaceHeatingFuel],AL12,Table91517[EnergyRating (group)],AM12,Table91517[CountyName (group)],BC$4)</f>
        <v>466</v>
      </c>
      <c r="BD12" s="1164">
        <f>SUMIFS(Table91517[Count of EnergyRating],Table91517[MainSpaceHeatingFuel],AL12,Table91517[EnergyRating (group)],AM12,Table91517[CountyName (group)],BD$4)</f>
        <v>625</v>
      </c>
      <c r="BE12" s="1164">
        <f>SUMIFS(Table91517[Count of EnergyRating],Table91517[MainSpaceHeatingFuel],AL12,Table91517[EnergyRating (group)],AM12,Table91517[CountyName (group)],BE$4)</f>
        <v>219</v>
      </c>
      <c r="BF12" s="1164">
        <f>SUMIFS(Table91517[Count of EnergyRating],Table91517[MainSpaceHeatingFuel],AL12,Table91517[EnergyRating (group)],AM12,Table91517[CountyName (group)],BF$4)</f>
        <v>692</v>
      </c>
      <c r="BG12" s="1164">
        <f>SUMIFS(Table91517[Count of EnergyRating],Table91517[MainSpaceHeatingFuel],AL12,Table91517[EnergyRating (group)],AM12,Table91517[CountyName (group)],BG$4)</f>
        <v>159</v>
      </c>
      <c r="BH12" s="1164">
        <f>SUMIFS(Table91517[Count of EnergyRating],Table91517[MainSpaceHeatingFuel],AL12,Table91517[EnergyRating (group)],AM12,Table91517[CountyName (group)],BH$4)</f>
        <v>510</v>
      </c>
      <c r="BI12" s="1164">
        <f>SUMIFS(Table91517[Count of EnergyRating],Table91517[MainSpaceHeatingFuel],AL12,Table91517[EnergyRating (group)],AM12,Table91517[CountyName (group)],BI$4)</f>
        <v>292</v>
      </c>
      <c r="BJ12" s="1164">
        <f>SUMIFS(Table91517[Count of EnergyRating],Table91517[MainSpaceHeatingFuel],AL12,Table91517[EnergyRating (group)],AM12,Table91517[CountyName (group)],BJ$4)</f>
        <v>274</v>
      </c>
      <c r="BK12" s="1135">
        <f>SUMIFS(Table91517[Count of EnergyRating],Table91517[MainSpaceHeatingFuel],AL12,Table91517[EnergyRating (group)],AM12,Table91517[CountyName (group)],BK$4)</f>
        <v>241</v>
      </c>
      <c r="BL12" s="1164">
        <f>SUMIFS(Table91517[Count of EnergyRating],Table91517[MainSpaceHeatingFuel],AL12,Table91517[EnergyRating (group)],AM12,Table91517[CountyName (group)],BL$4)</f>
        <v>555</v>
      </c>
      <c r="BM12" s="1164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38" t="s">
        <v>1075</v>
      </c>
      <c r="C13" s="1138" t="s">
        <v>1223</v>
      </c>
      <c r="D13" s="1138" t="s">
        <v>1094</v>
      </c>
      <c r="E13" s="1147">
        <f>SUM(E7:E12)</f>
        <v>7.5202954995601319</v>
      </c>
      <c r="F13" s="1147">
        <f t="shared" ref="F13:AE13" si="5">SUM(F7:F12)</f>
        <v>39.043485732851806</v>
      </c>
      <c r="G13" s="1147">
        <f t="shared" si="5"/>
        <v>21.068578897774593</v>
      </c>
      <c r="H13" s="1147">
        <f t="shared" si="5"/>
        <v>14.52429427312685</v>
      </c>
      <c r="I13" s="1147">
        <f t="shared" si="5"/>
        <v>11.32918330224385</v>
      </c>
      <c r="J13" s="1147">
        <f t="shared" si="5"/>
        <v>6.7568670426019537</v>
      </c>
      <c r="K13" s="1147">
        <f t="shared" si="5"/>
        <v>13.116706691801333</v>
      </c>
      <c r="L13" s="1147">
        <f t="shared" si="5"/>
        <v>23.863107892982423</v>
      </c>
      <c r="M13" s="1147">
        <f t="shared" si="5"/>
        <v>11.100166400061671</v>
      </c>
      <c r="N13" s="1147">
        <f t="shared" si="5"/>
        <v>11.69579037381023</v>
      </c>
      <c r="O13" s="1147">
        <f t="shared" si="5"/>
        <v>23.553167638737964</v>
      </c>
      <c r="P13" s="1147">
        <f t="shared" si="5"/>
        <v>15.663217526632899</v>
      </c>
      <c r="Q13" s="1147">
        <f t="shared" si="5"/>
        <v>18.229946406932939</v>
      </c>
      <c r="R13" s="1147">
        <f t="shared" si="5"/>
        <v>61.671412299063149</v>
      </c>
      <c r="S13" s="1147">
        <f t="shared" si="5"/>
        <v>25.290053274788814</v>
      </c>
      <c r="T13" s="1147">
        <f t="shared" si="5"/>
        <v>22.769324405295563</v>
      </c>
      <c r="U13" s="1147">
        <f t="shared" si="5"/>
        <v>24.308709335034205</v>
      </c>
      <c r="V13" s="1147">
        <f t="shared" si="5"/>
        <v>13.3085621187009</v>
      </c>
      <c r="W13" s="1147">
        <f t="shared" si="5"/>
        <v>38.49662602745893</v>
      </c>
      <c r="X13" s="1147">
        <f t="shared" si="5"/>
        <v>6.3273908089664017</v>
      </c>
      <c r="Y13" s="1147">
        <f t="shared" si="5"/>
        <v>24.123965273873708</v>
      </c>
      <c r="Z13" s="1147">
        <f t="shared" si="5"/>
        <v>12.570430699610935</v>
      </c>
      <c r="AA13" s="1147">
        <f t="shared" si="5"/>
        <v>10.07679836600413</v>
      </c>
      <c r="AB13" s="1147">
        <f t="shared" si="5"/>
        <v>12.597462514132021</v>
      </c>
      <c r="AC13" s="1147">
        <f t="shared" si="5"/>
        <v>28.322563621006992</v>
      </c>
      <c r="AD13" s="1147">
        <f t="shared" si="5"/>
        <v>9.8410420658671036</v>
      </c>
      <c r="AE13" s="1147">
        <f t="shared" si="5"/>
        <v>507.16914848892156</v>
      </c>
      <c r="AG13" s="58" t="s">
        <v>1107</v>
      </c>
      <c r="AH13" s="1158">
        <f>SUM(E14:AD14)</f>
        <v>507.3605195274796</v>
      </c>
      <c r="AI13" s="1140">
        <f>'SHWLP-Det'!S40</f>
        <v>507.3605195274796</v>
      </c>
      <c r="AJ13" s="1160">
        <f>(AI13-AH13)/AI13</f>
        <v>0</v>
      </c>
      <c r="AL13" s="1144" t="s">
        <v>401</v>
      </c>
      <c r="AM13" s="1144" t="s">
        <v>64</v>
      </c>
      <c r="AN13" s="1135">
        <f>SUMIFS(Table91517[Count of EnergyRating],Table91517[MainSpaceHeatingFuel],AL13,Table91517[EnergyRating (group)],AM13,Table91517[CountyName (group)],AN$4)</f>
        <v>245</v>
      </c>
      <c r="AO13" s="1164">
        <f>SUMIFS(Table91517[Count of EnergyRating],Table91517[MainSpaceHeatingFuel],AL13,Table91517[EnergyRating (group)],AM13,Table91517[CountyName (group)],AO$4)</f>
        <v>543</v>
      </c>
      <c r="AP13" s="1164">
        <f>SUMIFS(Table91517[Count of EnergyRating],Table91517[MainSpaceHeatingFuel],AL13,Table91517[EnergyRating (group)],AM13,Table91517[CountyName (group)],AP$4)</f>
        <v>331</v>
      </c>
      <c r="AQ13" s="1164">
        <f>SUMIFS(Table91517[Count of EnergyRating],Table91517[MainSpaceHeatingFuel],AL13,Table91517[EnergyRating (group)],AM13,Table91517[CountyName (group)],AQ$4)</f>
        <v>333</v>
      </c>
      <c r="AR13" s="1164">
        <f>SUMIFS(Table91517[Count of EnergyRating],Table91517[MainSpaceHeatingFuel],AL13,Table91517[EnergyRating (group)],AM13,Table91517[CountyName (group)],AR$4)</f>
        <v>205</v>
      </c>
      <c r="AS13" s="1164">
        <f>SUMIFS(Table91517[Count of EnergyRating],Table91517[MainSpaceHeatingFuel],AL13,Table91517[EnergyRating (group)],AM13,Table91517[CountyName (group)],AS$4)</f>
        <v>168</v>
      </c>
      <c r="AT13" s="1164">
        <f>SUMIFS(Table91517[Count of EnergyRating],Table91517[MainSpaceHeatingFuel],AL13,Table91517[EnergyRating (group)],AM13,Table91517[CountyName (group)],AT$4)</f>
        <v>324</v>
      </c>
      <c r="AU13" s="1164">
        <f>SUMIFS(Table91517[Count of EnergyRating],Table91517[MainSpaceHeatingFuel],AL13,Table91517[EnergyRating (group)],AM13,Table91517[CountyName (group)],AU$4)</f>
        <v>501</v>
      </c>
      <c r="AV13" s="1164">
        <f>SUMIFS(Table91517[Count of EnergyRating],Table91517[MainSpaceHeatingFuel],AL13,Table91517[EnergyRating (group)],AM13,Table91517[CountyName (group)],AV$4)</f>
        <v>184</v>
      </c>
      <c r="AW13" s="1164">
        <f>SUMIFS(Table91517[Count of EnergyRating],Table91517[MainSpaceHeatingFuel],AL13,Table91517[EnergyRating (group)],AM13,Table91517[CountyName (group)],AW$4)</f>
        <v>297</v>
      </c>
      <c r="AX13" s="1164">
        <f>SUMIFS(Table91517[Count of EnergyRating],Table91517[MainSpaceHeatingFuel],AL13,Table91517[EnergyRating (group)],AM13,Table91517[CountyName (group)],AX$4)</f>
        <v>430</v>
      </c>
      <c r="AY13" s="1164">
        <f>SUMIFS(Table91517[Count of EnergyRating],Table91517[MainSpaceHeatingFuel],AL13,Table91517[EnergyRating (group)],AM13,Table91517[CountyName (group)],AY$4)</f>
        <v>359</v>
      </c>
      <c r="AZ13" s="1164">
        <f>SUMIFS(Table91517[Count of EnergyRating],Table91517[MainSpaceHeatingFuel],AL13,Table91517[EnergyRating (group)],AM13,Table91517[CountyName (group)],AZ$4)</f>
        <v>481</v>
      </c>
      <c r="BA13" s="1164">
        <f>SUMIFS(Table91517[Count of EnergyRating],Table91517[MainSpaceHeatingFuel],AL13,Table91517[EnergyRating (group)],AM13,Table91517[CountyName (group)],BA$4)</f>
        <v>1101</v>
      </c>
      <c r="BB13" s="1164">
        <f>SUMIFS(Table91517[Count of EnergyRating],Table91517[MainSpaceHeatingFuel],AL13,Table91517[EnergyRating (group)],AM13,Table91517[CountyName (group)],BB$4)</f>
        <v>463</v>
      </c>
      <c r="BC13" s="1164">
        <f>SUMIFS(Table91517[Count of EnergyRating],Table91517[MainSpaceHeatingFuel],AL13,Table91517[EnergyRating (group)],AM13,Table91517[CountyName (group)],BC$4)</f>
        <v>566</v>
      </c>
      <c r="BD13" s="1164">
        <f>SUMIFS(Table91517[Count of EnergyRating],Table91517[MainSpaceHeatingFuel],AL13,Table91517[EnergyRating (group)],AM13,Table91517[CountyName (group)],BD$4)</f>
        <v>761</v>
      </c>
      <c r="BE13" s="1164">
        <f>SUMIFS(Table91517[Count of EnergyRating],Table91517[MainSpaceHeatingFuel],AL13,Table91517[EnergyRating (group)],AM13,Table91517[CountyName (group)],BE$4)</f>
        <v>211</v>
      </c>
      <c r="BF13" s="1164">
        <f>SUMIFS(Table91517[Count of EnergyRating],Table91517[MainSpaceHeatingFuel],AL13,Table91517[EnergyRating (group)],AM13,Table91517[CountyName (group)],BF$4)</f>
        <v>749</v>
      </c>
      <c r="BG13" s="1164">
        <f>SUMIFS(Table91517[Count of EnergyRating],Table91517[MainSpaceHeatingFuel],AL13,Table91517[EnergyRating (group)],AM13,Table91517[CountyName (group)],BG$4)</f>
        <v>247</v>
      </c>
      <c r="BH13" s="1164">
        <f>SUMIFS(Table91517[Count of EnergyRating],Table91517[MainSpaceHeatingFuel],AL13,Table91517[EnergyRating (group)],AM13,Table91517[CountyName (group)],BH$4)</f>
        <v>688</v>
      </c>
      <c r="BI13" s="1164">
        <f>SUMIFS(Table91517[Count of EnergyRating],Table91517[MainSpaceHeatingFuel],AL13,Table91517[EnergyRating (group)],AM13,Table91517[CountyName (group)],BI$4)</f>
        <v>399</v>
      </c>
      <c r="BJ13" s="1164">
        <f>SUMIFS(Table91517[Count of EnergyRating],Table91517[MainSpaceHeatingFuel],AL13,Table91517[EnergyRating (group)],AM13,Table91517[CountyName (group)],BJ$4)</f>
        <v>300</v>
      </c>
      <c r="BK13" s="1135">
        <f>SUMIFS(Table91517[Count of EnergyRating],Table91517[MainSpaceHeatingFuel],AL13,Table91517[EnergyRating (group)],AM13,Table91517[CountyName (group)],BK$4)</f>
        <v>382</v>
      </c>
      <c r="BL13" s="1164">
        <f>SUMIFS(Table91517[Count of EnergyRating],Table91517[MainSpaceHeatingFuel],AL13,Table91517[EnergyRating (group)],AM13,Table91517[CountyName (group)],BL$4)</f>
        <v>758</v>
      </c>
      <c r="BM13" s="1164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65"/>
      <c r="C14" s="1165" t="s">
        <v>1230</v>
      </c>
      <c r="D14" s="1165" t="s">
        <v>1094</v>
      </c>
      <c r="E14" s="1166">
        <f t="shared" ref="E14:AD14" si="6">G136</f>
        <v>7.5231331460619009</v>
      </c>
      <c r="F14" s="1166">
        <f t="shared" si="6"/>
        <v>39.058218080897603</v>
      </c>
      <c r="G14" s="1166">
        <f t="shared" si="6"/>
        <v>21.076528742193609</v>
      </c>
      <c r="H14" s="1166">
        <f t="shared" si="6"/>
        <v>14.529774750966746</v>
      </c>
      <c r="I14" s="1166">
        <f t="shared" si="6"/>
        <v>11.333458163167519</v>
      </c>
      <c r="J14" s="1166">
        <f t="shared" si="6"/>
        <v>6.7594166232836557</v>
      </c>
      <c r="K14" s="1166">
        <f t="shared" si="6"/>
        <v>13.121656042110892</v>
      </c>
      <c r="L14" s="1166">
        <f t="shared" si="6"/>
        <v>23.872112202006964</v>
      </c>
      <c r="M14" s="1166">
        <f t="shared" si="6"/>
        <v>11.10435484562954</v>
      </c>
      <c r="N14" s="1166">
        <f t="shared" si="6"/>
        <v>11.700203567233494</v>
      </c>
      <c r="O14" s="1166">
        <f t="shared" si="6"/>
        <v>23.562054997454059</v>
      </c>
      <c r="P14" s="1166">
        <f t="shared" si="6"/>
        <v>15.669127756413568</v>
      </c>
      <c r="Q14" s="1166">
        <f t="shared" si="6"/>
        <v>18.236825145095835</v>
      </c>
      <c r="R14" s="1166">
        <f t="shared" si="6"/>
        <v>61.69468288296239</v>
      </c>
      <c r="S14" s="1166">
        <f t="shared" si="6"/>
        <v>25.299596015657038</v>
      </c>
      <c r="T14" s="1166">
        <f t="shared" si="6"/>
        <v>22.777915995047611</v>
      </c>
      <c r="U14" s="1166">
        <f t="shared" si="6"/>
        <v>24.317881783644918</v>
      </c>
      <c r="V14" s="1166">
        <f t="shared" si="6"/>
        <v>13.313583862160566</v>
      </c>
      <c r="W14" s="1166">
        <f t="shared" si="6"/>
        <v>38.5111520279576</v>
      </c>
      <c r="X14" s="1166">
        <f t="shared" si="6"/>
        <v>6.3297783346155523</v>
      </c>
      <c r="Y14" s="1166">
        <f t="shared" si="6"/>
        <v>24.133068012678613</v>
      </c>
      <c r="Z14" s="1166">
        <f t="shared" si="6"/>
        <v>12.575173922626915</v>
      </c>
      <c r="AA14" s="1166">
        <f t="shared" si="6"/>
        <v>10.080600662288097</v>
      </c>
      <c r="AB14" s="1166">
        <f t="shared" si="6"/>
        <v>12.602215937110742</v>
      </c>
      <c r="AC14" s="1166">
        <f t="shared" si="6"/>
        <v>28.333250624407999</v>
      </c>
      <c r="AD14" s="1166">
        <f t="shared" si="6"/>
        <v>9.8447554038062304</v>
      </c>
      <c r="AE14" s="1175">
        <f t="shared" si="4"/>
        <v>507.3605195274796</v>
      </c>
      <c r="AG14" s="1164"/>
      <c r="AL14" s="1148" t="s">
        <v>401</v>
      </c>
      <c r="AM14" s="1148" t="s">
        <v>1107</v>
      </c>
      <c r="AN14" s="1149">
        <f>SUMIFS(Table91517[Count of EnergyRating],Table91517[MainWaterHeatingFuel],AL14,Table91517[CountyName (group)],AN$4)</f>
        <v>2983</v>
      </c>
      <c r="AO14" s="1150">
        <f>SUMIFS(Table91517[Count of EnergyRating],Table91517[MainWaterHeatingFuel],$AL$14,Table91517[CountyName (group)],AO4)</f>
        <v>5210</v>
      </c>
      <c r="AP14" s="1150">
        <f>SUMIFS(Table91517[Count of EnergyRating],Table91517[MainWaterHeatingFuel],$AL$14,Table91517[CountyName (group)],AP4)</f>
        <v>6370</v>
      </c>
      <c r="AQ14" s="1150">
        <f>SUMIFS(Table91517[Count of EnergyRating],Table91517[MainWaterHeatingFuel],$AL$14,Table91517[CountyName (group)],AQ4)</f>
        <v>4340</v>
      </c>
      <c r="AR14" s="1150">
        <f>SUMIFS(Table91517[Count of EnergyRating],Table91517[MainWaterHeatingFuel],$AL$14,Table91517[CountyName (group)],AR4)</f>
        <v>3552</v>
      </c>
      <c r="AS14" s="1150">
        <f>SUMIFS(Table91517[Count of EnergyRating],Table91517[MainWaterHeatingFuel],$AL$14,Table91517[CountyName (group)],AS4)</f>
        <v>2704</v>
      </c>
      <c r="AT14" s="1150">
        <f>SUMIFS(Table91517[Count of EnergyRating],Table91517[MainWaterHeatingFuel],$AL$14,Table91517[CountyName (group)],AT4)</f>
        <v>4053</v>
      </c>
      <c r="AU14" s="1150">
        <f>SUMIFS(Table91517[Count of EnergyRating],Table91517[MainWaterHeatingFuel],$AL$14,Table91517[CountyName (group)],AU4)</f>
        <v>7413</v>
      </c>
      <c r="AV14" s="1150">
        <f>SUMIFS(Table91517[Count of EnergyRating],Table91517[MainWaterHeatingFuel],$AL$14,Table91517[CountyName (group)],AV4)</f>
        <v>3681</v>
      </c>
      <c r="AW14" s="1150">
        <f>SUMIFS(Table91517[Count of EnergyRating],Table91517[MainWaterHeatingFuel],$AL$14,Table91517[CountyName (group)],AW4)</f>
        <v>4554</v>
      </c>
      <c r="AX14" s="1150">
        <f>SUMIFS(Table91517[Count of EnergyRating],Table91517[MainWaterHeatingFuel],$AL$14,Table91517[CountyName (group)],AX4)</f>
        <v>11794</v>
      </c>
      <c r="AY14" s="1150">
        <f>SUMIFS(Table91517[Count of EnergyRating],Table91517[MainWaterHeatingFuel],$AL$14,Table91517[CountyName (group)],AY4)</f>
        <v>5352</v>
      </c>
      <c r="AZ14" s="1149">
        <f>SUMIFS(Table91517[Count of EnergyRating],Table91517[MainWaterHeatingFuel],$AL$14,Table91517[CountyName (group)],AZ4)</f>
        <v>7970</v>
      </c>
      <c r="BA14" s="1150">
        <f>SUMIFS(Table91517[Count of EnergyRating],Table91517[MainWaterHeatingFuel],$AL$14,Table91517[CountyName (group)],BA4)</f>
        <v>19855</v>
      </c>
      <c r="BB14" s="1150">
        <f>SUMIFS(Table91517[Count of EnergyRating],Table91517[MainWaterHeatingFuel],$AL$14,Table91517[CountyName (group)],BB4)</f>
        <v>11008</v>
      </c>
      <c r="BC14" s="1150">
        <f>SUMIFS(Table91517[Count of EnergyRating],Table91517[MainWaterHeatingFuel],$AL$14,Table91517[CountyName (group)],BC4)</f>
        <v>8348</v>
      </c>
      <c r="BD14" s="1150">
        <f>SUMIFS(Table91517[Count of EnergyRating],Table91517[MainWaterHeatingFuel],$AL$14,Table91517[CountyName (group)],BD4)</f>
        <v>10058</v>
      </c>
      <c r="BE14" s="1150">
        <f>SUMIFS(Table91517[Count of EnergyRating],Table91517[MainWaterHeatingFuel],$AL$14,Table91517[CountyName (group)],BE4)</f>
        <v>4624</v>
      </c>
      <c r="BF14" s="1150">
        <f>SUMIFS(Table91517[Count of EnergyRating],Table91517[MainWaterHeatingFuel],$AL$14,Table91517[CountyName (group)],BF4)</f>
        <v>16660</v>
      </c>
      <c r="BG14" s="1150">
        <f>SUMIFS(Table91517[Count of EnergyRating],Table91517[MainWaterHeatingFuel],$AL$14,Table91517[CountyName (group)],BG4)</f>
        <v>2901</v>
      </c>
      <c r="BH14" s="1150">
        <f>SUMIFS(Table91517[Count of EnergyRating],Table91517[MainWaterHeatingFuel],$AL$14,Table91517[CountyName (group)],BH4)</f>
        <v>10262</v>
      </c>
      <c r="BI14" s="1150">
        <f>SUMIFS(Table91517[Count of EnergyRating],Table91517[MainWaterHeatingFuel],$AL$14,Table91517[CountyName (group)],BI4)</f>
        <v>4923</v>
      </c>
      <c r="BJ14" s="1150">
        <f>SUMIFS(Table91517[Count of EnergyRating],Table91517[MainWaterHeatingFuel],$AL$14,Table91517[CountyName (group)],BJ4)</f>
        <v>4273</v>
      </c>
      <c r="BK14" s="1149">
        <f>SUMIFS(Table91517[Count of EnergyRating],Table91517[MainWaterHeatingFuel],$AL$14,Table91517[CountyName (group)],BK4)</f>
        <v>5244</v>
      </c>
      <c r="BL14" s="1150">
        <f>SUMIFS(Table91517[Count of EnergyRating],Table91517[MainWaterHeatingFuel],$AL$14,Table91517[CountyName (group)],BL4)</f>
        <v>11893</v>
      </c>
      <c r="BM14" s="1150">
        <f>SUMIFS(Table91517[Count of EnergyRating],Table91517[MainWaterHeatingFuel],$AL$14,Table91517[CountyName (group)],BM4)</f>
        <v>3136</v>
      </c>
    </row>
    <row r="15" spans="1:67" ht="15">
      <c r="B15" s="1137"/>
      <c r="C15" s="1137" t="s">
        <v>1211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G15" s="1164"/>
      <c r="AL15" s="1144" t="s">
        <v>402</v>
      </c>
      <c r="AM15" s="1144" t="s">
        <v>48</v>
      </c>
      <c r="AN15" s="1135">
        <f>SUMIFS(Table91517[Count of EnergyRating],Table91517[MainSpaceHeatingFuel],AL15,Table91517[EnergyRating (group)],AM15,Table91517[CountyName (group)],AN$4)</f>
        <v>7</v>
      </c>
      <c r="AO15" s="1164">
        <f>SUMIFS(Table91517[Count of EnergyRating],Table91517[MainSpaceHeatingFuel],AL15,Table91517[EnergyRating (group)],AM15,Table91517[CountyName (group)],AO$4)</f>
        <v>1037</v>
      </c>
      <c r="AP15" s="1164">
        <f>SUMIFS(Table91517[Count of EnergyRating],Table91517[MainSpaceHeatingFuel],AL15,Table91517[EnergyRating (group)],AM15,Table91517[CountyName (group)],AP$4)</f>
        <v>278</v>
      </c>
      <c r="AQ15" s="1164">
        <f>SUMIFS(Table91517[Count of EnergyRating],Table91517[MainSpaceHeatingFuel],AL15,Table91517[EnergyRating (group)],AM15,Table91517[CountyName (group)],AQ$4)</f>
        <v>22</v>
      </c>
      <c r="AR15" s="1164">
        <f>SUMIFS(Table91517[Count of EnergyRating],Table91517[MainSpaceHeatingFuel],AL15,Table91517[EnergyRating (group)],AM15,Table91517[CountyName (group)],AR$4)</f>
        <v>24</v>
      </c>
      <c r="AS15" s="1164">
        <f>SUMIFS(Table91517[Count of EnergyRating],Table91517[MainSpaceHeatingFuel],AL15,Table91517[EnergyRating (group)],AM15,Table91517[CountyName (group)],AS$4)</f>
        <v>0</v>
      </c>
      <c r="AT15" s="1164">
        <f>SUMIFS(Table91517[Count of EnergyRating],Table91517[MainSpaceHeatingFuel],AL15,Table91517[EnergyRating (group)],AM15,Table91517[CountyName (group)],AT$4)</f>
        <v>101</v>
      </c>
      <c r="AU15" s="1164">
        <f>SUMIFS(Table91517[Count of EnergyRating],Table91517[MainSpaceHeatingFuel],AL15,Table91517[EnergyRating (group)],AM15,Table91517[CountyName (group)],AU$4)</f>
        <v>203</v>
      </c>
      <c r="AV15" s="1164">
        <f>SUMIFS(Table91517[Count of EnergyRating],Table91517[MainSpaceHeatingFuel],AL15,Table91517[EnergyRating (group)],AM15,Table91517[CountyName (group)],AV$4)</f>
        <v>0</v>
      </c>
      <c r="AW15" s="1164">
        <f>SUMIFS(Table91517[Count of EnergyRating],Table91517[MainSpaceHeatingFuel],AL15,Table91517[EnergyRating (group)],AM15,Table91517[CountyName (group)],AW$4)</f>
        <v>6</v>
      </c>
      <c r="AX15" s="1164">
        <f>SUMIFS(Table91517[Count of EnergyRating],Table91517[MainSpaceHeatingFuel],AL15,Table91517[EnergyRating (group)],AM15,Table91517[CountyName (group)],AX$4)</f>
        <v>0</v>
      </c>
      <c r="AY15" s="1164">
        <f>SUMIFS(Table91517[Count of EnergyRating],Table91517[MainSpaceHeatingFuel],AL15,Table91517[EnergyRating (group)],AM15,Table91517[CountyName (group)],AY$4)</f>
        <v>182</v>
      </c>
      <c r="AZ15" s="1164">
        <f>SUMIFS(Table91517[Count of EnergyRating],Table91517[MainSpaceHeatingFuel],AL15,Table91517[EnergyRating (group)],AM15,Table91517[CountyName (group)],AZ$4)</f>
        <v>14</v>
      </c>
      <c r="BA15" s="1164">
        <f>SUMIFS(Table91517[Count of EnergyRating],Table91517[MainSpaceHeatingFuel],AL15,Table91517[EnergyRating (group)],AM15,Table91517[CountyName (group)],BA$4)</f>
        <v>333</v>
      </c>
      <c r="BB15" s="1164">
        <f>SUMIFS(Table91517[Count of EnergyRating],Table91517[MainSpaceHeatingFuel],AL15,Table91517[EnergyRating (group)],AM15,Table91517[CountyName (group)],BB$4)</f>
        <v>0</v>
      </c>
      <c r="BC15" s="1164">
        <f>SUMIFS(Table91517[Count of EnergyRating],Table91517[MainSpaceHeatingFuel],AL15,Table91517[EnergyRating (group)],AM15,Table91517[CountyName (group)],BC$4)</f>
        <v>56</v>
      </c>
      <c r="BD15" s="1164">
        <f>SUMIFS(Table91517[Count of EnergyRating],Table91517[MainSpaceHeatingFuel],AL15,Table91517[EnergyRating (group)],AM15,Table91517[CountyName (group)],BD$4)</f>
        <v>10</v>
      </c>
      <c r="BE15" s="1164">
        <f>SUMIFS(Table91517[Count of EnergyRating],Table91517[MainSpaceHeatingFuel],AL15,Table91517[EnergyRating (group)],AM15,Table91517[CountyName (group)],BE$4)</f>
        <v>11</v>
      </c>
      <c r="BF15" s="1164">
        <f>SUMIFS(Table91517[Count of EnergyRating],Table91517[MainSpaceHeatingFuel],AL15,Table91517[EnergyRating (group)],AM15,Table91517[CountyName (group)],BF$4)</f>
        <v>24</v>
      </c>
      <c r="BG15" s="1164">
        <f>SUMIFS(Table91517[Count of EnergyRating],Table91517[MainSpaceHeatingFuel],AL15,Table91517[EnergyRating (group)],AM15,Table91517[CountyName (group)],BG$4)</f>
        <v>0</v>
      </c>
      <c r="BH15" s="1164">
        <f>SUMIFS(Table91517[Count of EnergyRating],Table91517[MainSpaceHeatingFuel],AL15,Table91517[EnergyRating (group)],AM15,Table91517[CountyName (group)],BH$4)</f>
        <v>18</v>
      </c>
      <c r="BI15" s="1164">
        <f>SUMIFS(Table91517[Count of EnergyRating],Table91517[MainSpaceHeatingFuel],AL15,Table91517[EnergyRating (group)],AM15,Table91517[CountyName (group)],BI$4)</f>
        <v>0</v>
      </c>
      <c r="BJ15" s="1164">
        <f>SUMIFS(Table91517[Count of EnergyRating],Table91517[MainSpaceHeatingFuel],AL15,Table91517[EnergyRating (group)],AM15,Table91517[CountyName (group)],BJ$4)</f>
        <v>0</v>
      </c>
      <c r="BK15" s="1135">
        <f>SUMIFS(Table91517[Count of EnergyRating],Table91517[MainSpaceHeatingFuel],AL15,Table91517[EnergyRating (group)],AM15,Table91517[CountyName (group)],BK$4)</f>
        <v>1</v>
      </c>
      <c r="BL15" s="1164">
        <f>SUMIFS(Table91517[Count of EnergyRating],Table91517[MainSpaceHeatingFuel],AL15,Table91517[EnergyRating (group)],AM15,Table91517[CountyName (group)],BL$4)</f>
        <v>0</v>
      </c>
      <c r="BM15" s="1164">
        <f>SUMIFS(Table91517[Count of EnergyRating],Table91517[MainSpaceHeatingFuel],AL15,Table91517[EnergyRating (group)],AM15,Table91517[CountyName (group)],BM$4)</f>
        <v>3</v>
      </c>
    </row>
    <row r="16" spans="1:67">
      <c r="B16" s="1134" t="s">
        <v>1259</v>
      </c>
      <c r="C16" s="1134" t="s">
        <v>1231</v>
      </c>
      <c r="D16" s="1134" t="s">
        <v>1094</v>
      </c>
      <c r="E16" s="1145">
        <f t="shared" ref="E16:AD16" si="7">IFERROR(G138*((SUM(AN$15:AN$18)/SUM(AN$15:AN$23))/(SUM(G$138)/SUM(G$138:G$143))),G138)</f>
        <v>0.22580280163916275</v>
      </c>
      <c r="F16" s="1145">
        <f t="shared" si="7"/>
        <v>1.8017646612314668</v>
      </c>
      <c r="G16" s="1145">
        <f t="shared" si="7"/>
        <v>1.263094897725576</v>
      </c>
      <c r="H16" s="1145">
        <f t="shared" si="7"/>
        <v>0.635667635502008</v>
      </c>
      <c r="I16" s="1145">
        <f t="shared" si="7"/>
        <v>0.72777975887662516</v>
      </c>
      <c r="J16" s="1145">
        <f t="shared" si="7"/>
        <v>0.11959257449570165</v>
      </c>
      <c r="K16" s="1145">
        <f t="shared" si="7"/>
        <v>0.65130677062569886</v>
      </c>
      <c r="L16" s="1145">
        <f t="shared" si="7"/>
        <v>1.4622147432666115</v>
      </c>
      <c r="M16" s="1145">
        <f t="shared" si="7"/>
        <v>0.41096784303872508</v>
      </c>
      <c r="N16" s="1145">
        <f t="shared" si="7"/>
        <v>0.5095793728637088</v>
      </c>
      <c r="O16" s="1145">
        <f t="shared" si="7"/>
        <v>0.52403228133846491</v>
      </c>
      <c r="P16" s="1145">
        <f t="shared" si="7"/>
        <v>0.9410127691646325</v>
      </c>
      <c r="Q16" s="1145">
        <f t="shared" si="7"/>
        <v>0.90085544140062224</v>
      </c>
      <c r="R16" s="1145">
        <f t="shared" si="7"/>
        <v>3.5106535515859494</v>
      </c>
      <c r="S16" s="1145">
        <f t="shared" si="7"/>
        <v>2.1026317108735282</v>
      </c>
      <c r="T16" s="1145">
        <f t="shared" si="7"/>
        <v>0.88878644260780459</v>
      </c>
      <c r="U16" s="1145">
        <f t="shared" si="7"/>
        <v>0.90922968681728866</v>
      </c>
      <c r="V16" s="1145">
        <f t="shared" si="7"/>
        <v>0.49770357817675787</v>
      </c>
      <c r="W16" s="1145">
        <f t="shared" si="7"/>
        <v>1.9393973698477838</v>
      </c>
      <c r="X16" s="1145">
        <f t="shared" si="7"/>
        <v>0.20398378498072683</v>
      </c>
      <c r="Y16" s="1145">
        <f t="shared" si="7"/>
        <v>1.7863108744189464</v>
      </c>
      <c r="Z16" s="1145">
        <f t="shared" si="7"/>
        <v>0.69827390239427456</v>
      </c>
      <c r="AA16" s="1145">
        <f t="shared" si="7"/>
        <v>0.40129516627294831</v>
      </c>
      <c r="AB16" s="1145">
        <f t="shared" si="7"/>
        <v>0.5685675861212266</v>
      </c>
      <c r="AC16" s="1145">
        <f t="shared" si="7"/>
        <v>2.1304940859711365</v>
      </c>
      <c r="AD16" s="1145">
        <f t="shared" si="7"/>
        <v>0.50692251664486354</v>
      </c>
      <c r="AE16" s="1172">
        <f t="shared" si="4"/>
        <v>26.317921807882236</v>
      </c>
      <c r="AG16" s="1164"/>
      <c r="AL16" s="1144" t="s">
        <v>402</v>
      </c>
      <c r="AM16" s="1144" t="s">
        <v>50</v>
      </c>
      <c r="AN16" s="1135">
        <f>SUMIFS(Table91517[Count of EnergyRating],Table91517[MainSpaceHeatingFuel],AL16,Table91517[EnergyRating (group)],AM16,Table91517[CountyName (group)],AN$4)</f>
        <v>7</v>
      </c>
      <c r="AO16" s="1164">
        <f>SUMIFS(Table91517[Count of EnergyRating],Table91517[MainSpaceHeatingFuel],AL16,Table91517[EnergyRating (group)],AM16,Table91517[CountyName (group)],AO$4)</f>
        <v>243</v>
      </c>
      <c r="AP16" s="1164">
        <f>SUMIFS(Table91517[Count of EnergyRating],Table91517[MainSpaceHeatingFuel],AL16,Table91517[EnergyRating (group)],AM16,Table91517[CountyName (group)],AP$4)</f>
        <v>36</v>
      </c>
      <c r="AQ16" s="1164">
        <f>SUMIFS(Table91517[Count of EnergyRating],Table91517[MainSpaceHeatingFuel],AL16,Table91517[EnergyRating (group)],AM16,Table91517[CountyName (group)],AQ$4)</f>
        <v>11</v>
      </c>
      <c r="AR16" s="1164">
        <f>SUMIFS(Table91517[Count of EnergyRating],Table91517[MainSpaceHeatingFuel],AL16,Table91517[EnergyRating (group)],AM16,Table91517[CountyName (group)],AR$4)</f>
        <v>9</v>
      </c>
      <c r="AS16" s="1164">
        <f>SUMIFS(Table91517[Count of EnergyRating],Table91517[MainSpaceHeatingFuel],AL16,Table91517[EnergyRating (group)],AM16,Table91517[CountyName (group)],AS$4)</f>
        <v>0</v>
      </c>
      <c r="AT16" s="1164">
        <f>SUMIFS(Table91517[Count of EnergyRating],Table91517[MainSpaceHeatingFuel],AL16,Table91517[EnergyRating (group)],AM16,Table91517[CountyName (group)],AT$4)</f>
        <v>29</v>
      </c>
      <c r="AU16" s="1164">
        <f>SUMIFS(Table91517[Count of EnergyRating],Table91517[MainSpaceHeatingFuel],AL16,Table91517[EnergyRating (group)],AM16,Table91517[CountyName (group)],AU$4)</f>
        <v>40</v>
      </c>
      <c r="AV16" s="1164">
        <f>SUMIFS(Table91517[Count of EnergyRating],Table91517[MainSpaceHeatingFuel],AL16,Table91517[EnergyRating (group)],AM16,Table91517[CountyName (group)],AV$4)</f>
        <v>0</v>
      </c>
      <c r="AW16" s="1164">
        <f>SUMIFS(Table91517[Count of EnergyRating],Table91517[MainSpaceHeatingFuel],AL16,Table91517[EnergyRating (group)],AM16,Table91517[CountyName (group)],AW$4)</f>
        <v>2</v>
      </c>
      <c r="AX16" s="1164">
        <f>SUMIFS(Table91517[Count of EnergyRating],Table91517[MainSpaceHeatingFuel],AL16,Table91517[EnergyRating (group)],AM16,Table91517[CountyName (group)],AX$4)</f>
        <v>0</v>
      </c>
      <c r="AY16" s="1164">
        <f>SUMIFS(Table91517[Count of EnergyRating],Table91517[MainSpaceHeatingFuel],AL16,Table91517[EnergyRating (group)],AM16,Table91517[CountyName (group)],AY$4)</f>
        <v>22</v>
      </c>
      <c r="AZ16" s="1164">
        <f>SUMIFS(Table91517[Count of EnergyRating],Table91517[MainSpaceHeatingFuel],AL16,Table91517[EnergyRating (group)],AM16,Table91517[CountyName (group)],AZ$4)</f>
        <v>5</v>
      </c>
      <c r="BA16" s="1164">
        <f>SUMIFS(Table91517[Count of EnergyRating],Table91517[MainSpaceHeatingFuel],AL16,Table91517[EnergyRating (group)],AM16,Table91517[CountyName (group)],BA$4)</f>
        <v>107</v>
      </c>
      <c r="BB16" s="1164">
        <f>SUMIFS(Table91517[Count of EnergyRating],Table91517[MainSpaceHeatingFuel],AL16,Table91517[EnergyRating (group)],AM16,Table91517[CountyName (group)],BB$4)</f>
        <v>0</v>
      </c>
      <c r="BC16" s="1164">
        <f>SUMIFS(Table91517[Count of EnergyRating],Table91517[MainSpaceHeatingFuel],AL16,Table91517[EnergyRating (group)],AM16,Table91517[CountyName (group)],BC$4)</f>
        <v>16</v>
      </c>
      <c r="BD16" s="1164">
        <f>SUMIFS(Table91517[Count of EnergyRating],Table91517[MainSpaceHeatingFuel],AL16,Table91517[EnergyRating (group)],AM16,Table91517[CountyName (group)],BD$4)</f>
        <v>7</v>
      </c>
      <c r="BE16" s="1164">
        <f>SUMIFS(Table91517[Count of EnergyRating],Table91517[MainSpaceHeatingFuel],AL16,Table91517[EnergyRating (group)],AM16,Table91517[CountyName (group)],BE$4)</f>
        <v>24</v>
      </c>
      <c r="BF16" s="1164">
        <f>SUMIFS(Table91517[Count of EnergyRating],Table91517[MainSpaceHeatingFuel],AL16,Table91517[EnergyRating (group)],AM16,Table91517[CountyName (group)],BF$4)</f>
        <v>9</v>
      </c>
      <c r="BG16" s="1164">
        <f>SUMIFS(Table91517[Count of EnergyRating],Table91517[MainSpaceHeatingFuel],AL16,Table91517[EnergyRating (group)],AM16,Table91517[CountyName (group)],BG$4)</f>
        <v>0</v>
      </c>
      <c r="BH16" s="1164">
        <f>SUMIFS(Table91517[Count of EnergyRating],Table91517[MainSpaceHeatingFuel],AL16,Table91517[EnergyRating (group)],AM16,Table91517[CountyName (group)],BH$4)</f>
        <v>5</v>
      </c>
      <c r="BI16" s="1164">
        <f>SUMIFS(Table91517[Count of EnergyRating],Table91517[MainSpaceHeatingFuel],AL16,Table91517[EnergyRating (group)],AM16,Table91517[CountyName (group)],BI$4)</f>
        <v>0</v>
      </c>
      <c r="BJ16" s="1164">
        <f>SUMIFS(Table91517[Count of EnergyRating],Table91517[MainSpaceHeatingFuel],AL16,Table91517[EnergyRating (group)],AM16,Table91517[CountyName (group)],BJ$4)</f>
        <v>0</v>
      </c>
      <c r="BK16" s="1135">
        <f>SUMIFS(Table91517[Count of EnergyRating],Table91517[MainSpaceHeatingFuel],AL16,Table91517[EnergyRating (group)],AM16,Table91517[CountyName (group)],BK$4)</f>
        <v>16</v>
      </c>
      <c r="BL16" s="1164">
        <f>SUMIFS(Table91517[Count of EnergyRating],Table91517[MainSpaceHeatingFuel],AL16,Table91517[EnergyRating (group)],AM16,Table91517[CountyName (group)],BL$4)</f>
        <v>0</v>
      </c>
      <c r="BM16" s="1164">
        <f>SUMIFS(Table91517[Count of EnergyRating],Table91517[MainSpaceHeatingFuel],AL16,Table91517[EnergyRating (group)],AM16,Table91517[CountyName (group)],BM$4)</f>
        <v>0</v>
      </c>
    </row>
    <row r="17" spans="2:65">
      <c r="B17" s="1136" t="s">
        <v>56</v>
      </c>
      <c r="C17" s="1136" t="s">
        <v>1231</v>
      </c>
      <c r="D17" s="1136" t="s">
        <v>1094</v>
      </c>
      <c r="E17" s="1146">
        <f t="shared" ref="E17:AD17" si="8">IFERROR(G139*((SUM(AN$19)/SUM(AN$15:AN$23))/(SUM(G$139)/SUM(G$138:G$143))),G139)</f>
        <v>0.85805064622881844</v>
      </c>
      <c r="F17" s="1146">
        <f t="shared" si="8"/>
        <v>3.2412365549258917</v>
      </c>
      <c r="G17" s="1146">
        <f t="shared" si="8"/>
        <v>2.5218091195052823</v>
      </c>
      <c r="H17" s="1146">
        <f t="shared" si="8"/>
        <v>1.7381536908258028</v>
      </c>
      <c r="I17" s="1146">
        <f t="shared" si="8"/>
        <v>1.3642513561229728</v>
      </c>
      <c r="J17" s="1146">
        <f t="shared" si="8"/>
        <v>1.2856201758287928</v>
      </c>
      <c r="K17" s="1146">
        <f t="shared" si="8"/>
        <v>1.6289143488014495</v>
      </c>
      <c r="L17" s="1146">
        <f t="shared" si="8"/>
        <v>3.0706509608598842</v>
      </c>
      <c r="M17" s="1146">
        <f t="shared" si="8"/>
        <v>1.820000447742925</v>
      </c>
      <c r="N17" s="1146">
        <f t="shared" si="8"/>
        <v>1.6985979095456962</v>
      </c>
      <c r="O17" s="1146">
        <f t="shared" si="8"/>
        <v>2.245852634307707</v>
      </c>
      <c r="P17" s="1146">
        <f t="shared" si="8"/>
        <v>1.4468071325906224</v>
      </c>
      <c r="Q17" s="1146">
        <f t="shared" si="8"/>
        <v>2.4848595925300492</v>
      </c>
      <c r="R17" s="1146">
        <f t="shared" si="8"/>
        <v>6.6208380946221173</v>
      </c>
      <c r="S17" s="1146">
        <f t="shared" si="8"/>
        <v>3.0037595869621838</v>
      </c>
      <c r="T17" s="1146">
        <f t="shared" si="8"/>
        <v>2.6302523785924716</v>
      </c>
      <c r="U17" s="1146">
        <f t="shared" si="8"/>
        <v>3.2732268725422395</v>
      </c>
      <c r="V17" s="1146">
        <f t="shared" si="8"/>
        <v>1.6148665455005538</v>
      </c>
      <c r="W17" s="1146">
        <f t="shared" si="8"/>
        <v>5.791625022285162</v>
      </c>
      <c r="X17" s="1146">
        <f t="shared" si="8"/>
        <v>1.2239027098843609</v>
      </c>
      <c r="Y17" s="1146">
        <f t="shared" si="8"/>
        <v>2.807059945515487</v>
      </c>
      <c r="Z17" s="1146">
        <f t="shared" si="8"/>
        <v>1.9202532315842551</v>
      </c>
      <c r="AA17" s="1146">
        <f t="shared" si="8"/>
        <v>1.4714156096674773</v>
      </c>
      <c r="AB17" s="1146">
        <f t="shared" si="8"/>
        <v>1.9433130928621027</v>
      </c>
      <c r="AC17" s="1146">
        <f t="shared" si="8"/>
        <v>1.0652470429855685</v>
      </c>
      <c r="AD17" s="1146">
        <f t="shared" si="8"/>
        <v>1.2069583729639608</v>
      </c>
      <c r="AE17" s="1173">
        <f t="shared" si="4"/>
        <v>59.977523075783829</v>
      </c>
      <c r="AG17" s="1164"/>
      <c r="AL17" s="1144" t="s">
        <v>402</v>
      </c>
      <c r="AM17" s="1144" t="s">
        <v>52</v>
      </c>
      <c r="AN17" s="1135">
        <f>SUMIFS(Table91517[Count of EnergyRating],Table91517[MainSpaceHeatingFuel],AL17,Table91517[EnergyRating (group)],AM17,Table91517[CountyName (group)],AN$4)</f>
        <v>9</v>
      </c>
      <c r="AO17" s="1164">
        <f>SUMIFS(Table91517[Count of EnergyRating],Table91517[MainSpaceHeatingFuel],AL17,Table91517[EnergyRating (group)],AM17,Table91517[CountyName (group)],AO$4)</f>
        <v>590</v>
      </c>
      <c r="AP17" s="1164">
        <f>SUMIFS(Table91517[Count of EnergyRating],Table91517[MainSpaceHeatingFuel],AL17,Table91517[EnergyRating (group)],AM17,Table91517[CountyName (group)],AP$4)</f>
        <v>127</v>
      </c>
      <c r="AQ17" s="1164">
        <f>SUMIFS(Table91517[Count of EnergyRating],Table91517[MainSpaceHeatingFuel],AL17,Table91517[EnergyRating (group)],AM17,Table91517[CountyName (group)],AQ$4)</f>
        <v>22</v>
      </c>
      <c r="AR17" s="1164">
        <f>SUMIFS(Table91517[Count of EnergyRating],Table91517[MainSpaceHeatingFuel],AL17,Table91517[EnergyRating (group)],AM17,Table91517[CountyName (group)],AR$4)</f>
        <v>49</v>
      </c>
      <c r="AS17" s="1164">
        <f>SUMIFS(Table91517[Count of EnergyRating],Table91517[MainSpaceHeatingFuel],AL17,Table91517[EnergyRating (group)],AM17,Table91517[CountyName (group)],AS$4)</f>
        <v>1</v>
      </c>
      <c r="AT17" s="1164">
        <f>SUMIFS(Table91517[Count of EnergyRating],Table91517[MainSpaceHeatingFuel],AL17,Table91517[EnergyRating (group)],AM17,Table91517[CountyName (group)],AT$4)</f>
        <v>92</v>
      </c>
      <c r="AU17" s="1164">
        <f>SUMIFS(Table91517[Count of EnergyRating],Table91517[MainSpaceHeatingFuel],AL17,Table91517[EnergyRating (group)],AM17,Table91517[CountyName (group)],AU$4)</f>
        <v>111</v>
      </c>
      <c r="AV17" s="1164">
        <f>SUMIFS(Table91517[Count of EnergyRating],Table91517[MainSpaceHeatingFuel],AL17,Table91517[EnergyRating (group)],AM17,Table91517[CountyName (group)],AV$4)</f>
        <v>1</v>
      </c>
      <c r="AW17" s="1164">
        <f>SUMIFS(Table91517[Count of EnergyRating],Table91517[MainSpaceHeatingFuel],AL17,Table91517[EnergyRating (group)],AM17,Table91517[CountyName (group)],AW$4)</f>
        <v>5</v>
      </c>
      <c r="AX17" s="1164">
        <f>SUMIFS(Table91517[Count of EnergyRating],Table91517[MainSpaceHeatingFuel],AL17,Table91517[EnergyRating (group)],AM17,Table91517[CountyName (group)],AX$4)</f>
        <v>0</v>
      </c>
      <c r="AY17" s="1164">
        <f>SUMIFS(Table91517[Count of EnergyRating],Table91517[MainSpaceHeatingFuel],AL17,Table91517[EnergyRating (group)],AM17,Table91517[CountyName (group)],AY$4)</f>
        <v>81</v>
      </c>
      <c r="AZ17" s="1164">
        <f>SUMIFS(Table91517[Count of EnergyRating],Table91517[MainSpaceHeatingFuel],AL17,Table91517[EnergyRating (group)],AM17,Table91517[CountyName (group)],AZ$4)</f>
        <v>29</v>
      </c>
      <c r="BA17" s="1164">
        <f>SUMIFS(Table91517[Count of EnergyRating],Table91517[MainSpaceHeatingFuel],AL17,Table91517[EnergyRating (group)],AM17,Table91517[CountyName (group)],BA$4)</f>
        <v>347</v>
      </c>
      <c r="BB17" s="1164">
        <f>SUMIFS(Table91517[Count of EnergyRating],Table91517[MainSpaceHeatingFuel],AL17,Table91517[EnergyRating (group)],AM17,Table91517[CountyName (group)],BB$4)</f>
        <v>2</v>
      </c>
      <c r="BC17" s="1164">
        <f>SUMIFS(Table91517[Count of EnergyRating],Table91517[MainSpaceHeatingFuel],AL17,Table91517[EnergyRating (group)],AM17,Table91517[CountyName (group)],BC$4)</f>
        <v>36</v>
      </c>
      <c r="BD17" s="1164">
        <f>SUMIFS(Table91517[Count of EnergyRating],Table91517[MainSpaceHeatingFuel],AL17,Table91517[EnergyRating (group)],AM17,Table91517[CountyName (group)],BD$4)</f>
        <v>29</v>
      </c>
      <c r="BE17" s="1164">
        <f>SUMIFS(Table91517[Count of EnergyRating],Table91517[MainSpaceHeatingFuel],AL17,Table91517[EnergyRating (group)],AM17,Table91517[CountyName (group)],BE$4)</f>
        <v>31</v>
      </c>
      <c r="BF17" s="1164">
        <f>SUMIFS(Table91517[Count of EnergyRating],Table91517[MainSpaceHeatingFuel],AL17,Table91517[EnergyRating (group)],AM17,Table91517[CountyName (group)],BF$4)</f>
        <v>27</v>
      </c>
      <c r="BG17" s="1164">
        <f>SUMIFS(Table91517[Count of EnergyRating],Table91517[MainSpaceHeatingFuel],AL17,Table91517[EnergyRating (group)],AM17,Table91517[CountyName (group)],BG$4)</f>
        <v>0</v>
      </c>
      <c r="BH17" s="1164">
        <f>SUMIFS(Table91517[Count of EnergyRating],Table91517[MainSpaceHeatingFuel],AL17,Table91517[EnergyRating (group)],AM17,Table91517[CountyName (group)],BH$4)</f>
        <v>10</v>
      </c>
      <c r="BI17" s="1164">
        <f>SUMIFS(Table91517[Count of EnergyRating],Table91517[MainSpaceHeatingFuel],AL17,Table91517[EnergyRating (group)],AM17,Table91517[CountyName (group)],BI$4)</f>
        <v>0</v>
      </c>
      <c r="BJ17" s="1164">
        <f>SUMIFS(Table91517[Count of EnergyRating],Table91517[MainSpaceHeatingFuel],AL17,Table91517[EnergyRating (group)],AM17,Table91517[CountyName (group)],BJ$4)</f>
        <v>1</v>
      </c>
      <c r="BK17" s="1135">
        <f>SUMIFS(Table91517[Count of EnergyRating],Table91517[MainSpaceHeatingFuel],AL17,Table91517[EnergyRating (group)],AM17,Table91517[CountyName (group)],BK$4)</f>
        <v>13</v>
      </c>
      <c r="BL17" s="1164">
        <f>SUMIFS(Table91517[Count of EnergyRating],Table91517[MainSpaceHeatingFuel],AL17,Table91517[EnergyRating (group)],AM17,Table91517[CountyName (group)],BL$4)</f>
        <v>0</v>
      </c>
      <c r="BM17" s="1164">
        <f>SUMIFS(Table91517[Count of EnergyRating],Table91517[MainSpaceHeatingFuel],AL17,Table91517[EnergyRating (group)],AM17,Table91517[CountyName (group)],BM$4)</f>
        <v>5</v>
      </c>
    </row>
    <row r="18" spans="2:65">
      <c r="B18" s="1134" t="s">
        <v>58</v>
      </c>
      <c r="C18" s="1134" t="s">
        <v>1231</v>
      </c>
      <c r="D18" s="1134" t="s">
        <v>1094</v>
      </c>
      <c r="E18" s="1145">
        <f t="shared" ref="E18:AD18" si="9">IFERROR(G140*((SUM(AN$20)/SUM(AN$15:AN$23))/(SUM(G$140)/SUM(G$138:G$143))),G140)</f>
        <v>0.50151990679856151</v>
      </c>
      <c r="F18" s="1145">
        <f t="shared" si="9"/>
        <v>2.1149910067083746</v>
      </c>
      <c r="G18" s="1145">
        <f t="shared" si="9"/>
        <v>0.7680785158423733</v>
      </c>
      <c r="H18" s="1145">
        <f t="shared" si="9"/>
        <v>0.64559994230672679</v>
      </c>
      <c r="I18" s="1145">
        <f t="shared" si="9"/>
        <v>0.37597478318349642</v>
      </c>
      <c r="J18" s="1145">
        <f t="shared" si="9"/>
        <v>0.11959257449570167</v>
      </c>
      <c r="K18" s="1145">
        <f t="shared" si="9"/>
        <v>0.53477076792925171</v>
      </c>
      <c r="L18" s="1145">
        <f t="shared" si="9"/>
        <v>0.6914186857446406</v>
      </c>
      <c r="M18" s="1145">
        <f t="shared" si="9"/>
        <v>0.25440866473825841</v>
      </c>
      <c r="N18" s="1145">
        <f t="shared" si="9"/>
        <v>0.35278571967487538</v>
      </c>
      <c r="O18" s="1145">
        <f t="shared" si="9"/>
        <v>2.0961291253538596</v>
      </c>
      <c r="P18" s="1145">
        <f t="shared" si="9"/>
        <v>0.69987824706619539</v>
      </c>
      <c r="Q18" s="1145">
        <f t="shared" si="9"/>
        <v>0.57804890823206589</v>
      </c>
      <c r="R18" s="1145">
        <f t="shared" si="9"/>
        <v>2.395328649269731</v>
      </c>
      <c r="S18" s="1145">
        <f t="shared" si="9"/>
        <v>0.20025063913081226</v>
      </c>
      <c r="T18" s="1145">
        <f t="shared" si="9"/>
        <v>1.2109715280531337</v>
      </c>
      <c r="U18" s="1145">
        <f t="shared" si="9"/>
        <v>0.92135274930818578</v>
      </c>
      <c r="V18" s="1145">
        <f t="shared" si="9"/>
        <v>0.70703813037127416</v>
      </c>
      <c r="W18" s="1145">
        <f t="shared" si="9"/>
        <v>0.83686324863294792</v>
      </c>
      <c r="X18" s="1145">
        <f t="shared" si="9"/>
        <v>0</v>
      </c>
      <c r="Y18" s="1145">
        <f t="shared" si="9"/>
        <v>0.51037453554827039</v>
      </c>
      <c r="Z18" s="1145">
        <f t="shared" si="9"/>
        <v>0.21821059449821081</v>
      </c>
      <c r="AA18" s="1145">
        <f t="shared" si="9"/>
        <v>0.40129516627294837</v>
      </c>
      <c r="AB18" s="1145">
        <f t="shared" si="9"/>
        <v>0.26306858462325411</v>
      </c>
      <c r="AC18" s="1145">
        <f t="shared" si="9"/>
        <v>3.1957411289567053</v>
      </c>
      <c r="AD18" s="1145">
        <f t="shared" si="9"/>
        <v>0.28967000951135058</v>
      </c>
      <c r="AE18" s="1172">
        <f t="shared" si="4"/>
        <v>20.883361812251206</v>
      </c>
      <c r="AG18" s="1164"/>
      <c r="AL18" s="1144" t="s">
        <v>402</v>
      </c>
      <c r="AM18" s="1144" t="s">
        <v>54</v>
      </c>
      <c r="AN18" s="1135">
        <f>SUMIFS(Table91517[Count of EnergyRating],Table91517[MainSpaceHeatingFuel],AL18,Table91517[EnergyRating (group)],AM18,Table91517[CountyName (group)],AN$4)</f>
        <v>72</v>
      </c>
      <c r="AO18" s="1164">
        <f>SUMIFS(Table91517[Count of EnergyRating],Table91517[MainSpaceHeatingFuel],AL18,Table91517[EnergyRating (group)],AM18,Table91517[CountyName (group)],AO$4)</f>
        <v>1288</v>
      </c>
      <c r="AP18" s="1164">
        <f>SUMIFS(Table91517[Count of EnergyRating],Table91517[MainSpaceHeatingFuel],AL18,Table91517[EnergyRating (group)],AM18,Table91517[CountyName (group)],AP$4)</f>
        <v>424</v>
      </c>
      <c r="AQ18" s="1164">
        <f>SUMIFS(Table91517[Count of EnergyRating],Table91517[MainSpaceHeatingFuel],AL18,Table91517[EnergyRating (group)],AM18,Table91517[CountyName (group)],AQ$4)</f>
        <v>73</v>
      </c>
      <c r="AR18" s="1164">
        <f>SUMIFS(Table91517[Count of EnergyRating],Table91517[MainSpaceHeatingFuel],AL18,Table91517[EnergyRating (group)],AM18,Table91517[CountyName (group)],AR$4)</f>
        <v>189</v>
      </c>
      <c r="AS18" s="1164">
        <f>SUMIFS(Table91517[Count of EnergyRating],Table91517[MainSpaceHeatingFuel],AL18,Table91517[EnergyRating (group)],AM18,Table91517[CountyName (group)],AS$4)</f>
        <v>3</v>
      </c>
      <c r="AT18" s="1164">
        <f>SUMIFS(Table91517[Count of EnergyRating],Table91517[MainSpaceHeatingFuel],AL18,Table91517[EnergyRating (group)],AM18,Table91517[CountyName (group)],AT$4)</f>
        <v>281</v>
      </c>
      <c r="AU18" s="1164">
        <f>SUMIFS(Table91517[Count of EnergyRating],Table91517[MainSpaceHeatingFuel],AL18,Table91517[EnergyRating (group)],AM18,Table91517[CountyName (group)],AU$4)</f>
        <v>346</v>
      </c>
      <c r="AV18" s="1164">
        <f>SUMIFS(Table91517[Count of EnergyRating],Table91517[MainSpaceHeatingFuel],AL18,Table91517[EnergyRating (group)],AM18,Table91517[CountyName (group)],AV$4)</f>
        <v>20</v>
      </c>
      <c r="AW18" s="1164">
        <f>SUMIFS(Table91517[Count of EnergyRating],Table91517[MainSpaceHeatingFuel],AL18,Table91517[EnergyRating (group)],AM18,Table91517[CountyName (group)],AW$4)</f>
        <v>26</v>
      </c>
      <c r="AX18" s="1164">
        <f>SUMIFS(Table91517[Count of EnergyRating],Table91517[MainSpaceHeatingFuel],AL18,Table91517[EnergyRating (group)],AM18,Table91517[CountyName (group)],AX$4)</f>
        <v>7</v>
      </c>
      <c r="AY18" s="1164">
        <f>SUMIFS(Table91517[Count of EnergyRating],Table91517[MainSpaceHeatingFuel],AL18,Table91517[EnergyRating (group)],AM18,Table91517[CountyName (group)],AY$4)</f>
        <v>195</v>
      </c>
      <c r="AZ18" s="1164">
        <f>SUMIFS(Table91517[Count of EnergyRating],Table91517[MainSpaceHeatingFuel],AL18,Table91517[EnergyRating (group)],AM18,Table91517[CountyName (group)],AZ$4)</f>
        <v>72</v>
      </c>
      <c r="BA18" s="1164">
        <f>SUMIFS(Table91517[Count of EnergyRating],Table91517[MainSpaceHeatingFuel],AL18,Table91517[EnergyRating (group)],AM18,Table91517[CountyName (group)],BA$4)</f>
        <v>1089</v>
      </c>
      <c r="BB18" s="1164">
        <f>SUMIFS(Table91517[Count of EnergyRating],Table91517[MainSpaceHeatingFuel],AL18,Table91517[EnergyRating (group)],AM18,Table91517[CountyName (group)],BB$4)</f>
        <v>19</v>
      </c>
      <c r="BC18" s="1164">
        <f>SUMIFS(Table91517[Count of EnergyRating],Table91517[MainSpaceHeatingFuel],AL18,Table91517[EnergyRating (group)],AM18,Table91517[CountyName (group)],BC$4)</f>
        <v>212</v>
      </c>
      <c r="BD18" s="1164">
        <f>SUMIFS(Table91517[Count of EnergyRating],Table91517[MainSpaceHeatingFuel],AL18,Table91517[EnergyRating (group)],AM18,Table91517[CountyName (group)],BD$4)</f>
        <v>104</v>
      </c>
      <c r="BE18" s="1164">
        <f>SUMIFS(Table91517[Count of EnergyRating],Table91517[MainSpaceHeatingFuel],AL18,Table91517[EnergyRating (group)],AM18,Table91517[CountyName (group)],BE$4)</f>
        <v>167</v>
      </c>
      <c r="BF18" s="1164">
        <f>SUMIFS(Table91517[Count of EnergyRating],Table91517[MainSpaceHeatingFuel],AL18,Table91517[EnergyRating (group)],AM18,Table91517[CountyName (group)],BF$4)</f>
        <v>86</v>
      </c>
      <c r="BG18" s="1164">
        <f>SUMIFS(Table91517[Count of EnergyRating],Table91517[MainSpaceHeatingFuel],AL18,Table91517[EnergyRating (group)],AM18,Table91517[CountyName (group)],BG$4)</f>
        <v>1</v>
      </c>
      <c r="BH18" s="1164">
        <f>SUMIFS(Table91517[Count of EnergyRating],Table91517[MainSpaceHeatingFuel],AL18,Table91517[EnergyRating (group)],AM18,Table91517[CountyName (group)],BH$4)</f>
        <v>9</v>
      </c>
      <c r="BI18" s="1164">
        <f>SUMIFS(Table91517[Count of EnergyRating],Table91517[MainSpaceHeatingFuel],AL18,Table91517[EnergyRating (group)],AM18,Table91517[CountyName (group)],BI$4)</f>
        <v>16</v>
      </c>
      <c r="BJ18" s="1164">
        <f>SUMIFS(Table91517[Count of EnergyRating],Table91517[MainSpaceHeatingFuel],AL18,Table91517[EnergyRating (group)],AM18,Table91517[CountyName (group)],BJ$4)</f>
        <v>2</v>
      </c>
      <c r="BK18" s="1135">
        <f>SUMIFS(Table91517[Count of EnergyRating],Table91517[MainSpaceHeatingFuel],AL18,Table91517[EnergyRating (group)],AM18,Table91517[CountyName (group)],BK$4)</f>
        <v>37</v>
      </c>
      <c r="BL18" s="1164">
        <f>SUMIFS(Table91517[Count of EnergyRating],Table91517[MainSpaceHeatingFuel],AL18,Table91517[EnergyRating (group)],AM18,Table91517[CountyName (group)],BL$4)</f>
        <v>2</v>
      </c>
      <c r="BM18" s="1164">
        <f>SUMIFS(Table91517[Count of EnergyRating],Table91517[MainSpaceHeatingFuel],AL18,Table91517[EnergyRating (group)],AM18,Table91517[CountyName (group)],BM$4)</f>
        <v>13</v>
      </c>
    </row>
    <row r="19" spans="2:65" ht="15">
      <c r="B19" s="1136" t="s">
        <v>60</v>
      </c>
      <c r="C19" s="1136" t="s">
        <v>1231</v>
      </c>
      <c r="D19" s="1136" t="s">
        <v>1094</v>
      </c>
      <c r="E19" s="1146">
        <f t="shared" ref="E19:AD19" si="10">IFERROR(G141*((SUM(AN$21)/SUM(AN$15:AN$23))/(SUM(G$141)/SUM(G$138:G$143))),G141)</f>
        <v>8.0813634270858248E-2</v>
      </c>
      <c r="F19" s="1146">
        <f t="shared" si="10"/>
        <v>0.95280145163285301</v>
      </c>
      <c r="G19" s="1146">
        <f t="shared" si="10"/>
        <v>0.14602253152896832</v>
      </c>
      <c r="H19" s="1146">
        <f t="shared" si="10"/>
        <v>0.1738153690825803</v>
      </c>
      <c r="I19" s="1146">
        <f t="shared" si="10"/>
        <v>6.9823888305506482E-2</v>
      </c>
      <c r="J19" s="1146">
        <f t="shared" si="10"/>
        <v>0</v>
      </c>
      <c r="K19" s="1146">
        <f t="shared" si="10"/>
        <v>8.5459735310727883E-2</v>
      </c>
      <c r="L19" s="1146">
        <f t="shared" si="10"/>
        <v>0.10862166664266257</v>
      </c>
      <c r="M19" s="1146">
        <f t="shared" si="10"/>
        <v>0</v>
      </c>
      <c r="N19" s="1146">
        <f t="shared" si="10"/>
        <v>5.2264551062944496E-2</v>
      </c>
      <c r="O19" s="1146">
        <f t="shared" si="10"/>
        <v>0.37430877238461779</v>
      </c>
      <c r="P19" s="1146">
        <f t="shared" si="10"/>
        <v>0.2372136355602511</v>
      </c>
      <c r="Q19" s="1146">
        <f t="shared" si="10"/>
        <v>0.11260693017507778</v>
      </c>
      <c r="R19" s="1146">
        <f t="shared" si="10"/>
        <v>0.81216612014301814</v>
      </c>
      <c r="S19" s="1146">
        <f t="shared" si="10"/>
        <v>0.10012531956540613</v>
      </c>
      <c r="T19" s="1146">
        <f t="shared" si="10"/>
        <v>0.23886135645084747</v>
      </c>
      <c r="U19" s="1146">
        <f t="shared" si="10"/>
        <v>0.23033818732704647</v>
      </c>
      <c r="V19" s="1146">
        <f t="shared" si="10"/>
        <v>0.12389187782940755</v>
      </c>
      <c r="W19" s="1146">
        <f t="shared" si="10"/>
        <v>3.9850630887283231E-2</v>
      </c>
      <c r="X19" s="1146">
        <f t="shared" si="10"/>
        <v>0</v>
      </c>
      <c r="Y19" s="1146">
        <f t="shared" si="10"/>
        <v>0.17012484518275681</v>
      </c>
      <c r="Z19" s="1146">
        <f t="shared" si="10"/>
        <v>0</v>
      </c>
      <c r="AA19" s="1146">
        <f t="shared" si="10"/>
        <v>0</v>
      </c>
      <c r="AB19" s="1146">
        <f t="shared" si="10"/>
        <v>5.0916500249662086E-2</v>
      </c>
      <c r="AC19" s="1146">
        <f t="shared" si="10"/>
        <v>0</v>
      </c>
      <c r="AD19" s="1146">
        <f t="shared" si="10"/>
        <v>0.16897417221495453</v>
      </c>
      <c r="AE19" s="1173">
        <f t="shared" si="4"/>
        <v>4.3290011758074298</v>
      </c>
      <c r="AG19" s="1164"/>
      <c r="AH19" s="1137" t="s">
        <v>1157</v>
      </c>
      <c r="AI19" s="1137" t="s">
        <v>1160</v>
      </c>
      <c r="AJ19" s="1159" t="s">
        <v>1159</v>
      </c>
      <c r="AL19" s="1144" t="s">
        <v>402</v>
      </c>
      <c r="AM19" s="1144" t="s">
        <v>56</v>
      </c>
      <c r="AN19" s="1135">
        <f>SUMIFS(Table91517[Count of EnergyRating],Table91517[MainSpaceHeatingFuel],AL19,Table91517[EnergyRating (group)],AM19,Table91517[CountyName (group)],AN$4)</f>
        <v>361</v>
      </c>
      <c r="AO19" s="1164">
        <f>SUMIFS(Table91517[Count of EnergyRating],Table91517[MainSpaceHeatingFuel],AL19,Table91517[EnergyRating (group)],AM19,Table91517[CountyName (group)],AO$4)</f>
        <v>5681</v>
      </c>
      <c r="AP19" s="1164">
        <f>SUMIFS(Table91517[Count of EnergyRating],Table91517[MainSpaceHeatingFuel],AL19,Table91517[EnergyRating (group)],AM19,Table91517[CountyName (group)],AP$4)</f>
        <v>1727</v>
      </c>
      <c r="AQ19" s="1164">
        <f>SUMIFS(Table91517[Count of EnergyRating],Table91517[MainSpaceHeatingFuel],AL19,Table91517[EnergyRating (group)],AM19,Table91517[CountyName (group)],AQ$4)</f>
        <v>350</v>
      </c>
      <c r="AR19" s="1164">
        <f>SUMIFS(Table91517[Count of EnergyRating],Table91517[MainSpaceHeatingFuel],AL19,Table91517[EnergyRating (group)],AM19,Table91517[CountyName (group)],AR$4)</f>
        <v>508</v>
      </c>
      <c r="AS19" s="1164">
        <f>SUMIFS(Table91517[Count of EnergyRating],Table91517[MainSpaceHeatingFuel],AL19,Table91517[EnergyRating (group)],AM19,Table91517[CountyName (group)],AS$4)</f>
        <v>43</v>
      </c>
      <c r="AT19" s="1164">
        <f>SUMIFS(Table91517[Count of EnergyRating],Table91517[MainSpaceHeatingFuel],AL19,Table91517[EnergyRating (group)],AM19,Table91517[CountyName (group)],AT$4)</f>
        <v>1258</v>
      </c>
      <c r="AU19" s="1164">
        <f>SUMIFS(Table91517[Count of EnergyRating],Table91517[MainSpaceHeatingFuel],AL19,Table91517[EnergyRating (group)],AM19,Table91517[CountyName (group)],AU$4)</f>
        <v>1470</v>
      </c>
      <c r="AV19" s="1164">
        <f>SUMIFS(Table91517[Count of EnergyRating],Table91517[MainSpaceHeatingFuel],AL19,Table91517[EnergyRating (group)],AM19,Table91517[CountyName (group)],AV$4)</f>
        <v>93</v>
      </c>
      <c r="AW19" s="1164">
        <f>SUMIFS(Table91517[Count of EnergyRating],Table91517[MainSpaceHeatingFuel],AL19,Table91517[EnergyRating (group)],AM19,Table91517[CountyName (group)],AW$4)</f>
        <v>130</v>
      </c>
      <c r="AX19" s="1164">
        <f>SUMIFS(Table91517[Count of EnergyRating],Table91517[MainSpaceHeatingFuel],AL19,Table91517[EnergyRating (group)],AM19,Table91517[CountyName (group)],AX$4)</f>
        <v>30</v>
      </c>
      <c r="AY19" s="1164">
        <f>SUMIFS(Table91517[Count of EnergyRating],Table91517[MainSpaceHeatingFuel],AL19,Table91517[EnergyRating (group)],AM19,Table91517[CountyName (group)],AY$4)</f>
        <v>738</v>
      </c>
      <c r="AZ19" s="1164">
        <f>SUMIFS(Table91517[Count of EnergyRating],Table91517[MainSpaceHeatingFuel],AL19,Table91517[EnergyRating (group)],AM19,Table91517[CountyName (group)],AZ$4)</f>
        <v>331</v>
      </c>
      <c r="BA19" s="1164">
        <f>SUMIFS(Table91517[Count of EnergyRating],Table91517[MainSpaceHeatingFuel],AL19,Table91517[EnergyRating (group)],AM19,Table91517[CountyName (group)],BA$4)</f>
        <v>3538</v>
      </c>
      <c r="BB19" s="1164">
        <f>SUMIFS(Table91517[Count of EnergyRating],Table91517[MainSpaceHeatingFuel],AL19,Table91517[EnergyRating (group)],AM19,Table91517[CountyName (group)],BB$4)</f>
        <v>30</v>
      </c>
      <c r="BC19" s="1164">
        <f>SUMIFS(Table91517[Count of EnergyRating],Table91517[MainSpaceHeatingFuel],AL19,Table91517[EnergyRating (group)],AM19,Table91517[CountyName (group)],BC$4)</f>
        <v>947</v>
      </c>
      <c r="BD19" s="1164">
        <f>SUMIFS(Table91517[Count of EnergyRating],Table91517[MainSpaceHeatingFuel],AL19,Table91517[EnergyRating (group)],AM19,Table91517[CountyName (group)],BD$4)</f>
        <v>540</v>
      </c>
      <c r="BE19" s="1164">
        <f>SUMIFS(Table91517[Count of EnergyRating],Table91517[MainSpaceHeatingFuel],AL19,Table91517[EnergyRating (group)],AM19,Table91517[CountyName (group)],BE$4)</f>
        <v>756</v>
      </c>
      <c r="BF19" s="1164">
        <f>SUMIFS(Table91517[Count of EnergyRating],Table91517[MainSpaceHeatingFuel],AL19,Table91517[EnergyRating (group)],AM19,Table91517[CountyName (group)],BF$4)</f>
        <v>436</v>
      </c>
      <c r="BG19" s="1164">
        <f>SUMIFS(Table91517[Count of EnergyRating],Table91517[MainSpaceHeatingFuel],AL19,Table91517[EnergyRating (group)],AM19,Table91517[CountyName (group)],BG$4)</f>
        <v>6</v>
      </c>
      <c r="BH19" s="1164">
        <f>SUMIFS(Table91517[Count of EnergyRating],Table91517[MainSpaceHeatingFuel],AL19,Table91517[EnergyRating (group)],AM19,Table91517[CountyName (group)],BH$4)</f>
        <v>66</v>
      </c>
      <c r="BI19" s="1164">
        <f>SUMIFS(Table91517[Count of EnergyRating],Table91517[MainSpaceHeatingFuel],AL19,Table91517[EnergyRating (group)],AM19,Table91517[CountyName (group)],BI$4)</f>
        <v>44</v>
      </c>
      <c r="BJ19" s="1164">
        <f>SUMIFS(Table91517[Count of EnergyRating],Table91517[MainSpaceHeatingFuel],AL19,Table91517[EnergyRating (group)],AM19,Table91517[CountyName (group)],BJ$4)</f>
        <v>11</v>
      </c>
      <c r="BK19" s="1135">
        <f>SUMIFS(Table91517[Count of EnergyRating],Table91517[MainSpaceHeatingFuel],AL19,Table91517[EnergyRating (group)],AM19,Table91517[CountyName (group)],BK$4)</f>
        <v>229</v>
      </c>
      <c r="BL19" s="1164">
        <f>SUMIFS(Table91517[Count of EnergyRating],Table91517[MainSpaceHeatingFuel],AL19,Table91517[EnergyRating (group)],AM19,Table91517[CountyName (group)],BL$4)</f>
        <v>1</v>
      </c>
      <c r="BM19" s="1164">
        <f>SUMIFS(Table91517[Count of EnergyRating],Table91517[MainSpaceHeatingFuel],AL19,Table91517[EnergyRating (group)],AM19,Table91517[CountyName (group)],BM$4)</f>
        <v>50</v>
      </c>
    </row>
    <row r="20" spans="2:65" ht="15">
      <c r="B20" s="1134" t="s">
        <v>62</v>
      </c>
      <c r="C20" s="1134" t="s">
        <v>1231</v>
      </c>
      <c r="D20" s="1134" t="s">
        <v>1094</v>
      </c>
      <c r="E20" s="1145">
        <f t="shared" ref="E20:AD20" si="11">IFERROR(G142*((SUM(AN$22)/SUM(AN$15:AN$23))/(SUM(G$142)/SUM(G$138:G$143))),G142)</f>
        <v>1.1884357981008566E-2</v>
      </c>
      <c r="F20" s="1145">
        <f t="shared" si="11"/>
        <v>0.39310191627247648</v>
      </c>
      <c r="G20" s="1145">
        <f t="shared" si="11"/>
        <v>3.0664731621083349E-2</v>
      </c>
      <c r="H20" s="1145">
        <f t="shared" si="11"/>
        <v>5.959384082831324E-2</v>
      </c>
      <c r="I20" s="1145">
        <f t="shared" si="11"/>
        <v>1.0742136662385611E-2</v>
      </c>
      <c r="J20" s="1145">
        <f t="shared" si="11"/>
        <v>0</v>
      </c>
      <c r="K20" s="1145">
        <f t="shared" si="11"/>
        <v>2.7191733962504322E-2</v>
      </c>
      <c r="L20" s="1145">
        <f t="shared" si="11"/>
        <v>2.7155416660665642E-2</v>
      </c>
      <c r="M20" s="1145">
        <f t="shared" si="11"/>
        <v>0</v>
      </c>
      <c r="N20" s="1145">
        <f t="shared" si="11"/>
        <v>0</v>
      </c>
      <c r="O20" s="1145">
        <f t="shared" si="11"/>
        <v>0</v>
      </c>
      <c r="P20" s="1145">
        <f t="shared" si="11"/>
        <v>0.11370570960739311</v>
      </c>
      <c r="Q20" s="1145">
        <f t="shared" si="11"/>
        <v>1.5014257356677036E-2</v>
      </c>
      <c r="R20" s="1145">
        <f t="shared" si="11"/>
        <v>0.30690148318768429</v>
      </c>
      <c r="S20" s="1145">
        <f t="shared" si="11"/>
        <v>0</v>
      </c>
      <c r="T20" s="1145">
        <f t="shared" si="11"/>
        <v>9.998847479337801E-2</v>
      </c>
      <c r="U20" s="1145">
        <f t="shared" si="11"/>
        <v>7.8799906190831673E-2</v>
      </c>
      <c r="V20" s="1145">
        <f t="shared" si="11"/>
        <v>4.485740404168205E-2</v>
      </c>
      <c r="W20" s="1145">
        <f t="shared" si="11"/>
        <v>2.6567087258188817E-2</v>
      </c>
      <c r="X20" s="1145">
        <f t="shared" si="11"/>
        <v>0</v>
      </c>
      <c r="Y20" s="1145">
        <f t="shared" si="11"/>
        <v>8.5062422591378403E-2</v>
      </c>
      <c r="Z20" s="1145">
        <f t="shared" si="11"/>
        <v>0</v>
      </c>
      <c r="AA20" s="1145">
        <f t="shared" si="11"/>
        <v>0</v>
      </c>
      <c r="AB20" s="1145">
        <f t="shared" si="11"/>
        <v>8.4860833749436804E-3</v>
      </c>
      <c r="AC20" s="1145">
        <f t="shared" si="11"/>
        <v>0</v>
      </c>
      <c r="AD20" s="1145">
        <f t="shared" si="11"/>
        <v>2.4139167459279218E-2</v>
      </c>
      <c r="AE20" s="1172">
        <f t="shared" si="4"/>
        <v>1.3638561298498735</v>
      </c>
      <c r="AG20" s="58" t="s">
        <v>1163</v>
      </c>
      <c r="AH20" s="1158">
        <f>SUM(E16:AD21)</f>
        <v>114.4515961797932</v>
      </c>
      <c r="AI20" s="1140">
        <f>'SHWLP-Det'!S16</f>
        <v>114.45159617979319</v>
      </c>
      <c r="AJ20" s="1160">
        <f>(AI20-AH20)/AI20</f>
        <v>-1.2416475776255691E-16</v>
      </c>
      <c r="AL20" s="1144" t="s">
        <v>402</v>
      </c>
      <c r="AM20" s="1144" t="s">
        <v>58</v>
      </c>
      <c r="AN20" s="1135">
        <f>SUMIFS(Table91517[Count of EnergyRating],Table91517[MainSpaceHeatingFuel],AL20,Table91517[EnergyRating (group)],AM20,Table91517[CountyName (group)],AN$4)</f>
        <v>211</v>
      </c>
      <c r="AO20" s="1164">
        <f>SUMIFS(Table91517[Count of EnergyRating],Table91517[MainSpaceHeatingFuel],AL20,Table91517[EnergyRating (group)],AM20,Table91517[CountyName (group)],AO$4)</f>
        <v>3707</v>
      </c>
      <c r="AP20" s="1164">
        <f>SUMIFS(Table91517[Count of EnergyRating],Table91517[MainSpaceHeatingFuel],AL20,Table91517[EnergyRating (group)],AM20,Table91517[CountyName (group)],AP$4)</f>
        <v>526</v>
      </c>
      <c r="AQ20" s="1164">
        <f>SUMIFS(Table91517[Count of EnergyRating],Table91517[MainSpaceHeatingFuel],AL20,Table91517[EnergyRating (group)],AM20,Table91517[CountyName (group)],AQ$4)</f>
        <v>130</v>
      </c>
      <c r="AR20" s="1164">
        <f>SUMIFS(Table91517[Count of EnergyRating],Table91517[MainSpaceHeatingFuel],AL20,Table91517[EnergyRating (group)],AM20,Table91517[CountyName (group)],AR$4)</f>
        <v>140</v>
      </c>
      <c r="AS20" s="1164">
        <f>SUMIFS(Table91517[Count of EnergyRating],Table91517[MainSpaceHeatingFuel],AL20,Table91517[EnergyRating (group)],AM20,Table91517[CountyName (group)],AS$4)</f>
        <v>4</v>
      </c>
      <c r="AT20" s="1164">
        <f>SUMIFS(Table91517[Count of EnergyRating],Table91517[MainSpaceHeatingFuel],AL20,Table91517[EnergyRating (group)],AM20,Table91517[CountyName (group)],AT$4)</f>
        <v>413</v>
      </c>
      <c r="AU20" s="1164">
        <f>SUMIFS(Table91517[Count of EnergyRating],Table91517[MainSpaceHeatingFuel],AL20,Table91517[EnergyRating (group)],AM20,Table91517[CountyName (group)],AU$4)</f>
        <v>331</v>
      </c>
      <c r="AV20" s="1164">
        <f>SUMIFS(Table91517[Count of EnergyRating],Table91517[MainSpaceHeatingFuel],AL20,Table91517[EnergyRating (group)],AM20,Table91517[CountyName (group)],AV$4)</f>
        <v>13</v>
      </c>
      <c r="AW20" s="1164">
        <f>SUMIFS(Table91517[Count of EnergyRating],Table91517[MainSpaceHeatingFuel],AL20,Table91517[EnergyRating (group)],AM20,Table91517[CountyName (group)],AW$4)</f>
        <v>27</v>
      </c>
      <c r="AX20" s="1164">
        <f>SUMIFS(Table91517[Count of EnergyRating],Table91517[MainSpaceHeatingFuel],AL20,Table91517[EnergyRating (group)],AM20,Table91517[CountyName (group)],AX$4)</f>
        <v>28</v>
      </c>
      <c r="AY20" s="1164">
        <f>SUMIFS(Table91517[Count of EnergyRating],Table91517[MainSpaceHeatingFuel],AL20,Table91517[EnergyRating (group)],AM20,Table91517[CountyName (group)],AY$4)</f>
        <v>357</v>
      </c>
      <c r="AZ20" s="1164">
        <f>SUMIFS(Table91517[Count of EnergyRating],Table91517[MainSpaceHeatingFuel],AL20,Table91517[EnergyRating (group)],AM20,Table91517[CountyName (group)],AZ$4)</f>
        <v>77</v>
      </c>
      <c r="BA20" s="1164">
        <f>SUMIFS(Table91517[Count of EnergyRating],Table91517[MainSpaceHeatingFuel],AL20,Table91517[EnergyRating (group)],AM20,Table91517[CountyName (group)],BA$4)</f>
        <v>1280</v>
      </c>
      <c r="BB20" s="1164">
        <f>SUMIFS(Table91517[Count of EnergyRating],Table91517[MainSpaceHeatingFuel],AL20,Table91517[EnergyRating (group)],AM20,Table91517[CountyName (group)],BB$4)</f>
        <v>2</v>
      </c>
      <c r="BC20" s="1164">
        <f>SUMIFS(Table91517[Count of EnergyRating],Table91517[MainSpaceHeatingFuel],AL20,Table91517[EnergyRating (group)],AM20,Table91517[CountyName (group)],BC$4)</f>
        <v>436</v>
      </c>
      <c r="BD20" s="1164">
        <f>SUMIFS(Table91517[Count of EnergyRating],Table91517[MainSpaceHeatingFuel],AL20,Table91517[EnergyRating (group)],AM20,Table91517[CountyName (group)],BD$4)</f>
        <v>152</v>
      </c>
      <c r="BE20" s="1164">
        <f>SUMIFS(Table91517[Count of EnergyRating],Table91517[MainSpaceHeatingFuel],AL20,Table91517[EnergyRating (group)],AM20,Table91517[CountyName (group)],BE$4)</f>
        <v>331</v>
      </c>
      <c r="BF20" s="1164">
        <f>SUMIFS(Table91517[Count of EnergyRating],Table91517[MainSpaceHeatingFuel],AL20,Table91517[EnergyRating (group)],AM20,Table91517[CountyName (group)],BF$4)</f>
        <v>63</v>
      </c>
      <c r="BG20" s="1164">
        <f>SUMIFS(Table91517[Count of EnergyRating],Table91517[MainSpaceHeatingFuel],AL20,Table91517[EnergyRating (group)],AM20,Table91517[CountyName (group)],BG$4)</f>
        <v>0</v>
      </c>
      <c r="BH20" s="1164">
        <f>SUMIFS(Table91517[Count of EnergyRating],Table91517[MainSpaceHeatingFuel],AL20,Table91517[EnergyRating (group)],AM20,Table91517[CountyName (group)],BH$4)</f>
        <v>12</v>
      </c>
      <c r="BI20" s="1164">
        <f>SUMIFS(Table91517[Count of EnergyRating],Table91517[MainSpaceHeatingFuel],AL20,Table91517[EnergyRating (group)],AM20,Table91517[CountyName (group)],BI$4)</f>
        <v>5</v>
      </c>
      <c r="BJ20" s="1164">
        <f>SUMIFS(Table91517[Count of EnergyRating],Table91517[MainSpaceHeatingFuel],AL20,Table91517[EnergyRating (group)],AM20,Table91517[CountyName (group)],BJ$4)</f>
        <v>3</v>
      </c>
      <c r="BK20" s="1135">
        <f>SUMIFS(Table91517[Count of EnergyRating],Table91517[MainSpaceHeatingFuel],AL20,Table91517[EnergyRating (group)],AM20,Table91517[CountyName (group)],BK$4)</f>
        <v>31</v>
      </c>
      <c r="BL20" s="1164">
        <f>SUMIFS(Table91517[Count of EnergyRating],Table91517[MainSpaceHeatingFuel],AL20,Table91517[EnergyRating (group)],AM20,Table91517[CountyName (group)],BL$4)</f>
        <v>3</v>
      </c>
      <c r="BM20" s="1164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38" t="s">
        <v>64</v>
      </c>
      <c r="C21" s="1138" t="s">
        <v>1231</v>
      </c>
      <c r="D21" s="1138" t="s">
        <v>1094</v>
      </c>
      <c r="E21" s="1147">
        <f t="shared" ref="E21:AD21" si="12">IFERROR(G143*((SUM(AN$23)/SUM(AN$15:AN$23))/(SUM(G$143)/SUM(G$138:G$143))),G143)</f>
        <v>1.9014972769613708E-2</v>
      </c>
      <c r="F21" s="1147">
        <f t="shared" si="12"/>
        <v>0.30695040777154181</v>
      </c>
      <c r="G21" s="1147">
        <f t="shared" si="12"/>
        <v>2.4823830359924613E-2</v>
      </c>
      <c r="H21" s="1147">
        <f t="shared" si="12"/>
        <v>2.4830767011797185E-2</v>
      </c>
      <c r="I21" s="1147">
        <f t="shared" si="12"/>
        <v>8.0566024967892082E-3</v>
      </c>
      <c r="J21" s="1147">
        <f t="shared" si="12"/>
        <v>0</v>
      </c>
      <c r="K21" s="1147">
        <f t="shared" si="12"/>
        <v>3.2371111860124195E-2</v>
      </c>
      <c r="L21" s="1147">
        <f t="shared" si="12"/>
        <v>2.5066538455999054E-2</v>
      </c>
      <c r="M21" s="1147">
        <f t="shared" si="12"/>
        <v>1.9569897287558338E-2</v>
      </c>
      <c r="N21" s="1147">
        <f t="shared" si="12"/>
        <v>2.6132275531472245E-2</v>
      </c>
      <c r="O21" s="1147">
        <f t="shared" si="12"/>
        <v>7.4861754476923573E-2</v>
      </c>
      <c r="P21" s="1147">
        <f t="shared" si="12"/>
        <v>9.6061720185556254E-2</v>
      </c>
      <c r="Q21" s="1147">
        <f t="shared" si="12"/>
        <v>2.2521386035015557E-2</v>
      </c>
      <c r="R21" s="1147">
        <f t="shared" si="12"/>
        <v>0.27134582355008668</v>
      </c>
      <c r="S21" s="1147">
        <f t="shared" si="12"/>
        <v>0.30037595869621836</v>
      </c>
      <c r="T21" s="1147">
        <f t="shared" si="12"/>
        <v>6.943644082873475E-2</v>
      </c>
      <c r="U21" s="1147">
        <f t="shared" si="12"/>
        <v>7.2738374945383086E-2</v>
      </c>
      <c r="V21" s="1147">
        <f t="shared" si="12"/>
        <v>1.4952468013894014E-2</v>
      </c>
      <c r="W21" s="1147">
        <f t="shared" si="12"/>
        <v>5.3134174516377634E-2</v>
      </c>
      <c r="X21" s="1147">
        <f t="shared" si="12"/>
        <v>0</v>
      </c>
      <c r="Y21" s="1147">
        <f t="shared" si="12"/>
        <v>8.5062422591378403E-2</v>
      </c>
      <c r="Z21" s="1147">
        <f t="shared" si="12"/>
        <v>0</v>
      </c>
      <c r="AA21" s="1147">
        <f t="shared" si="12"/>
        <v>0</v>
      </c>
      <c r="AB21" s="1147">
        <f t="shared" si="12"/>
        <v>8.4860833749436804E-3</v>
      </c>
      <c r="AC21" s="1147">
        <f t="shared" si="12"/>
        <v>0</v>
      </c>
      <c r="AD21" s="1147">
        <f t="shared" si="12"/>
        <v>2.4139167459279215E-2</v>
      </c>
      <c r="AE21" s="1174">
        <f t="shared" si="4"/>
        <v>1.5799321782186111</v>
      </c>
      <c r="AG21" s="58" t="s">
        <v>1107</v>
      </c>
      <c r="AH21" s="1158">
        <f>SUM(E23:AD23)</f>
        <v>114.26104237514899</v>
      </c>
      <c r="AI21" s="1140">
        <f>'SHWLP-Det'!S42</f>
        <v>114.26104237514899</v>
      </c>
      <c r="AJ21" s="1160">
        <f>(AI21-AH21)/AI21</f>
        <v>0</v>
      </c>
      <c r="AL21" s="1144" t="s">
        <v>402</v>
      </c>
      <c r="AM21" s="1144" t="s">
        <v>60</v>
      </c>
      <c r="AN21" s="1135">
        <f>SUMIFS(Table91517[Count of EnergyRating],Table91517[MainSpaceHeatingFuel],AL21,Table91517[EnergyRating (group)],AM21,Table91517[CountyName (group)],AN$4)</f>
        <v>34</v>
      </c>
      <c r="AO21" s="1164">
        <f>SUMIFS(Table91517[Count of EnergyRating],Table91517[MainSpaceHeatingFuel],AL21,Table91517[EnergyRating (group)],AM21,Table91517[CountyName (group)],AO$4)</f>
        <v>1670</v>
      </c>
      <c r="AP21" s="1164">
        <f>SUMIFS(Table91517[Count of EnergyRating],Table91517[MainSpaceHeatingFuel],AL21,Table91517[EnergyRating (group)],AM21,Table91517[CountyName (group)],AP$4)</f>
        <v>100</v>
      </c>
      <c r="AQ21" s="1164">
        <f>SUMIFS(Table91517[Count of EnergyRating],Table91517[MainSpaceHeatingFuel],AL21,Table91517[EnergyRating (group)],AM21,Table91517[CountyName (group)],AQ$4)</f>
        <v>35</v>
      </c>
      <c r="AR21" s="1164">
        <f>SUMIFS(Table91517[Count of EnergyRating],Table91517[MainSpaceHeatingFuel],AL21,Table91517[EnergyRating (group)],AM21,Table91517[CountyName (group)],AR$4)</f>
        <v>26</v>
      </c>
      <c r="AS21" s="1164">
        <f>SUMIFS(Table91517[Count of EnergyRating],Table91517[MainSpaceHeatingFuel],AL21,Table91517[EnergyRating (group)],AM21,Table91517[CountyName (group)],AS$4)</f>
        <v>0</v>
      </c>
      <c r="AT21" s="1164">
        <f>SUMIFS(Table91517[Count of EnergyRating],Table91517[MainSpaceHeatingFuel],AL21,Table91517[EnergyRating (group)],AM21,Table91517[CountyName (group)],AT$4)</f>
        <v>66</v>
      </c>
      <c r="AU21" s="1164">
        <f>SUMIFS(Table91517[Count of EnergyRating],Table91517[MainSpaceHeatingFuel],AL21,Table91517[EnergyRating (group)],AM21,Table91517[CountyName (group)],AU$4)</f>
        <v>52</v>
      </c>
      <c r="AV21" s="1164">
        <f>SUMIFS(Table91517[Count of EnergyRating],Table91517[MainSpaceHeatingFuel],AL21,Table91517[EnergyRating (group)],AM21,Table91517[CountyName (group)],AV$4)</f>
        <v>0</v>
      </c>
      <c r="AW21" s="1164">
        <f>SUMIFS(Table91517[Count of EnergyRating],Table91517[MainSpaceHeatingFuel],AL21,Table91517[EnergyRating (group)],AM21,Table91517[CountyName (group)],AW$4)</f>
        <v>4</v>
      </c>
      <c r="AX21" s="1164">
        <f>SUMIFS(Table91517[Count of EnergyRating],Table91517[MainSpaceHeatingFuel],AL21,Table91517[EnergyRating (group)],AM21,Table91517[CountyName (group)],AX$4)</f>
        <v>5</v>
      </c>
      <c r="AY21" s="1164">
        <f>SUMIFS(Table91517[Count of EnergyRating],Table91517[MainSpaceHeatingFuel],AL21,Table91517[EnergyRating (group)],AM21,Table91517[CountyName (group)],AY$4)</f>
        <v>121</v>
      </c>
      <c r="AZ21" s="1164">
        <f>SUMIFS(Table91517[Count of EnergyRating],Table91517[MainSpaceHeatingFuel],AL21,Table91517[EnergyRating (group)],AM21,Table91517[CountyName (group)],AZ$4)</f>
        <v>15</v>
      </c>
      <c r="BA21" s="1164">
        <f>SUMIFS(Table91517[Count of EnergyRating],Table91517[MainSpaceHeatingFuel],AL21,Table91517[EnergyRating (group)],AM21,Table91517[CountyName (group)],BA$4)</f>
        <v>434</v>
      </c>
      <c r="BB21" s="1164">
        <f>SUMIFS(Table91517[Count of EnergyRating],Table91517[MainSpaceHeatingFuel],AL21,Table91517[EnergyRating (group)],AM21,Table91517[CountyName (group)],BB$4)</f>
        <v>1</v>
      </c>
      <c r="BC21" s="1164">
        <f>SUMIFS(Table91517[Count of EnergyRating],Table91517[MainSpaceHeatingFuel],AL21,Table91517[EnergyRating (group)],AM21,Table91517[CountyName (group)],BC$4)</f>
        <v>86</v>
      </c>
      <c r="BD21" s="1164">
        <f>SUMIFS(Table91517[Count of EnergyRating],Table91517[MainSpaceHeatingFuel],AL21,Table91517[EnergyRating (group)],AM21,Table91517[CountyName (group)],BD$4)</f>
        <v>38</v>
      </c>
      <c r="BE21" s="1164">
        <f>SUMIFS(Table91517[Count of EnergyRating],Table91517[MainSpaceHeatingFuel],AL21,Table91517[EnergyRating (group)],AM21,Table91517[CountyName (group)],BE$4)</f>
        <v>58</v>
      </c>
      <c r="BF21" s="1164">
        <f>SUMIFS(Table91517[Count of EnergyRating],Table91517[MainSpaceHeatingFuel],AL21,Table91517[EnergyRating (group)],AM21,Table91517[CountyName (group)],BF$4)</f>
        <v>3</v>
      </c>
      <c r="BG21" s="1164">
        <f>SUMIFS(Table91517[Count of EnergyRating],Table91517[MainSpaceHeatingFuel],AL21,Table91517[EnergyRating (group)],AM21,Table91517[CountyName (group)],BG$4)</f>
        <v>0</v>
      </c>
      <c r="BH21" s="1164">
        <f>SUMIFS(Table91517[Count of EnergyRating],Table91517[MainSpaceHeatingFuel],AL21,Table91517[EnergyRating (group)],AM21,Table91517[CountyName (group)],BH$4)</f>
        <v>4</v>
      </c>
      <c r="BI21" s="1164">
        <f>SUMIFS(Table91517[Count of EnergyRating],Table91517[MainSpaceHeatingFuel],AL21,Table91517[EnergyRating (group)],AM21,Table91517[CountyName (group)],BI$4)</f>
        <v>0</v>
      </c>
      <c r="BJ21" s="1164">
        <f>SUMIFS(Table91517[Count of EnergyRating],Table91517[MainSpaceHeatingFuel],AL21,Table91517[EnergyRating (group)],AM21,Table91517[CountyName (group)],BJ$4)</f>
        <v>0</v>
      </c>
      <c r="BK21" s="1135">
        <f>SUMIFS(Table91517[Count of EnergyRating],Table91517[MainSpaceHeatingFuel],AL21,Table91517[EnergyRating (group)],AM21,Table91517[CountyName (group)],BK$4)</f>
        <v>6</v>
      </c>
      <c r="BL21" s="1164">
        <f>SUMIFS(Table91517[Count of EnergyRating],Table91517[MainSpaceHeatingFuel],AL21,Table91517[EnergyRating (group)],AM21,Table91517[CountyName (group)],BL$4)</f>
        <v>0</v>
      </c>
      <c r="BM21" s="1164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38" t="s">
        <v>1075</v>
      </c>
      <c r="C22" s="1138" t="s">
        <v>1231</v>
      </c>
      <c r="D22" s="1138" t="s">
        <v>1094</v>
      </c>
      <c r="E22" s="1147">
        <f>SUM(E16:E21)</f>
        <v>1.697086319688023</v>
      </c>
      <c r="F22" s="1147">
        <f t="shared" ref="F22" si="13">SUM(F16:F21)</f>
        <v>8.8108459985426038</v>
      </c>
      <c r="G22" s="1147">
        <f t="shared" ref="G22" si="14">SUM(G16:G21)</f>
        <v>4.7544936265832085</v>
      </c>
      <c r="H22" s="1147">
        <f t="shared" ref="H22" si="15">SUM(H16:H21)</f>
        <v>3.2776612455572285</v>
      </c>
      <c r="I22" s="1147">
        <f t="shared" ref="I22" si="16">SUM(I16:I21)</f>
        <v>2.5566285256477754</v>
      </c>
      <c r="J22" s="1147">
        <f t="shared" ref="J22" si="17">SUM(J16:J21)</f>
        <v>1.524805324820196</v>
      </c>
      <c r="K22" s="1147">
        <f t="shared" ref="K22" si="18">SUM(K16:K21)</f>
        <v>2.9600144684897565</v>
      </c>
      <c r="L22" s="1147">
        <f t="shared" ref="L22" si="19">SUM(L16:L21)</f>
        <v>5.3851280116304627</v>
      </c>
      <c r="M22" s="1147">
        <f t="shared" ref="M22" si="20">SUM(M16:M21)</f>
        <v>2.5049468528074668</v>
      </c>
      <c r="N22" s="1147">
        <f t="shared" ref="N22" si="21">SUM(N16:N21)</f>
        <v>2.6393598286786975</v>
      </c>
      <c r="O22" s="1147">
        <f t="shared" ref="O22" si="22">SUM(O16:O21)</f>
        <v>5.3151845678615732</v>
      </c>
      <c r="P22" s="1147">
        <f t="shared" ref="P22" si="23">SUM(P16:P21)</f>
        <v>3.534679214174651</v>
      </c>
      <c r="Q22" s="1147">
        <f t="shared" ref="Q22" si="24">SUM(Q16:Q21)</f>
        <v>4.1139065157295081</v>
      </c>
      <c r="R22" s="1147">
        <f t="shared" ref="R22" si="25">SUM(R16:R21)</f>
        <v>13.917233722358587</v>
      </c>
      <c r="S22" s="1147">
        <f t="shared" ref="S22" si="26">SUM(S16:S21)</f>
        <v>5.7071432152281485</v>
      </c>
      <c r="T22" s="1147">
        <f t="shared" ref="T22" si="27">SUM(T16:T21)</f>
        <v>5.1382966213263703</v>
      </c>
      <c r="U22" s="1147">
        <f t="shared" ref="U22" si="28">SUM(U16:U21)</f>
        <v>5.4856857771309748</v>
      </c>
      <c r="V22" s="1147">
        <f t="shared" ref="V22" si="29">SUM(V16:V21)</f>
        <v>3.0033100039335694</v>
      </c>
      <c r="W22" s="1147">
        <f t="shared" ref="W22" si="30">SUM(W16:W21)</f>
        <v>8.6874375334277438</v>
      </c>
      <c r="X22" s="1147">
        <f t="shared" ref="X22" si="31">SUM(X16:X21)</f>
        <v>1.4278864948650878</v>
      </c>
      <c r="Y22" s="1147">
        <f t="shared" ref="Y22" si="32">SUM(Y16:Y21)</f>
        <v>5.4439950458482178</v>
      </c>
      <c r="Z22" s="1147">
        <f t="shared" ref="Z22" si="33">SUM(Z16:Z21)</f>
        <v>2.8367377284767405</v>
      </c>
      <c r="AA22" s="1147">
        <f t="shared" ref="AA22" si="34">SUM(AA16:AA21)</f>
        <v>2.2740059422133738</v>
      </c>
      <c r="AB22" s="1147">
        <f t="shared" ref="AB22" si="35">SUM(AB16:AB21)</f>
        <v>2.8428379306061329</v>
      </c>
      <c r="AC22" s="1147">
        <f t="shared" ref="AC22" si="36">SUM(AC16:AC21)</f>
        <v>6.3914822579134096</v>
      </c>
      <c r="AD22" s="1147">
        <f t="shared" ref="AD22" si="37">SUM(AD16:AD21)</f>
        <v>2.2208034062536881</v>
      </c>
      <c r="AE22" s="1147">
        <f t="shared" ref="AE22" si="38">SUM(AE16:AE21)</f>
        <v>114.4515961797932</v>
      </c>
      <c r="AG22" s="1164"/>
      <c r="AL22" s="1144" t="s">
        <v>402</v>
      </c>
      <c r="AM22" s="1144" t="s">
        <v>62</v>
      </c>
      <c r="AN22" s="1135">
        <f>SUMIFS(Table91517[Count of EnergyRating],Table91517[MainSpaceHeatingFuel],AL22,Table91517[EnergyRating (group)],AM22,Table91517[CountyName (group)],AN$4)</f>
        <v>5</v>
      </c>
      <c r="AO22" s="1164">
        <f>SUMIFS(Table91517[Count of EnergyRating],Table91517[MainSpaceHeatingFuel],AL22,Table91517[EnergyRating (group)],AM22,Table91517[CountyName (group)],AO$4)</f>
        <v>689</v>
      </c>
      <c r="AP22" s="1164">
        <f>SUMIFS(Table91517[Count of EnergyRating],Table91517[MainSpaceHeatingFuel],AL22,Table91517[EnergyRating (group)],AM22,Table91517[CountyName (group)],AP$4)</f>
        <v>21</v>
      </c>
      <c r="AQ22" s="1164">
        <f>SUMIFS(Table91517[Count of EnergyRating],Table91517[MainSpaceHeatingFuel],AL22,Table91517[EnergyRating (group)],AM22,Table91517[CountyName (group)],AQ$4)</f>
        <v>12</v>
      </c>
      <c r="AR22" s="1164">
        <f>SUMIFS(Table91517[Count of EnergyRating],Table91517[MainSpaceHeatingFuel],AL22,Table91517[EnergyRating (group)],AM22,Table91517[CountyName (group)],AR$4)</f>
        <v>4</v>
      </c>
      <c r="AS22" s="1164">
        <f>SUMIFS(Table91517[Count of EnergyRating],Table91517[MainSpaceHeatingFuel],AL22,Table91517[EnergyRating (group)],AM22,Table91517[CountyName (group)],AS$4)</f>
        <v>0</v>
      </c>
      <c r="AT22" s="1164">
        <f>SUMIFS(Table91517[Count of EnergyRating],Table91517[MainSpaceHeatingFuel],AL22,Table91517[EnergyRating (group)],AM22,Table91517[CountyName (group)],AT$4)</f>
        <v>21</v>
      </c>
      <c r="AU22" s="1164">
        <f>SUMIFS(Table91517[Count of EnergyRating],Table91517[MainSpaceHeatingFuel],AL22,Table91517[EnergyRating (group)],AM22,Table91517[CountyName (group)],AU$4)</f>
        <v>13</v>
      </c>
      <c r="AV22" s="1164">
        <f>SUMIFS(Table91517[Count of EnergyRating],Table91517[MainSpaceHeatingFuel],AL22,Table91517[EnergyRating (group)],AM22,Table91517[CountyName (group)],AV$4)</f>
        <v>0</v>
      </c>
      <c r="AW22" s="1164">
        <f>SUMIFS(Table91517[Count of EnergyRating],Table91517[MainSpaceHeatingFuel],AL22,Table91517[EnergyRating (group)],AM22,Table91517[CountyName (group)],AW$4)</f>
        <v>0</v>
      </c>
      <c r="AX22" s="1164">
        <f>SUMIFS(Table91517[Count of EnergyRating],Table91517[MainSpaceHeatingFuel],AL22,Table91517[EnergyRating (group)],AM22,Table91517[CountyName (group)],AX$4)</f>
        <v>0</v>
      </c>
      <c r="AY22" s="1164">
        <f>SUMIFS(Table91517[Count of EnergyRating],Table91517[MainSpaceHeatingFuel],AL22,Table91517[EnergyRating (group)],AM22,Table91517[CountyName (group)],AY$4)</f>
        <v>58</v>
      </c>
      <c r="AZ22" s="1164">
        <f>SUMIFS(Table91517[Count of EnergyRating],Table91517[MainSpaceHeatingFuel],AL22,Table91517[EnergyRating (group)],AM22,Table91517[CountyName (group)],AZ$4)</f>
        <v>2</v>
      </c>
      <c r="BA22" s="1164">
        <f>SUMIFS(Table91517[Count of EnergyRating],Table91517[MainSpaceHeatingFuel],AL22,Table91517[EnergyRating (group)],AM22,Table91517[CountyName (group)],BA$4)</f>
        <v>164</v>
      </c>
      <c r="BB22" s="1164">
        <f>SUMIFS(Table91517[Count of EnergyRating],Table91517[MainSpaceHeatingFuel],AL22,Table91517[EnergyRating (group)],AM22,Table91517[CountyName (group)],BB$4)</f>
        <v>0</v>
      </c>
      <c r="BC22" s="1164">
        <f>SUMIFS(Table91517[Count of EnergyRating],Table91517[MainSpaceHeatingFuel],AL22,Table91517[EnergyRating (group)],AM22,Table91517[CountyName (group)],BC$4)</f>
        <v>36</v>
      </c>
      <c r="BD22" s="1164">
        <f>SUMIFS(Table91517[Count of EnergyRating],Table91517[MainSpaceHeatingFuel],AL22,Table91517[EnergyRating (group)],AM22,Table91517[CountyName (group)],BD$4)</f>
        <v>13</v>
      </c>
      <c r="BE22" s="1164">
        <f>SUMIFS(Table91517[Count of EnergyRating],Table91517[MainSpaceHeatingFuel],AL22,Table91517[EnergyRating (group)],AM22,Table91517[CountyName (group)],BE$4)</f>
        <v>21</v>
      </c>
      <c r="BF22" s="1164">
        <f>SUMIFS(Table91517[Count of EnergyRating],Table91517[MainSpaceHeatingFuel],AL22,Table91517[EnergyRating (group)],AM22,Table91517[CountyName (group)],BF$4)</f>
        <v>2</v>
      </c>
      <c r="BG22" s="1164">
        <f>SUMIFS(Table91517[Count of EnergyRating],Table91517[MainSpaceHeatingFuel],AL22,Table91517[EnergyRating (group)],AM22,Table91517[CountyName (group)],BG$4)</f>
        <v>0</v>
      </c>
      <c r="BH22" s="1164">
        <f>SUMIFS(Table91517[Count of EnergyRating],Table91517[MainSpaceHeatingFuel],AL22,Table91517[EnergyRating (group)],AM22,Table91517[CountyName (group)],BH$4)</f>
        <v>2</v>
      </c>
      <c r="BI22" s="1164">
        <f>SUMIFS(Table91517[Count of EnergyRating],Table91517[MainSpaceHeatingFuel],AL22,Table91517[EnergyRating (group)],AM22,Table91517[CountyName (group)],BI$4)</f>
        <v>0</v>
      </c>
      <c r="BJ22" s="1164">
        <f>SUMIFS(Table91517[Count of EnergyRating],Table91517[MainSpaceHeatingFuel],AL22,Table91517[EnergyRating (group)],AM22,Table91517[CountyName (group)],BJ$4)</f>
        <v>0</v>
      </c>
      <c r="BK22" s="1135">
        <f>SUMIFS(Table91517[Count of EnergyRating],Table91517[MainSpaceHeatingFuel],AL22,Table91517[EnergyRating (group)],AM22,Table91517[CountyName (group)],BK$4)</f>
        <v>1</v>
      </c>
      <c r="BL22" s="1164">
        <f>SUMIFS(Table91517[Count of EnergyRating],Table91517[MainSpaceHeatingFuel],AL22,Table91517[EnergyRating (group)],AM22,Table91517[CountyName (group)],BL$4)</f>
        <v>0</v>
      </c>
      <c r="BM22" s="1164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65"/>
      <c r="C23" s="1165" t="s">
        <v>1232</v>
      </c>
      <c r="D23" s="1165" t="s">
        <v>1094</v>
      </c>
      <c r="E23" s="1166">
        <f t="shared" ref="E23:AD23" si="39">G144</f>
        <v>1.6942607911168168</v>
      </c>
      <c r="F23" s="1166">
        <f t="shared" si="39"/>
        <v>8.7961765637492331</v>
      </c>
      <c r="G23" s="1166">
        <f t="shared" si="39"/>
        <v>4.7465777313057078</v>
      </c>
      <c r="H23" s="1166">
        <f t="shared" si="39"/>
        <v>3.2722041716366981</v>
      </c>
      <c r="I23" s="1166">
        <f t="shared" si="39"/>
        <v>2.5523719201578983</v>
      </c>
      <c r="J23" s="1166">
        <f t="shared" si="39"/>
        <v>1.5222666319082183</v>
      </c>
      <c r="K23" s="1166">
        <f t="shared" si="39"/>
        <v>2.9550862539641454</v>
      </c>
      <c r="L23" s="1166">
        <f t="shared" si="39"/>
        <v>5.3761621547497924</v>
      </c>
      <c r="M23" s="1166">
        <f t="shared" si="39"/>
        <v>2.5007762936438875</v>
      </c>
      <c r="N23" s="1166">
        <f t="shared" si="39"/>
        <v>2.634965481426522</v>
      </c>
      <c r="O23" s="1166">
        <f t="shared" si="39"/>
        <v>5.3063351618628909</v>
      </c>
      <c r="P23" s="1166">
        <f t="shared" si="39"/>
        <v>3.528794223532846</v>
      </c>
      <c r="Q23" s="1166">
        <f t="shared" si="39"/>
        <v>4.1070571526390074</v>
      </c>
      <c r="R23" s="1166">
        <f t="shared" si="39"/>
        <v>13.894062513529377</v>
      </c>
      <c r="S23" s="1166">
        <f t="shared" si="39"/>
        <v>5.6976412258316644</v>
      </c>
      <c r="T23" s="1166">
        <f t="shared" si="39"/>
        <v>5.1297417212352787</v>
      </c>
      <c r="U23" s="1166">
        <f t="shared" si="39"/>
        <v>5.4765524986900793</v>
      </c>
      <c r="V23" s="1166">
        <f t="shared" si="39"/>
        <v>2.9983097054067009</v>
      </c>
      <c r="W23" s="1166">
        <f t="shared" si="39"/>
        <v>8.6729735649916631</v>
      </c>
      <c r="X23" s="1166">
        <f t="shared" si="39"/>
        <v>1.4255091649432827</v>
      </c>
      <c r="Y23" s="1166">
        <f t="shared" si="39"/>
        <v>5.4349311795232689</v>
      </c>
      <c r="Z23" s="1166">
        <f t="shared" si="39"/>
        <v>2.8320147609954498</v>
      </c>
      <c r="AA23" s="1166">
        <f t="shared" si="39"/>
        <v>2.2702198833156753</v>
      </c>
      <c r="AB23" s="1166">
        <f t="shared" si="39"/>
        <v>2.8381048067201813</v>
      </c>
      <c r="AC23" s="1166">
        <f t="shared" si="39"/>
        <v>6.3808408924609976</v>
      </c>
      <c r="AD23" s="1166">
        <f t="shared" si="39"/>
        <v>2.2171059258117056</v>
      </c>
      <c r="AE23" s="1175">
        <f t="shared" si="4"/>
        <v>114.26104237514899</v>
      </c>
      <c r="AG23" s="1164"/>
      <c r="AL23" s="1144" t="s">
        <v>402</v>
      </c>
      <c r="AM23" s="1144" t="s">
        <v>64</v>
      </c>
      <c r="AN23" s="1135">
        <f>SUMIFS(Table91517[Count of EnergyRating],Table91517[MainSpaceHeatingFuel],AL23,Table91517[EnergyRating (group)],AM23,Table91517[CountyName (group)],AN$4)</f>
        <v>8</v>
      </c>
      <c r="AO23" s="1164">
        <f>SUMIFS(Table91517[Count of EnergyRating],Table91517[MainSpaceHeatingFuel],AL23,Table91517[EnergyRating (group)],AM23,Table91517[CountyName (group)],AO$4)</f>
        <v>538</v>
      </c>
      <c r="AP23" s="1164">
        <f>SUMIFS(Table91517[Count of EnergyRating],Table91517[MainSpaceHeatingFuel],AL23,Table91517[EnergyRating (group)],AM23,Table91517[CountyName (group)],AP$4)</f>
        <v>17</v>
      </c>
      <c r="AQ23" s="1164">
        <f>SUMIFS(Table91517[Count of EnergyRating],Table91517[MainSpaceHeatingFuel],AL23,Table91517[EnergyRating (group)],AM23,Table91517[CountyName (group)],AQ$4)</f>
        <v>5</v>
      </c>
      <c r="AR23" s="1164">
        <f>SUMIFS(Table91517[Count of EnergyRating],Table91517[MainSpaceHeatingFuel],AL23,Table91517[EnergyRating (group)],AM23,Table91517[CountyName (group)],AR$4)</f>
        <v>3</v>
      </c>
      <c r="AS23" s="1164">
        <f>SUMIFS(Table91517[Count of EnergyRating],Table91517[MainSpaceHeatingFuel],AL23,Table91517[EnergyRating (group)],AM23,Table91517[CountyName (group)],AS$4)</f>
        <v>0</v>
      </c>
      <c r="AT23" s="1164">
        <f>SUMIFS(Table91517[Count of EnergyRating],Table91517[MainSpaceHeatingFuel],AL23,Table91517[EnergyRating (group)],AM23,Table91517[CountyName (group)],AT$4)</f>
        <v>25</v>
      </c>
      <c r="AU23" s="1164">
        <f>SUMIFS(Table91517[Count of EnergyRating],Table91517[MainSpaceHeatingFuel],AL23,Table91517[EnergyRating (group)],AM23,Table91517[CountyName (group)],AU$4)</f>
        <v>12</v>
      </c>
      <c r="AV23" s="1164">
        <f>SUMIFS(Table91517[Count of EnergyRating],Table91517[MainSpaceHeatingFuel],AL23,Table91517[EnergyRating (group)],AM23,Table91517[CountyName (group)],AV$4)</f>
        <v>1</v>
      </c>
      <c r="AW23" s="1164">
        <f>SUMIFS(Table91517[Count of EnergyRating],Table91517[MainSpaceHeatingFuel],AL23,Table91517[EnergyRating (group)],AM23,Table91517[CountyName (group)],AW$4)</f>
        <v>2</v>
      </c>
      <c r="AX23" s="1164">
        <f>SUMIFS(Table91517[Count of EnergyRating],Table91517[MainSpaceHeatingFuel],AL23,Table91517[EnergyRating (group)],AM23,Table91517[CountyName (group)],AX$4)</f>
        <v>1</v>
      </c>
      <c r="AY23" s="1164">
        <f>SUMIFS(Table91517[Count of EnergyRating],Table91517[MainSpaceHeatingFuel],AL23,Table91517[EnergyRating (group)],AM23,Table91517[CountyName (group)],AY$4)</f>
        <v>49</v>
      </c>
      <c r="AZ23" s="1164">
        <f>SUMIFS(Table91517[Count of EnergyRating],Table91517[MainSpaceHeatingFuel],AL23,Table91517[EnergyRating (group)],AM23,Table91517[CountyName (group)],AZ$4)</f>
        <v>3</v>
      </c>
      <c r="BA23" s="1164">
        <f>SUMIFS(Table91517[Count of EnergyRating],Table91517[MainSpaceHeatingFuel],AL23,Table91517[EnergyRating (group)],AM23,Table91517[CountyName (group)],BA$4)</f>
        <v>145</v>
      </c>
      <c r="BB23" s="1164">
        <f>SUMIFS(Table91517[Count of EnergyRating],Table91517[MainSpaceHeatingFuel],AL23,Table91517[EnergyRating (group)],AM23,Table91517[CountyName (group)],BB$4)</f>
        <v>3</v>
      </c>
      <c r="BC23" s="1164">
        <f>SUMIFS(Table91517[Count of EnergyRating],Table91517[MainSpaceHeatingFuel],AL23,Table91517[EnergyRating (group)],AM23,Table91517[CountyName (group)],BC$4)</f>
        <v>25</v>
      </c>
      <c r="BD23" s="1164">
        <f>SUMIFS(Table91517[Count of EnergyRating],Table91517[MainSpaceHeatingFuel],AL23,Table91517[EnergyRating (group)],AM23,Table91517[CountyName (group)],BD$4)</f>
        <v>12</v>
      </c>
      <c r="BE23" s="1164">
        <f>SUMIFS(Table91517[Count of EnergyRating],Table91517[MainSpaceHeatingFuel],AL23,Table91517[EnergyRating (group)],AM23,Table91517[CountyName (group)],BE$4)</f>
        <v>7</v>
      </c>
      <c r="BF23" s="1164">
        <f>SUMIFS(Table91517[Count of EnergyRating],Table91517[MainSpaceHeatingFuel],AL23,Table91517[EnergyRating (group)],AM23,Table91517[CountyName (group)],BF$4)</f>
        <v>4</v>
      </c>
      <c r="BG23" s="1164">
        <f>SUMIFS(Table91517[Count of EnergyRating],Table91517[MainSpaceHeatingFuel],AL23,Table91517[EnergyRating (group)],AM23,Table91517[CountyName (group)],BG$4)</f>
        <v>0</v>
      </c>
      <c r="BH23" s="1164">
        <f>SUMIFS(Table91517[Count of EnergyRating],Table91517[MainSpaceHeatingFuel],AL23,Table91517[EnergyRating (group)],AM23,Table91517[CountyName (group)],BH$4)</f>
        <v>2</v>
      </c>
      <c r="BI23" s="1164">
        <f>SUMIFS(Table91517[Count of EnergyRating],Table91517[MainSpaceHeatingFuel],AL23,Table91517[EnergyRating (group)],AM23,Table91517[CountyName (group)],BI$4)</f>
        <v>0</v>
      </c>
      <c r="BJ23" s="1164">
        <f>SUMIFS(Table91517[Count of EnergyRating],Table91517[MainSpaceHeatingFuel],AL23,Table91517[EnergyRating (group)],AM23,Table91517[CountyName (group)],BJ$4)</f>
        <v>0</v>
      </c>
      <c r="BK23" s="1135">
        <f>SUMIFS(Table91517[Count of EnergyRating],Table91517[MainSpaceHeatingFuel],AL23,Table91517[EnergyRating (group)],AM23,Table91517[CountyName (group)],BK$4)</f>
        <v>1</v>
      </c>
      <c r="BL23" s="1164">
        <f>SUMIFS(Table91517[Count of EnergyRating],Table91517[MainSpaceHeatingFuel],AL23,Table91517[EnergyRating (group)],AM23,Table91517[CountyName (group)],BL$4)</f>
        <v>0</v>
      </c>
      <c r="BM23" s="1164">
        <f>SUMIFS(Table91517[Count of EnergyRating],Table91517[MainSpaceHeatingFuel],AL23,Table91517[EnergyRating (group)],AM23,Table91517[CountyName (group)],BM$4)</f>
        <v>1</v>
      </c>
    </row>
    <row r="24" spans="2:65" ht="15">
      <c r="B24" s="1137"/>
      <c r="C24" s="1137" t="s">
        <v>1212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G24" s="1164"/>
      <c r="AL24" s="1148" t="s">
        <v>402</v>
      </c>
      <c r="AM24" s="1148" t="s">
        <v>1107</v>
      </c>
      <c r="AN24" s="1149">
        <f>SUMIFS(Table91517[Count of EnergyRating],Table91517[MainWaterHeatingFuel],AL24,Table91517[CountyName (group)],AN$4)</f>
        <v>711</v>
      </c>
      <c r="AO24" s="1150">
        <f>SUMIFS(Table91517[Count of EnergyRating],Table91517[MainWaterHeatingFuel],$AL$24,Table91517[CountyName (group)],AO4)</f>
        <v>15379</v>
      </c>
      <c r="AP24" s="1150">
        <f>SUMIFS(Table91517[Count of EnergyRating],Table91517[MainWaterHeatingFuel],AL$24,Table91517[CountyName (group)],$AP4)</f>
        <v>3254</v>
      </c>
      <c r="AQ24" s="1150">
        <f>SUMIFS(Table91517[Count of EnergyRating],Table91517[MainWaterHeatingFuel],AL$24,Table91517[CountyName (group)],$AQ4)</f>
        <v>663</v>
      </c>
      <c r="AR24" s="1150">
        <f>SUMIFS(Table91517[Count of EnergyRating],Table91517[MainWaterHeatingFuel],AL$24,Table91517[CountyName (group)],$AR4)</f>
        <v>945</v>
      </c>
      <c r="AS24" s="1150">
        <f>SUMIFS(Table91517[Count of EnergyRating],Table91517[MainWaterHeatingFuel],AL$24,Table91517[CountyName (group)],$AS4)</f>
        <v>49</v>
      </c>
      <c r="AT24" s="1150">
        <f>SUMIFS(Table91517[Count of EnergyRating],Table91517[MainWaterHeatingFuel],AL$24,Table91517[CountyName (group)],$AP4)</f>
        <v>3254</v>
      </c>
      <c r="AU24" s="1150">
        <f>SUMIFS(Table91517[Count of EnergyRating],Table91517[MainWaterHeatingFuel],AL$24,Table91517[CountyName (group)],$AU4)</f>
        <v>2582</v>
      </c>
      <c r="AV24" s="1150">
        <f>SUMIFS(Table91517[Count of EnergyRating],Table91517[MainWaterHeatingFuel],AL$24,Table91517[CountyName (group)],$AV4)</f>
        <v>130</v>
      </c>
      <c r="AW24" s="1150">
        <f>SUMIFS(Table91517[Count of EnergyRating],Table91517[MainWaterHeatingFuel],AL$24,Table91517[CountyName (group)],$AW4)</f>
        <v>202</v>
      </c>
      <c r="AX24" s="1150">
        <f>SUMIFS(Table91517[Count of EnergyRating],Table91517[MainWaterHeatingFuel],AL$24,Table91517[CountyName (group)],$AX4)</f>
        <v>75</v>
      </c>
      <c r="AY24" s="1150">
        <f>SUMIFS(Table91517[Count of EnergyRating],Table91517[MainWaterHeatingFuel],AL$24,Table91517[CountyName (group)],$AY4)</f>
        <v>1790</v>
      </c>
      <c r="AZ24" s="1149">
        <f>SUMIFS(Table91517[Count of EnergyRating],Table91517[MainWaterHeatingFuel],AL$24,Table91517[CountyName (group)],$AZ4)</f>
        <v>551</v>
      </c>
      <c r="BA24" s="1150">
        <f>SUMIFS(Table91517[Count of EnergyRating],Table91517[MainWaterHeatingFuel],AL$24,Table91517[CountyName (group)],$BA4)</f>
        <v>7421</v>
      </c>
      <c r="BB24" s="1150">
        <f>SUMIFS(Table91517[Count of EnergyRating],Table91517[MainWaterHeatingFuel],AL$24,Table91517[CountyName (group)],$BB4)</f>
        <v>59</v>
      </c>
      <c r="BC24" s="1150">
        <f>SUMIFS(Table91517[Count of EnergyRating],Table91517[MainWaterHeatingFuel],AL$24,Table91517[CountyName (group)],$BC4)</f>
        <v>1835</v>
      </c>
      <c r="BD24" s="1150">
        <f>SUMIFS(Table91517[Count of EnergyRating],Table91517[MainWaterHeatingFuel],AL$24,Table91517[CountyName (group)],$BD4)</f>
        <v>897</v>
      </c>
      <c r="BE24" s="1150">
        <f>SUMIFS(Table91517[Count of EnergyRating],Table91517[MainWaterHeatingFuel],AL$24,Table91517[CountyName (group)],$BE4)</f>
        <v>1407</v>
      </c>
      <c r="BF24" s="1150">
        <f>SUMIFS(Table91517[Count of EnergyRating],Table91517[MainWaterHeatingFuel],AL$24,Table91517[CountyName (group)],$BF4)</f>
        <v>657</v>
      </c>
      <c r="BG24" s="1150">
        <f>SUMIFS(Table91517[Count of EnergyRating],Table91517[MainWaterHeatingFuel],AL$24,Table91517[CountyName (group)],$BG4)</f>
        <v>7</v>
      </c>
      <c r="BH24" s="1150">
        <f>SUMIFS(Table91517[Count of EnergyRating],Table91517[MainWaterHeatingFuel],AL$24,Table91517[CountyName (group)],$BH4)</f>
        <v>131</v>
      </c>
      <c r="BI24" s="1150">
        <f>SUMIFS(Table91517[Count of EnergyRating],Table91517[MainWaterHeatingFuel],AL$24,Table91517[CountyName (group)],$BI4)</f>
        <v>64</v>
      </c>
      <c r="BJ24" s="1150">
        <f>SUMIFS(Table91517[Count of EnergyRating],Table91517[MainWaterHeatingFuel],AL$24,Table91517[CountyName (group)],$BJ4)</f>
        <v>17</v>
      </c>
      <c r="BK24" s="1149">
        <f>SUMIFS(Table91517[Count of EnergyRating],Table91517[MainWaterHeatingFuel],AL$24,Table91517[CountyName (group)],$BK4)</f>
        <v>333</v>
      </c>
      <c r="BL24" s="1150">
        <f>SUMIFS(Table91517[Count of EnergyRating],Table91517[MainWaterHeatingFuel],AL$24,Table91517[CountyName (group)],$BL4)</f>
        <v>6</v>
      </c>
      <c r="BM24" s="1150">
        <f>SUMIFS(Table91517[Count of EnergyRating],Table91517[MainWaterHeatingFuel],AL$24,Table91517[CountyName (group)],$BM4)</f>
        <v>95</v>
      </c>
    </row>
    <row r="25" spans="2:65">
      <c r="B25" s="1134" t="s">
        <v>1259</v>
      </c>
      <c r="C25" s="1134" t="s">
        <v>1233</v>
      </c>
      <c r="D25" s="1134" t="s">
        <v>1094</v>
      </c>
      <c r="E25" s="1145">
        <f t="shared" ref="E25:AD25" si="40">IFERROR(G146*((SUM(AN$25:AN$28)/SUM(AN$25:AN$33))/(SUM(G$146)/SUM(G$146:G$151))),G146)</f>
        <v>0</v>
      </c>
      <c r="F25" s="1145">
        <f t="shared" si="40"/>
        <v>5.2311015426173991E-3</v>
      </c>
      <c r="G25" s="1145">
        <f t="shared" si="40"/>
        <v>0</v>
      </c>
      <c r="H25" s="1145">
        <f t="shared" si="40"/>
        <v>2.5103213304188514E-3</v>
      </c>
      <c r="I25" s="1145">
        <f t="shared" si="40"/>
        <v>0</v>
      </c>
      <c r="J25" s="1145">
        <f t="shared" si="40"/>
        <v>0</v>
      </c>
      <c r="K25" s="1145">
        <f t="shared" si="40"/>
        <v>0</v>
      </c>
      <c r="L25" s="1145">
        <f t="shared" si="40"/>
        <v>0</v>
      </c>
      <c r="M25" s="1145">
        <f t="shared" si="40"/>
        <v>0</v>
      </c>
      <c r="N25" s="1145">
        <f t="shared" si="40"/>
        <v>0</v>
      </c>
      <c r="O25" s="1145">
        <f t="shared" si="40"/>
        <v>0</v>
      </c>
      <c r="P25" s="1145">
        <f t="shared" si="40"/>
        <v>0</v>
      </c>
      <c r="Q25" s="1145">
        <f t="shared" si="40"/>
        <v>0</v>
      </c>
      <c r="R25" s="1145">
        <f t="shared" si="40"/>
        <v>0</v>
      </c>
      <c r="S25" s="1145">
        <f t="shared" si="40"/>
        <v>0</v>
      </c>
      <c r="T25" s="1145">
        <f t="shared" si="40"/>
        <v>0</v>
      </c>
      <c r="U25" s="1145">
        <f t="shared" si="40"/>
        <v>0</v>
      </c>
      <c r="V25" s="1145">
        <f t="shared" si="40"/>
        <v>0</v>
      </c>
      <c r="W25" s="1145">
        <f t="shared" si="40"/>
        <v>8.0163902779159177E-3</v>
      </c>
      <c r="X25" s="1145">
        <f t="shared" si="40"/>
        <v>2.3773936836526868E-3</v>
      </c>
      <c r="Y25" s="1145">
        <f t="shared" si="40"/>
        <v>0</v>
      </c>
      <c r="Z25" s="1145">
        <f t="shared" si="40"/>
        <v>0</v>
      </c>
      <c r="AA25" s="1145">
        <f t="shared" si="40"/>
        <v>0</v>
      </c>
      <c r="AB25" s="1145">
        <f t="shared" si="40"/>
        <v>5.7297246914104318E-3</v>
      </c>
      <c r="AC25" s="1145">
        <f t="shared" si="40"/>
        <v>6.7056978035501718E-3</v>
      </c>
      <c r="AD25" s="1145">
        <f t="shared" si="40"/>
        <v>0</v>
      </c>
      <c r="AE25" s="1172">
        <f t="shared" si="4"/>
        <v>3.057062932956546E-2</v>
      </c>
      <c r="AG25" s="1164"/>
      <c r="AL25" s="1144" t="s">
        <v>1131</v>
      </c>
      <c r="AM25" s="1144" t="s">
        <v>48</v>
      </c>
      <c r="AN25" s="1135">
        <f>SUMIFS(Table91517[Count of EnergyRating],Table91517[MainSpaceHeatingFuel],AL25,Table91517[EnergyRating (group)],AM25,Table91517[CountyName (group)],AN$4)</f>
        <v>0</v>
      </c>
      <c r="AO25" s="1164">
        <f>SUMIFS(Table91517[Count of EnergyRating],Table91517[MainSpaceHeatingFuel],AL25,Table91517[EnergyRating (group)],AM25,Table91517[CountyName (group)],AO$4)</f>
        <v>0</v>
      </c>
      <c r="AP25" s="1164">
        <f>SUMIFS(Table91517[Count of EnergyRating],Table91517[MainSpaceHeatingFuel],AL25,Table91517[EnergyRating (group)],AM25,Table91517[CountyName (group)],AP$4)</f>
        <v>0</v>
      </c>
      <c r="AQ25" s="1164">
        <f>SUMIFS(Table91517[Count of EnergyRating],Table91517[MainSpaceHeatingFuel],AL25,Table91517[EnergyRating (group)],AM25,Table91517[CountyName (group)],AQ$4)</f>
        <v>0</v>
      </c>
      <c r="AR25" s="1164">
        <f>SUMIFS(Table91517[Count of EnergyRating],Table91517[MainSpaceHeatingFuel],AL25,Table91517[EnergyRating (group)],AM25,Table91517[CountyName (group)],AR$4)</f>
        <v>0</v>
      </c>
      <c r="AS25" s="1164">
        <f>SUMIFS(Table91517[Count of EnergyRating],Table91517[MainSpaceHeatingFuel],AL25,Table91517[EnergyRating (group)],AM25,Table91517[CountyName (group)],AS$4)</f>
        <v>0</v>
      </c>
      <c r="AT25" s="1164">
        <f>SUMIFS(Table91517[Count of EnergyRating],Table91517[MainSpaceHeatingFuel],AL25,Table91517[EnergyRating (group)],AM25,Table91517[CountyName (group)],AT$4)</f>
        <v>0</v>
      </c>
      <c r="AU25" s="1164">
        <f>SUMIFS(Table91517[Count of EnergyRating],Table91517[MainSpaceHeatingFuel],AL25,Table91517[EnergyRating (group)],AM25,Table91517[CountyName (group)],AU$4)</f>
        <v>0</v>
      </c>
      <c r="AV25" s="1164">
        <f>SUMIFS(Table91517[Count of EnergyRating],Table91517[MainSpaceHeatingFuel],AL25,Table91517[EnergyRating (group)],AM25,Table91517[CountyName (group)],AV$4)</f>
        <v>0</v>
      </c>
      <c r="AW25" s="1164">
        <f>SUMIFS(Table91517[Count of EnergyRating],Table91517[MainSpaceHeatingFuel],AL25,Table91517[EnergyRating (group)],AM25,Table91517[CountyName (group)],AW$4)</f>
        <v>0</v>
      </c>
      <c r="AX25" s="1164">
        <f>SUMIFS(Table91517[Count of EnergyRating],Table91517[MainSpaceHeatingFuel],AL25,Table91517[EnergyRating (group)],AM25,Table91517[CountyName (group)],AX$4)</f>
        <v>0</v>
      </c>
      <c r="AY25" s="1164">
        <f>SUMIFS(Table91517[Count of EnergyRating],Table91517[MainSpaceHeatingFuel],AL25,Table91517[EnergyRating (group)],AM25,Table91517[CountyName (group)],AY$4)</f>
        <v>0</v>
      </c>
      <c r="AZ25" s="1164">
        <f>SUMIFS(Table91517[Count of EnergyRating],Table91517[MainSpaceHeatingFuel],AL25,Table91517[EnergyRating (group)],AM25,Table91517[CountyName (group)],AZ$4)</f>
        <v>0</v>
      </c>
      <c r="BA25" s="1164">
        <f>SUMIFS(Table91517[Count of EnergyRating],Table91517[MainSpaceHeatingFuel],AL25,Table91517[EnergyRating (group)],AM25,Table91517[CountyName (group)],BA$4)</f>
        <v>0</v>
      </c>
      <c r="BB25" s="1164">
        <f>SUMIFS(Table91517[Count of EnergyRating],Table91517[MainSpaceHeatingFuel],AL25,Table91517[EnergyRating (group)],AM25,Table91517[CountyName (group)],BB$4)</f>
        <v>0</v>
      </c>
      <c r="BC25" s="1164">
        <f>SUMIFS(Table91517[Count of EnergyRating],Table91517[MainSpaceHeatingFuel],AL25,Table91517[EnergyRating (group)],AM25,Table91517[CountyName (group)],BC$4)</f>
        <v>0</v>
      </c>
      <c r="BD25" s="1164">
        <f>SUMIFS(Table91517[Count of EnergyRating],Table91517[MainSpaceHeatingFuel],AL25,Table91517[EnergyRating (group)],AM25,Table91517[CountyName (group)],BD$4)</f>
        <v>0</v>
      </c>
      <c r="BE25" s="1164">
        <f>SUMIFS(Table91517[Count of EnergyRating],Table91517[MainSpaceHeatingFuel],AL25,Table91517[EnergyRating (group)],AM25,Table91517[CountyName (group)],BE$4)</f>
        <v>0</v>
      </c>
      <c r="BF25" s="1164">
        <f>SUMIFS(Table91517[Count of EnergyRating],Table91517[MainSpaceHeatingFuel],AL25,Table91517[EnergyRating (group)],AM25,Table91517[CountyName (group)],BF$4)</f>
        <v>0</v>
      </c>
      <c r="BG25" s="1164">
        <f>SUMIFS(Table91517[Count of EnergyRating],Table91517[MainSpaceHeatingFuel],AL25,Table91517[EnergyRating (group)],AM25,Table91517[CountyName (group)],BG$4)</f>
        <v>0</v>
      </c>
      <c r="BH25" s="1164">
        <f>SUMIFS(Table91517[Count of EnergyRating],Table91517[MainSpaceHeatingFuel],AL25,Table91517[EnergyRating (group)],AM25,Table91517[CountyName (group)],BH$4)</f>
        <v>0</v>
      </c>
      <c r="BI25" s="1164">
        <f>SUMIFS(Table91517[Count of EnergyRating],Table91517[MainSpaceHeatingFuel],AL25,Table91517[EnergyRating (group)],AM25,Table91517[CountyName (group)],BI$4)</f>
        <v>0</v>
      </c>
      <c r="BJ25" s="1164">
        <f>SUMIFS(Table91517[Count of EnergyRating],Table91517[MainSpaceHeatingFuel],AL25,Table91517[EnergyRating (group)],AM25,Table91517[CountyName (group)],BJ$4)</f>
        <v>0</v>
      </c>
      <c r="BK25" s="1135">
        <f>SUMIFS(Table91517[Count of EnergyRating],Table91517[MainSpaceHeatingFuel],AL25,Table91517[EnergyRating (group)],AM25,Table91517[CountyName (group)],BK$4)</f>
        <v>0</v>
      </c>
      <c r="BL25" s="1164">
        <f>SUMIFS(Table91517[Count of EnergyRating],Table91517[MainSpaceHeatingFuel],AL25,Table91517[EnergyRating (group)],AM25,Table91517[CountyName (group)],BL$4)</f>
        <v>0</v>
      </c>
      <c r="BM25" s="1164">
        <f>SUMIFS(Table91517[Count of EnergyRating],Table91517[MainSpaceHeatingFuel],AL25,Table91517[EnergyRating (group)],AM25,Table91517[CountyName (group)],BM$4)</f>
        <v>0</v>
      </c>
    </row>
    <row r="26" spans="2:65">
      <c r="B26" s="1136" t="s">
        <v>56</v>
      </c>
      <c r="C26" s="1136" t="s">
        <v>1233</v>
      </c>
      <c r="D26" s="1136" t="s">
        <v>1094</v>
      </c>
      <c r="E26" s="1146">
        <f t="shared" ref="E26:AD26" si="41">IFERROR(G147*((SUM(AN$29)/SUM(AN$25:AN$33))/(SUM(G$147)/SUM(G$146:G$151))),G147)</f>
        <v>1.6247225036027924E-3</v>
      </c>
      <c r="F26" s="1146">
        <f t="shared" si="41"/>
        <v>7.8466523139260995E-3</v>
      </c>
      <c r="G26" s="1146">
        <f t="shared" si="41"/>
        <v>3.6414094904805255E-3</v>
      </c>
      <c r="H26" s="1146">
        <f t="shared" si="41"/>
        <v>2.5103213304188514E-3</v>
      </c>
      <c r="I26" s="1146">
        <f t="shared" si="41"/>
        <v>7.8323641658701124E-3</v>
      </c>
      <c r="J26" s="1146">
        <f t="shared" si="41"/>
        <v>0</v>
      </c>
      <c r="K26" s="1146">
        <f t="shared" si="41"/>
        <v>0</v>
      </c>
      <c r="L26" s="1146">
        <f t="shared" si="41"/>
        <v>0</v>
      </c>
      <c r="M26" s="1146">
        <f t="shared" si="41"/>
        <v>5.0487070257085008E-3</v>
      </c>
      <c r="N26" s="1146">
        <f t="shared" si="41"/>
        <v>3.109929156187974E-3</v>
      </c>
      <c r="O26" s="1146">
        <f t="shared" si="41"/>
        <v>4.1967380819258344E-3</v>
      </c>
      <c r="P26" s="1146">
        <f t="shared" si="41"/>
        <v>0</v>
      </c>
      <c r="Q26" s="1146">
        <f t="shared" si="41"/>
        <v>1.10943363593532E-2</v>
      </c>
      <c r="R26" s="1146">
        <f t="shared" si="41"/>
        <v>1.8634688702108871E-2</v>
      </c>
      <c r="S26" s="1146">
        <f t="shared" si="41"/>
        <v>1.1813600956063996E-2</v>
      </c>
      <c r="T26" s="1146">
        <f t="shared" si="41"/>
        <v>2.5890523608504885E-3</v>
      </c>
      <c r="U26" s="1146">
        <f t="shared" si="41"/>
        <v>6.7043948380518838E-3</v>
      </c>
      <c r="V26" s="1146">
        <f t="shared" si="41"/>
        <v>5.8979461893352431E-3</v>
      </c>
      <c r="W26" s="1146">
        <f t="shared" si="41"/>
        <v>4.0081951389579588E-3</v>
      </c>
      <c r="X26" s="1146">
        <f t="shared" si="41"/>
        <v>0</v>
      </c>
      <c r="Y26" s="1146">
        <f t="shared" si="41"/>
        <v>5.6344463992804477E-3</v>
      </c>
      <c r="Z26" s="1146">
        <f t="shared" si="41"/>
        <v>0</v>
      </c>
      <c r="AA26" s="1146">
        <f t="shared" si="41"/>
        <v>1.0555356385871141E-2</v>
      </c>
      <c r="AB26" s="1146">
        <f t="shared" si="41"/>
        <v>0</v>
      </c>
      <c r="AC26" s="1146">
        <f t="shared" si="41"/>
        <v>1.0058546705325258E-2</v>
      </c>
      <c r="AD26" s="1146">
        <f t="shared" si="41"/>
        <v>0</v>
      </c>
      <c r="AE26" s="1173">
        <f t="shared" si="4"/>
        <v>0.12280140810331917</v>
      </c>
      <c r="AG26" s="1164"/>
      <c r="AL26" s="1144" t="s">
        <v>1131</v>
      </c>
      <c r="AM26" s="1144" t="s">
        <v>50</v>
      </c>
      <c r="AN26" s="1135">
        <f>SUMIFS(Table91517[Count of EnergyRating],Table91517[MainSpaceHeatingFuel],AL26,Table91517[EnergyRating (group)],AM26,Table91517[CountyName (group)],AN$4)</f>
        <v>0</v>
      </c>
      <c r="AO26" s="1164">
        <f>SUMIFS(Table91517[Count of EnergyRating],Table91517[MainSpaceHeatingFuel],AL26,Table91517[EnergyRating (group)],AM26,Table91517[CountyName (group)],AO$4)</f>
        <v>1</v>
      </c>
      <c r="AP26" s="1164">
        <f>SUMIFS(Table91517[Count of EnergyRating],Table91517[MainSpaceHeatingFuel],AL26,Table91517[EnergyRating (group)],AM26,Table91517[CountyName (group)],AP$4)</f>
        <v>0</v>
      </c>
      <c r="AQ26" s="1164">
        <f>SUMIFS(Table91517[Count of EnergyRating],Table91517[MainSpaceHeatingFuel],AL26,Table91517[EnergyRating (group)],AM26,Table91517[CountyName (group)],AQ$4)</f>
        <v>0</v>
      </c>
      <c r="AR26" s="1164">
        <f>SUMIFS(Table91517[Count of EnergyRating],Table91517[MainSpaceHeatingFuel],AL26,Table91517[EnergyRating (group)],AM26,Table91517[CountyName (group)],AR$4)</f>
        <v>0</v>
      </c>
      <c r="AS26" s="1164">
        <f>SUMIFS(Table91517[Count of EnergyRating],Table91517[MainSpaceHeatingFuel],AL26,Table91517[EnergyRating (group)],AM26,Table91517[CountyName (group)],AS$4)</f>
        <v>0</v>
      </c>
      <c r="AT26" s="1164">
        <f>SUMIFS(Table91517[Count of EnergyRating],Table91517[MainSpaceHeatingFuel],AL26,Table91517[EnergyRating (group)],AM26,Table91517[CountyName (group)],AT$4)</f>
        <v>0</v>
      </c>
      <c r="AU26" s="1164">
        <f>SUMIFS(Table91517[Count of EnergyRating],Table91517[MainSpaceHeatingFuel],AL26,Table91517[EnergyRating (group)],AM26,Table91517[CountyName (group)],AU$4)</f>
        <v>0</v>
      </c>
      <c r="AV26" s="1164">
        <f>SUMIFS(Table91517[Count of EnergyRating],Table91517[MainSpaceHeatingFuel],AL26,Table91517[EnergyRating (group)],AM26,Table91517[CountyName (group)],AV$4)</f>
        <v>0</v>
      </c>
      <c r="AW26" s="1164">
        <f>SUMIFS(Table91517[Count of EnergyRating],Table91517[MainSpaceHeatingFuel],AL26,Table91517[EnergyRating (group)],AM26,Table91517[CountyName (group)],AW$4)</f>
        <v>0</v>
      </c>
      <c r="AX26" s="1164">
        <f>SUMIFS(Table91517[Count of EnergyRating],Table91517[MainSpaceHeatingFuel],AL26,Table91517[EnergyRating (group)],AM26,Table91517[CountyName (group)],AX$4)</f>
        <v>0</v>
      </c>
      <c r="AY26" s="1164">
        <f>SUMIFS(Table91517[Count of EnergyRating],Table91517[MainSpaceHeatingFuel],AL26,Table91517[EnergyRating (group)],AM26,Table91517[CountyName (group)],AY$4)</f>
        <v>0</v>
      </c>
      <c r="AZ26" s="1164">
        <f>SUMIFS(Table91517[Count of EnergyRating],Table91517[MainSpaceHeatingFuel],AL26,Table91517[EnergyRating (group)],AM26,Table91517[CountyName (group)],AZ$4)</f>
        <v>0</v>
      </c>
      <c r="BA26" s="1164">
        <f>SUMIFS(Table91517[Count of EnergyRating],Table91517[MainSpaceHeatingFuel],AL26,Table91517[EnergyRating (group)],AM26,Table91517[CountyName (group)],BA$4)</f>
        <v>0</v>
      </c>
      <c r="BB26" s="1164">
        <f>SUMIFS(Table91517[Count of EnergyRating],Table91517[MainSpaceHeatingFuel],AL26,Table91517[EnergyRating (group)],AM26,Table91517[CountyName (group)],BB$4)</f>
        <v>0</v>
      </c>
      <c r="BC26" s="1164">
        <f>SUMIFS(Table91517[Count of EnergyRating],Table91517[MainSpaceHeatingFuel],AL26,Table91517[EnergyRating (group)],AM26,Table91517[CountyName (group)],BC$4)</f>
        <v>0</v>
      </c>
      <c r="BD26" s="1164">
        <f>SUMIFS(Table91517[Count of EnergyRating],Table91517[MainSpaceHeatingFuel],AL26,Table91517[EnergyRating (group)],AM26,Table91517[CountyName (group)],BD$4)</f>
        <v>0</v>
      </c>
      <c r="BE26" s="1164">
        <f>SUMIFS(Table91517[Count of EnergyRating],Table91517[MainSpaceHeatingFuel],AL26,Table91517[EnergyRating (group)],AM26,Table91517[CountyName (group)],BE$4)</f>
        <v>0</v>
      </c>
      <c r="BF26" s="1164">
        <f>SUMIFS(Table91517[Count of EnergyRating],Table91517[MainSpaceHeatingFuel],AL26,Table91517[EnergyRating (group)],AM26,Table91517[CountyName (group)],BF$4)</f>
        <v>1</v>
      </c>
      <c r="BG26" s="1164">
        <f>SUMIFS(Table91517[Count of EnergyRating],Table91517[MainSpaceHeatingFuel],AL26,Table91517[EnergyRating (group)],AM26,Table91517[CountyName (group)],BG$4)</f>
        <v>0</v>
      </c>
      <c r="BH26" s="1164">
        <f>SUMIFS(Table91517[Count of EnergyRating],Table91517[MainSpaceHeatingFuel],AL26,Table91517[EnergyRating (group)],AM26,Table91517[CountyName (group)],BH$4)</f>
        <v>0</v>
      </c>
      <c r="BI26" s="1164">
        <f>SUMIFS(Table91517[Count of EnergyRating],Table91517[MainSpaceHeatingFuel],AL26,Table91517[EnergyRating (group)],AM26,Table91517[CountyName (group)],BI$4)</f>
        <v>0</v>
      </c>
      <c r="BJ26" s="1164">
        <f>SUMIFS(Table91517[Count of EnergyRating],Table91517[MainSpaceHeatingFuel],AL26,Table91517[EnergyRating (group)],AM26,Table91517[CountyName (group)],BJ$4)</f>
        <v>0</v>
      </c>
      <c r="BK26" s="1135">
        <f>SUMIFS(Table91517[Count of EnergyRating],Table91517[MainSpaceHeatingFuel],AL26,Table91517[EnergyRating (group)],AM26,Table91517[CountyName (group)],BK$4)</f>
        <v>0</v>
      </c>
      <c r="BL26" s="1164">
        <f>SUMIFS(Table91517[Count of EnergyRating],Table91517[MainSpaceHeatingFuel],AL26,Table91517[EnergyRating (group)],AM26,Table91517[CountyName (group)],BL$4)</f>
        <v>0</v>
      </c>
      <c r="BM26" s="1164">
        <f>SUMIFS(Table91517[Count of EnergyRating],Table91517[MainSpaceHeatingFuel],AL26,Table91517[EnergyRating (group)],AM26,Table91517[CountyName (group)],BM$4)</f>
        <v>0</v>
      </c>
    </row>
    <row r="27" spans="2:65" ht="15">
      <c r="B27" s="1134" t="s">
        <v>58</v>
      </c>
      <c r="C27" s="1134" t="s">
        <v>1233</v>
      </c>
      <c r="D27" s="1134" t="s">
        <v>1094</v>
      </c>
      <c r="E27" s="1145">
        <f t="shared" ref="E27:AD27" si="42">IFERROR(G148*((SUM(AN$30)/SUM(AN$25:AN$33))/(SUM(G$148)/SUM(G$146:G$151))),G148)</f>
        <v>8.1236125180139621E-3</v>
      </c>
      <c r="F27" s="1145">
        <f t="shared" si="42"/>
        <v>7.8466523139260995E-3</v>
      </c>
      <c r="G27" s="1145">
        <f t="shared" si="42"/>
        <v>2.1848456942883152E-2</v>
      </c>
      <c r="H27" s="1145">
        <f t="shared" si="42"/>
        <v>1.0041285321675406E-2</v>
      </c>
      <c r="I27" s="1145">
        <f t="shared" si="42"/>
        <v>1.958091041467528E-2</v>
      </c>
      <c r="J27" s="1145">
        <f t="shared" si="42"/>
        <v>6.4879447821399863E-3</v>
      </c>
      <c r="K27" s="1145">
        <f t="shared" si="42"/>
        <v>2.0991106332608443E-3</v>
      </c>
      <c r="L27" s="1145">
        <f t="shared" si="42"/>
        <v>1.1456679949728548E-2</v>
      </c>
      <c r="M27" s="1145">
        <f t="shared" si="42"/>
        <v>1.0097414051417002E-2</v>
      </c>
      <c r="N27" s="1145">
        <f t="shared" si="42"/>
        <v>7.7748228904699346E-3</v>
      </c>
      <c r="O27" s="1145">
        <f t="shared" si="42"/>
        <v>2.3082059450592093E-2</v>
      </c>
      <c r="P27" s="1145">
        <f t="shared" si="42"/>
        <v>9.3350631091501171E-3</v>
      </c>
      <c r="Q27" s="1145">
        <f t="shared" si="42"/>
        <v>3.1064141806188956E-2</v>
      </c>
      <c r="R27" s="1145">
        <f t="shared" si="42"/>
        <v>2.2361626442530643E-2</v>
      </c>
      <c r="S27" s="1145">
        <f t="shared" si="42"/>
        <v>2.3627201912127992E-2</v>
      </c>
      <c r="T27" s="1145">
        <f t="shared" si="42"/>
        <v>2.0712418886803911E-2</v>
      </c>
      <c r="U27" s="1145">
        <f t="shared" si="42"/>
        <v>2.0113184514155655E-2</v>
      </c>
      <c r="V27" s="1145">
        <f t="shared" si="42"/>
        <v>1.6219352020671918E-2</v>
      </c>
      <c r="W27" s="1145">
        <f t="shared" si="42"/>
        <v>4.8098341667495492E-2</v>
      </c>
      <c r="X27" s="1145">
        <f t="shared" si="42"/>
        <v>2.3773936836526863E-3</v>
      </c>
      <c r="Y27" s="1145">
        <f t="shared" si="42"/>
        <v>2.8172231996402241E-2</v>
      </c>
      <c r="Z27" s="1145">
        <f t="shared" si="42"/>
        <v>0</v>
      </c>
      <c r="AA27" s="1145">
        <f t="shared" si="42"/>
        <v>5.2776781929355704E-3</v>
      </c>
      <c r="AB27" s="1145">
        <f t="shared" si="42"/>
        <v>0</v>
      </c>
      <c r="AC27" s="1145">
        <f t="shared" si="42"/>
        <v>1.3411395607100344E-2</v>
      </c>
      <c r="AD27" s="1145">
        <f t="shared" si="42"/>
        <v>6.5418716199899772E-3</v>
      </c>
      <c r="AE27" s="1172">
        <f t="shared" si="4"/>
        <v>0.37575085072798786</v>
      </c>
      <c r="AG27" s="1164"/>
      <c r="AH27" s="1137" t="s">
        <v>1157</v>
      </c>
      <c r="AI27" s="1137" t="s">
        <v>1160</v>
      </c>
      <c r="AJ27" s="1159" t="s">
        <v>1159</v>
      </c>
      <c r="AL27" s="1144" t="s">
        <v>1131</v>
      </c>
      <c r="AM27" s="1144" t="s">
        <v>52</v>
      </c>
      <c r="AN27" s="1135">
        <f>SUMIFS(Table91517[Count of EnergyRating],Table91517[MainSpaceHeatingFuel],AL27,Table91517[EnergyRating (group)],AM27,Table91517[CountyName (group)],AN$4)</f>
        <v>0</v>
      </c>
      <c r="AO27" s="1164">
        <f>SUMIFS(Table91517[Count of EnergyRating],Table91517[MainSpaceHeatingFuel],AL27,Table91517[EnergyRating (group)],AM27,Table91517[CountyName (group)],AO$4)</f>
        <v>0</v>
      </c>
      <c r="AP27" s="1164">
        <f>SUMIFS(Table91517[Count of EnergyRating],Table91517[MainSpaceHeatingFuel],AL27,Table91517[EnergyRating (group)],AM27,Table91517[CountyName (group)],AP$4)</f>
        <v>0</v>
      </c>
      <c r="AQ27" s="1164">
        <f>SUMIFS(Table91517[Count of EnergyRating],Table91517[MainSpaceHeatingFuel],AL27,Table91517[EnergyRating (group)],AM27,Table91517[CountyName (group)],AQ$4)</f>
        <v>0</v>
      </c>
      <c r="AR27" s="1164">
        <f>SUMIFS(Table91517[Count of EnergyRating],Table91517[MainSpaceHeatingFuel],AL27,Table91517[EnergyRating (group)],AM27,Table91517[CountyName (group)],AR$4)</f>
        <v>0</v>
      </c>
      <c r="AS27" s="1164">
        <f>SUMIFS(Table91517[Count of EnergyRating],Table91517[MainSpaceHeatingFuel],AL27,Table91517[EnergyRating (group)],AM27,Table91517[CountyName (group)],AS$4)</f>
        <v>0</v>
      </c>
      <c r="AT27" s="1164">
        <f>SUMIFS(Table91517[Count of EnergyRating],Table91517[MainSpaceHeatingFuel],AL27,Table91517[EnergyRating (group)],AM27,Table91517[CountyName (group)],AT$4)</f>
        <v>0</v>
      </c>
      <c r="AU27" s="1164">
        <f>SUMIFS(Table91517[Count of EnergyRating],Table91517[MainSpaceHeatingFuel],AL27,Table91517[EnergyRating (group)],AM27,Table91517[CountyName (group)],AU$4)</f>
        <v>0</v>
      </c>
      <c r="AV27" s="1164">
        <f>SUMIFS(Table91517[Count of EnergyRating],Table91517[MainSpaceHeatingFuel],AL27,Table91517[EnergyRating (group)],AM27,Table91517[CountyName (group)],AV$4)</f>
        <v>0</v>
      </c>
      <c r="AW27" s="1164">
        <f>SUMIFS(Table91517[Count of EnergyRating],Table91517[MainSpaceHeatingFuel],AL27,Table91517[EnergyRating (group)],AM27,Table91517[CountyName (group)],AW$4)</f>
        <v>0</v>
      </c>
      <c r="AX27" s="1164">
        <f>SUMIFS(Table91517[Count of EnergyRating],Table91517[MainSpaceHeatingFuel],AL27,Table91517[EnergyRating (group)],AM27,Table91517[CountyName (group)],AX$4)</f>
        <v>0</v>
      </c>
      <c r="AY27" s="1164">
        <f>SUMIFS(Table91517[Count of EnergyRating],Table91517[MainSpaceHeatingFuel],AL27,Table91517[EnergyRating (group)],AM27,Table91517[CountyName (group)],AY$4)</f>
        <v>0</v>
      </c>
      <c r="AZ27" s="1164">
        <f>SUMIFS(Table91517[Count of EnergyRating],Table91517[MainSpaceHeatingFuel],AL27,Table91517[EnergyRating (group)],AM27,Table91517[CountyName (group)],AZ$4)</f>
        <v>0</v>
      </c>
      <c r="BA27" s="1164">
        <f>SUMIFS(Table91517[Count of EnergyRating],Table91517[MainSpaceHeatingFuel],AL27,Table91517[EnergyRating (group)],AM27,Table91517[CountyName (group)],BA$4)</f>
        <v>0</v>
      </c>
      <c r="BB27" s="1164">
        <f>SUMIFS(Table91517[Count of EnergyRating],Table91517[MainSpaceHeatingFuel],AL27,Table91517[EnergyRating (group)],AM27,Table91517[CountyName (group)],BB$4)</f>
        <v>0</v>
      </c>
      <c r="BC27" s="1164">
        <f>SUMIFS(Table91517[Count of EnergyRating],Table91517[MainSpaceHeatingFuel],AL27,Table91517[EnergyRating (group)],AM27,Table91517[CountyName (group)],BC$4)</f>
        <v>0</v>
      </c>
      <c r="BD27" s="1164">
        <f>SUMIFS(Table91517[Count of EnergyRating],Table91517[MainSpaceHeatingFuel],AL27,Table91517[EnergyRating (group)],AM27,Table91517[CountyName (group)],BD$4)</f>
        <v>0</v>
      </c>
      <c r="BE27" s="1164">
        <f>SUMIFS(Table91517[Count of EnergyRating],Table91517[MainSpaceHeatingFuel],AL27,Table91517[EnergyRating (group)],AM27,Table91517[CountyName (group)],BE$4)</f>
        <v>0</v>
      </c>
      <c r="BF27" s="1164">
        <f>SUMIFS(Table91517[Count of EnergyRating],Table91517[MainSpaceHeatingFuel],AL27,Table91517[EnergyRating (group)],AM27,Table91517[CountyName (group)],BF$4)</f>
        <v>0</v>
      </c>
      <c r="BG27" s="1164">
        <f>SUMIFS(Table91517[Count of EnergyRating],Table91517[MainSpaceHeatingFuel],AL27,Table91517[EnergyRating (group)],AM27,Table91517[CountyName (group)],BG$4)</f>
        <v>1</v>
      </c>
      <c r="BH27" s="1164">
        <f>SUMIFS(Table91517[Count of EnergyRating],Table91517[MainSpaceHeatingFuel],AL27,Table91517[EnergyRating (group)],AM27,Table91517[CountyName (group)],BH$4)</f>
        <v>0</v>
      </c>
      <c r="BI27" s="1164">
        <f>SUMIFS(Table91517[Count of EnergyRating],Table91517[MainSpaceHeatingFuel],AL27,Table91517[EnergyRating (group)],AM27,Table91517[CountyName (group)],BI$4)</f>
        <v>0</v>
      </c>
      <c r="BJ27" s="1164">
        <f>SUMIFS(Table91517[Count of EnergyRating],Table91517[MainSpaceHeatingFuel],AL27,Table91517[EnergyRating (group)],AM27,Table91517[CountyName (group)],BJ$4)</f>
        <v>0</v>
      </c>
      <c r="BK27" s="1135">
        <f>SUMIFS(Table91517[Count of EnergyRating],Table91517[MainSpaceHeatingFuel],AL27,Table91517[EnergyRating (group)],AM27,Table91517[CountyName (group)],BK$4)</f>
        <v>0</v>
      </c>
      <c r="BL27" s="1164">
        <f>SUMIFS(Table91517[Count of EnergyRating],Table91517[MainSpaceHeatingFuel],AL27,Table91517[EnergyRating (group)],AM27,Table91517[CountyName (group)],BL$4)</f>
        <v>0</v>
      </c>
      <c r="BM27" s="1164">
        <f>SUMIFS(Table91517[Count of EnergyRating],Table91517[MainSpaceHeatingFuel],AL27,Table91517[EnergyRating (group)],AM27,Table91517[CountyName (group)],BM$4)</f>
        <v>0</v>
      </c>
    </row>
    <row r="28" spans="2:65" ht="15">
      <c r="B28" s="1136" t="s">
        <v>60</v>
      </c>
      <c r="C28" s="1136" t="s">
        <v>1233</v>
      </c>
      <c r="D28" s="1136" t="s">
        <v>1094</v>
      </c>
      <c r="E28" s="1146">
        <f t="shared" ref="E28:AD28" si="43">IFERROR(G149*((SUM(AN$31)/SUM(AN$25:AN$33))/(SUM(G$149)/SUM(G$146:G$151))),G149)</f>
        <v>1.4622502532425134E-2</v>
      </c>
      <c r="F28" s="1146">
        <f t="shared" si="43"/>
        <v>2.8771058484395696E-2</v>
      </c>
      <c r="G28" s="1146">
        <f t="shared" si="43"/>
        <v>1.8207047452402626E-2</v>
      </c>
      <c r="H28" s="1146">
        <f t="shared" si="43"/>
        <v>2.7613534634607369E-2</v>
      </c>
      <c r="I28" s="1146">
        <f t="shared" si="43"/>
        <v>7.8323641658701124E-3</v>
      </c>
      <c r="J28" s="1146">
        <f t="shared" si="43"/>
        <v>2.5951779128559945E-2</v>
      </c>
      <c r="K28" s="1146">
        <f t="shared" si="43"/>
        <v>1.469377443282591E-2</v>
      </c>
      <c r="L28" s="1146">
        <f t="shared" si="43"/>
        <v>2.0049189912024961E-2</v>
      </c>
      <c r="M28" s="1146">
        <f t="shared" si="43"/>
        <v>5.0487070257085001E-2</v>
      </c>
      <c r="N28" s="1146">
        <f t="shared" si="43"/>
        <v>1.0884752046657909E-2</v>
      </c>
      <c r="O28" s="1146">
        <f t="shared" si="43"/>
        <v>5.0360856983110019E-2</v>
      </c>
      <c r="P28" s="1146">
        <f t="shared" si="43"/>
        <v>2.567142355016282E-2</v>
      </c>
      <c r="Q28" s="1146">
        <f t="shared" si="43"/>
        <v>3.1064141806188956E-2</v>
      </c>
      <c r="R28" s="1146">
        <f t="shared" si="43"/>
        <v>9.6900381250966117E-2</v>
      </c>
      <c r="S28" s="1146">
        <f t="shared" si="43"/>
        <v>4.1347603346223984E-2</v>
      </c>
      <c r="T28" s="1146">
        <f t="shared" si="43"/>
        <v>3.4952206871481595E-2</v>
      </c>
      <c r="U28" s="1146">
        <f t="shared" si="43"/>
        <v>3.5756772469610058E-2</v>
      </c>
      <c r="V28" s="1146">
        <f t="shared" si="43"/>
        <v>2.0642811662673347E-2</v>
      </c>
      <c r="W28" s="1146">
        <f t="shared" si="43"/>
        <v>6.4131122223327341E-2</v>
      </c>
      <c r="X28" s="1146">
        <f t="shared" si="43"/>
        <v>1.1886968418263434E-2</v>
      </c>
      <c r="Y28" s="1146">
        <f t="shared" si="43"/>
        <v>2.8172231996402237E-2</v>
      </c>
      <c r="Z28" s="1146">
        <f t="shared" si="43"/>
        <v>2.2365239969129199E-2</v>
      </c>
      <c r="AA28" s="1146">
        <f t="shared" si="43"/>
        <v>2.1110712771742281E-2</v>
      </c>
      <c r="AB28" s="1146">
        <f t="shared" si="43"/>
        <v>1.7189174074231293E-2</v>
      </c>
      <c r="AC28" s="1146">
        <f t="shared" si="43"/>
        <v>4.69398846248512E-2</v>
      </c>
      <c r="AD28" s="1146">
        <f t="shared" si="43"/>
        <v>6.5418716199899763E-3</v>
      </c>
      <c r="AE28" s="1173">
        <f t="shared" si="4"/>
        <v>0.77414647668520853</v>
      </c>
      <c r="AG28" s="58" t="s">
        <v>1163</v>
      </c>
      <c r="AH28" s="1158">
        <f>SUM(E25:AD30)</f>
        <v>4.3828550552632617</v>
      </c>
      <c r="AI28" s="1140">
        <f>'SHWLP-Det'!S7</f>
        <v>4.3828550552632617</v>
      </c>
      <c r="AJ28" s="1160">
        <f>(AI28-AH28)/AI28</f>
        <v>0</v>
      </c>
      <c r="AL28" s="1144" t="s">
        <v>1131</v>
      </c>
      <c r="AM28" s="1144" t="s">
        <v>54</v>
      </c>
      <c r="AN28" s="1135">
        <f>SUMIFS(Table91517[Count of EnergyRating],Table91517[MainSpaceHeatingFuel],AL28,Table91517[EnergyRating (group)],AM28,Table91517[CountyName (group)],AN$4)</f>
        <v>0</v>
      </c>
      <c r="AO28" s="1164">
        <f>SUMIFS(Table91517[Count of EnergyRating],Table91517[MainSpaceHeatingFuel],AL28,Table91517[EnergyRating (group)],AM28,Table91517[CountyName (group)],AO$4)</f>
        <v>1</v>
      </c>
      <c r="AP28" s="1164">
        <f>SUMIFS(Table91517[Count of EnergyRating],Table91517[MainSpaceHeatingFuel],AL28,Table91517[EnergyRating (group)],AM28,Table91517[CountyName (group)],AP$4)</f>
        <v>0</v>
      </c>
      <c r="AQ28" s="1164">
        <f>SUMIFS(Table91517[Count of EnergyRating],Table91517[MainSpaceHeatingFuel],AL28,Table91517[EnergyRating (group)],AM28,Table91517[CountyName (group)],AQ$4)</f>
        <v>1</v>
      </c>
      <c r="AR28" s="1164">
        <f>SUMIFS(Table91517[Count of EnergyRating],Table91517[MainSpaceHeatingFuel],AL28,Table91517[EnergyRating (group)],AM28,Table91517[CountyName (group)],AR$4)</f>
        <v>0</v>
      </c>
      <c r="AS28" s="1164">
        <f>SUMIFS(Table91517[Count of EnergyRating],Table91517[MainSpaceHeatingFuel],AL28,Table91517[EnergyRating (group)],AM28,Table91517[CountyName (group)],AS$4)</f>
        <v>0</v>
      </c>
      <c r="AT28" s="1164">
        <f>SUMIFS(Table91517[Count of EnergyRating],Table91517[MainSpaceHeatingFuel],AL28,Table91517[EnergyRating (group)],AM28,Table91517[CountyName (group)],AT$4)</f>
        <v>0</v>
      </c>
      <c r="AU28" s="1164">
        <f>SUMIFS(Table91517[Count of EnergyRating],Table91517[MainSpaceHeatingFuel],AL28,Table91517[EnergyRating (group)],AM28,Table91517[CountyName (group)],AU$4)</f>
        <v>0</v>
      </c>
      <c r="AV28" s="1164">
        <f>SUMIFS(Table91517[Count of EnergyRating],Table91517[MainSpaceHeatingFuel],AL28,Table91517[EnergyRating (group)],AM28,Table91517[CountyName (group)],AV$4)</f>
        <v>0</v>
      </c>
      <c r="AW28" s="1164">
        <f>SUMIFS(Table91517[Count of EnergyRating],Table91517[MainSpaceHeatingFuel],AL28,Table91517[EnergyRating (group)],AM28,Table91517[CountyName (group)],AW$4)</f>
        <v>0</v>
      </c>
      <c r="AX28" s="1164">
        <f>SUMIFS(Table91517[Count of EnergyRating],Table91517[MainSpaceHeatingFuel],AL28,Table91517[EnergyRating (group)],AM28,Table91517[CountyName (group)],AX$4)</f>
        <v>0</v>
      </c>
      <c r="AY28" s="1164">
        <f>SUMIFS(Table91517[Count of EnergyRating],Table91517[MainSpaceHeatingFuel],AL28,Table91517[EnergyRating (group)],AM28,Table91517[CountyName (group)],AY$4)</f>
        <v>0</v>
      </c>
      <c r="AZ28" s="1164">
        <f>SUMIFS(Table91517[Count of EnergyRating],Table91517[MainSpaceHeatingFuel],AL28,Table91517[EnergyRating (group)],AM28,Table91517[CountyName (group)],AZ$4)</f>
        <v>0</v>
      </c>
      <c r="BA28" s="1164">
        <f>SUMIFS(Table91517[Count of EnergyRating],Table91517[MainSpaceHeatingFuel],AL28,Table91517[EnergyRating (group)],AM28,Table91517[CountyName (group)],BA$4)</f>
        <v>0</v>
      </c>
      <c r="BB28" s="1164">
        <f>SUMIFS(Table91517[Count of EnergyRating],Table91517[MainSpaceHeatingFuel],AL28,Table91517[EnergyRating (group)],AM28,Table91517[CountyName (group)],BB$4)</f>
        <v>0</v>
      </c>
      <c r="BC28" s="1164">
        <f>SUMIFS(Table91517[Count of EnergyRating],Table91517[MainSpaceHeatingFuel],AL28,Table91517[EnergyRating (group)],AM28,Table91517[CountyName (group)],BC$4)</f>
        <v>0</v>
      </c>
      <c r="BD28" s="1164">
        <f>SUMIFS(Table91517[Count of EnergyRating],Table91517[MainSpaceHeatingFuel],AL28,Table91517[EnergyRating (group)],AM28,Table91517[CountyName (group)],BD$4)</f>
        <v>0</v>
      </c>
      <c r="BE28" s="1164">
        <f>SUMIFS(Table91517[Count of EnergyRating],Table91517[MainSpaceHeatingFuel],AL28,Table91517[EnergyRating (group)],AM28,Table91517[CountyName (group)],BE$4)</f>
        <v>0</v>
      </c>
      <c r="BF28" s="1164">
        <f>SUMIFS(Table91517[Count of EnergyRating],Table91517[MainSpaceHeatingFuel],AL28,Table91517[EnergyRating (group)],AM28,Table91517[CountyName (group)],BF$4)</f>
        <v>1</v>
      </c>
      <c r="BG28" s="1164">
        <f>SUMIFS(Table91517[Count of EnergyRating],Table91517[MainSpaceHeatingFuel],AL28,Table91517[EnergyRating (group)],AM28,Table91517[CountyName (group)],BG$4)</f>
        <v>0</v>
      </c>
      <c r="BH28" s="1164">
        <f>SUMIFS(Table91517[Count of EnergyRating],Table91517[MainSpaceHeatingFuel],AL28,Table91517[EnergyRating (group)],AM28,Table91517[CountyName (group)],BH$4)</f>
        <v>0</v>
      </c>
      <c r="BI28" s="1164">
        <f>SUMIFS(Table91517[Count of EnergyRating],Table91517[MainSpaceHeatingFuel],AL28,Table91517[EnergyRating (group)],AM28,Table91517[CountyName (group)],BI$4)</f>
        <v>0</v>
      </c>
      <c r="BJ28" s="1164">
        <f>SUMIFS(Table91517[Count of EnergyRating],Table91517[MainSpaceHeatingFuel],AL28,Table91517[EnergyRating (group)],AM28,Table91517[CountyName (group)],BJ$4)</f>
        <v>0</v>
      </c>
      <c r="BK28" s="1135">
        <f>SUMIFS(Table91517[Count of EnergyRating],Table91517[MainSpaceHeatingFuel],AL28,Table91517[EnergyRating (group)],AM28,Table91517[CountyName (group)],BK$4)</f>
        <v>1</v>
      </c>
      <c r="BL28" s="1164">
        <f>SUMIFS(Table91517[Count of EnergyRating],Table91517[MainSpaceHeatingFuel],AL28,Table91517[EnergyRating (group)],AM28,Table91517[CountyName (group)],BL$4)</f>
        <v>2</v>
      </c>
      <c r="BM28" s="1164">
        <f>SUMIFS(Table91517[Count of EnergyRating],Table91517[MainSpaceHeatingFuel],AL28,Table91517[EnergyRating (group)],AM28,Table91517[CountyName (group)],BM$4)</f>
        <v>0</v>
      </c>
    </row>
    <row r="29" spans="2:65" ht="15">
      <c r="B29" s="1134" t="s">
        <v>62</v>
      </c>
      <c r="C29" s="1134" t="s">
        <v>1233</v>
      </c>
      <c r="D29" s="1134" t="s">
        <v>1094</v>
      </c>
      <c r="E29" s="1145">
        <f t="shared" ref="E29:AD29" si="44">IFERROR(G150*((SUM(AN$32)/SUM(AN$25:AN$33))/(SUM(G$150)/SUM(G$146:G$151))),G150)</f>
        <v>1.1373057525219547E-2</v>
      </c>
      <c r="F29" s="1145">
        <f t="shared" si="44"/>
        <v>3.6617710798321795E-2</v>
      </c>
      <c r="G29" s="1145">
        <f t="shared" si="44"/>
        <v>1.4565637961922104E-2</v>
      </c>
      <c r="H29" s="1145">
        <f t="shared" si="44"/>
        <v>1.0041285321675407E-2</v>
      </c>
      <c r="I29" s="1145">
        <f t="shared" si="44"/>
        <v>1.1748546248805168E-2</v>
      </c>
      <c r="J29" s="1145">
        <f t="shared" si="44"/>
        <v>6.4879447821399872E-3</v>
      </c>
      <c r="K29" s="1145">
        <f t="shared" si="44"/>
        <v>1.8891995699347602E-2</v>
      </c>
      <c r="L29" s="1145">
        <f t="shared" si="44"/>
        <v>1.7185019924592822E-2</v>
      </c>
      <c r="M29" s="1145">
        <f t="shared" si="44"/>
        <v>5.0487070257084999E-3</v>
      </c>
      <c r="N29" s="1145">
        <f t="shared" si="44"/>
        <v>2.1769504093315819E-2</v>
      </c>
      <c r="O29" s="1145">
        <f t="shared" si="44"/>
        <v>3.9869011778295431E-2</v>
      </c>
      <c r="P29" s="1145">
        <f t="shared" si="44"/>
        <v>1.4002594663725177E-2</v>
      </c>
      <c r="Q29" s="1145">
        <f t="shared" si="44"/>
        <v>3.5501876349930239E-2</v>
      </c>
      <c r="R29" s="1145">
        <f t="shared" si="44"/>
        <v>6.3357941587170147E-2</v>
      </c>
      <c r="S29" s="1145">
        <f t="shared" si="44"/>
        <v>2.9534002390159988E-2</v>
      </c>
      <c r="T29" s="1145">
        <f t="shared" si="44"/>
        <v>5.8253678119135989E-2</v>
      </c>
      <c r="U29" s="1145">
        <f t="shared" si="44"/>
        <v>5.8104755263116342E-2</v>
      </c>
      <c r="V29" s="1145">
        <f t="shared" si="44"/>
        <v>1.7693838568005729E-2</v>
      </c>
      <c r="W29" s="1145">
        <f t="shared" si="44"/>
        <v>6.0122927084369372E-2</v>
      </c>
      <c r="X29" s="1145">
        <f t="shared" si="44"/>
        <v>1.4264362101916119E-2</v>
      </c>
      <c r="Y29" s="1145">
        <f t="shared" si="44"/>
        <v>2.2537785597121794E-2</v>
      </c>
      <c r="Z29" s="1145">
        <f t="shared" si="44"/>
        <v>1.2780137125216686E-2</v>
      </c>
      <c r="AA29" s="1145">
        <f t="shared" si="44"/>
        <v>1.0555356385871139E-2</v>
      </c>
      <c r="AB29" s="1145">
        <f t="shared" si="44"/>
        <v>5.7297246914104309E-3</v>
      </c>
      <c r="AC29" s="1145">
        <f t="shared" si="44"/>
        <v>8.7174071446152232E-2</v>
      </c>
      <c r="AD29" s="1145">
        <f t="shared" si="44"/>
        <v>2.6167486479959909E-2</v>
      </c>
      <c r="AE29" s="1172">
        <f t="shared" si="4"/>
        <v>0.70937895901260539</v>
      </c>
      <c r="AG29" s="58" t="s">
        <v>1107</v>
      </c>
      <c r="AH29" s="1158">
        <f>SUM(E32:AD32)</f>
        <v>3.1186541371300947</v>
      </c>
      <c r="AI29" s="1140">
        <f>'SHWLP-Det'!S33</f>
        <v>3.1186541371300947</v>
      </c>
      <c r="AJ29" s="1160">
        <f>(AI29-AH29)/AI29</f>
        <v>0</v>
      </c>
      <c r="AL29" s="1144" t="s">
        <v>1131</v>
      </c>
      <c r="AM29" s="1144" t="s">
        <v>56</v>
      </c>
      <c r="AN29" s="1135">
        <f>SUMIFS(Table91517[Count of EnergyRating],Table91517[MainSpaceHeatingFuel],AL29,Table91517[EnergyRating (group)],AM29,Table91517[CountyName (group)],AN$4)</f>
        <v>1</v>
      </c>
      <c r="AO29" s="1164">
        <f>SUMIFS(Table91517[Count of EnergyRating],Table91517[MainSpaceHeatingFuel],AL29,Table91517[EnergyRating (group)],AM29,Table91517[CountyName (group)],AO$4)</f>
        <v>3</v>
      </c>
      <c r="AP29" s="1164">
        <f>SUMIFS(Table91517[Count of EnergyRating],Table91517[MainSpaceHeatingFuel],AL29,Table91517[EnergyRating (group)],AM29,Table91517[CountyName (group)],AP$4)</f>
        <v>1</v>
      </c>
      <c r="AQ29" s="1164">
        <f>SUMIFS(Table91517[Count of EnergyRating],Table91517[MainSpaceHeatingFuel],AL29,Table91517[EnergyRating (group)],AM29,Table91517[CountyName (group)],AQ$4)</f>
        <v>1</v>
      </c>
      <c r="AR29" s="1164">
        <f>SUMIFS(Table91517[Count of EnergyRating],Table91517[MainSpaceHeatingFuel],AL29,Table91517[EnergyRating (group)],AM29,Table91517[CountyName (group)],AR$4)</f>
        <v>2</v>
      </c>
      <c r="AS29" s="1164">
        <f>SUMIFS(Table91517[Count of EnergyRating],Table91517[MainSpaceHeatingFuel],AL29,Table91517[EnergyRating (group)],AM29,Table91517[CountyName (group)],AS$4)</f>
        <v>0</v>
      </c>
      <c r="AT29" s="1164">
        <f>SUMIFS(Table91517[Count of EnergyRating],Table91517[MainSpaceHeatingFuel],AL29,Table91517[EnergyRating (group)],AM29,Table91517[CountyName (group)],AT$4)</f>
        <v>0</v>
      </c>
      <c r="AU29" s="1164">
        <f>SUMIFS(Table91517[Count of EnergyRating],Table91517[MainSpaceHeatingFuel],AL29,Table91517[EnergyRating (group)],AM29,Table91517[CountyName (group)],AU$4)</f>
        <v>0</v>
      </c>
      <c r="AV29" s="1164">
        <f>SUMIFS(Table91517[Count of EnergyRating],Table91517[MainSpaceHeatingFuel],AL29,Table91517[EnergyRating (group)],AM29,Table91517[CountyName (group)],AV$4)</f>
        <v>1</v>
      </c>
      <c r="AW29" s="1164">
        <f>SUMIFS(Table91517[Count of EnergyRating],Table91517[MainSpaceHeatingFuel],AL29,Table91517[EnergyRating (group)],AM29,Table91517[CountyName (group)],AW$4)</f>
        <v>2</v>
      </c>
      <c r="AX29" s="1164">
        <f>SUMIFS(Table91517[Count of EnergyRating],Table91517[MainSpaceHeatingFuel],AL29,Table91517[EnergyRating (group)],AM29,Table91517[CountyName (group)],AX$4)</f>
        <v>2</v>
      </c>
      <c r="AY29" s="1164">
        <f>SUMIFS(Table91517[Count of EnergyRating],Table91517[MainSpaceHeatingFuel],AL29,Table91517[EnergyRating (group)],AM29,Table91517[CountyName (group)],AY$4)</f>
        <v>0</v>
      </c>
      <c r="AZ29" s="1164">
        <f>SUMIFS(Table91517[Count of EnergyRating],Table91517[MainSpaceHeatingFuel],AL29,Table91517[EnergyRating (group)],AM29,Table91517[CountyName (group)],AZ$4)</f>
        <v>5</v>
      </c>
      <c r="BA29" s="1164">
        <f>SUMIFS(Table91517[Count of EnergyRating],Table91517[MainSpaceHeatingFuel],AL29,Table91517[EnergyRating (group)],AM29,Table91517[CountyName (group)],BA$4)</f>
        <v>5</v>
      </c>
      <c r="BB29" s="1164">
        <f>SUMIFS(Table91517[Count of EnergyRating],Table91517[MainSpaceHeatingFuel],AL29,Table91517[EnergyRating (group)],AM29,Table91517[CountyName (group)],BB$4)</f>
        <v>4</v>
      </c>
      <c r="BC29" s="1164">
        <f>SUMIFS(Table91517[Count of EnergyRating],Table91517[MainSpaceHeatingFuel],AL29,Table91517[EnergyRating (group)],AM29,Table91517[CountyName (group)],BC$4)</f>
        <v>2</v>
      </c>
      <c r="BD29" s="1164">
        <f>SUMIFS(Table91517[Count of EnergyRating],Table91517[MainSpaceHeatingFuel],AL29,Table91517[EnergyRating (group)],AM29,Table91517[CountyName (group)],BD$4)</f>
        <v>3</v>
      </c>
      <c r="BE29" s="1164">
        <f>SUMIFS(Table91517[Count of EnergyRating],Table91517[MainSpaceHeatingFuel],AL29,Table91517[EnergyRating (group)],AM29,Table91517[CountyName (group)],BE$4)</f>
        <v>4</v>
      </c>
      <c r="BF29" s="1164">
        <f>SUMIFS(Table91517[Count of EnergyRating],Table91517[MainSpaceHeatingFuel],AL29,Table91517[EnergyRating (group)],AM29,Table91517[CountyName (group)],BF$4)</f>
        <v>1</v>
      </c>
      <c r="BG29" s="1164">
        <f>SUMIFS(Table91517[Count of EnergyRating],Table91517[MainSpaceHeatingFuel],AL29,Table91517[EnergyRating (group)],AM29,Table91517[CountyName (group)],BG$4)</f>
        <v>0</v>
      </c>
      <c r="BH29" s="1164">
        <f>SUMIFS(Table91517[Count of EnergyRating],Table91517[MainSpaceHeatingFuel],AL29,Table91517[EnergyRating (group)],AM29,Table91517[CountyName (group)],BH$4)</f>
        <v>1</v>
      </c>
      <c r="BI29" s="1164">
        <f>SUMIFS(Table91517[Count of EnergyRating],Table91517[MainSpaceHeatingFuel],AL29,Table91517[EnergyRating (group)],AM29,Table91517[CountyName (group)],BI$4)</f>
        <v>0</v>
      </c>
      <c r="BJ29" s="1164">
        <f>SUMIFS(Table91517[Count of EnergyRating],Table91517[MainSpaceHeatingFuel],AL29,Table91517[EnergyRating (group)],AM29,Table91517[CountyName (group)],BJ$4)</f>
        <v>4</v>
      </c>
      <c r="BK29" s="1135">
        <f>SUMIFS(Table91517[Count of EnergyRating],Table91517[MainSpaceHeatingFuel],AL29,Table91517[EnergyRating (group)],AM29,Table91517[CountyName (group)],BK$4)</f>
        <v>0</v>
      </c>
      <c r="BL29" s="1164">
        <f>SUMIFS(Table91517[Count of EnergyRating],Table91517[MainSpaceHeatingFuel],AL29,Table91517[EnergyRating (group)],AM29,Table91517[CountyName (group)],BL$4)</f>
        <v>3</v>
      </c>
      <c r="BM29" s="1164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38" t="s">
        <v>64</v>
      </c>
      <c r="C30" s="1138" t="s">
        <v>1233</v>
      </c>
      <c r="D30" s="1138" t="s">
        <v>1094</v>
      </c>
      <c r="E30" s="1147">
        <f t="shared" ref="E30:AD30" si="45">IFERROR(G151*((SUM(AN$33)/SUM(AN$25:AN$33))/(SUM(G$151)/SUM(G$146:G$151))),G151)</f>
        <v>2.9245005064850262E-2</v>
      </c>
      <c r="F30" s="1147">
        <f t="shared" si="45"/>
        <v>0.25109287404563513</v>
      </c>
      <c r="G30" s="1147">
        <f t="shared" si="45"/>
        <v>0.12380792267633789</v>
      </c>
      <c r="H30" s="1147">
        <f t="shared" si="45"/>
        <v>7.2799318582146694E-2</v>
      </c>
      <c r="I30" s="1147">
        <f t="shared" si="45"/>
        <v>5.091036707815573E-2</v>
      </c>
      <c r="J30" s="1147">
        <f t="shared" si="45"/>
        <v>1.9463834346419961E-2</v>
      </c>
      <c r="K30" s="1147">
        <f t="shared" si="45"/>
        <v>7.7667093430651243E-2</v>
      </c>
      <c r="L30" s="1147">
        <f t="shared" si="45"/>
        <v>0.15752934930876752</v>
      </c>
      <c r="M30" s="1147">
        <f t="shared" si="45"/>
        <v>2.5243535128542501E-2</v>
      </c>
      <c r="N30" s="1147">
        <f t="shared" si="45"/>
        <v>5.7533689389477505E-2</v>
      </c>
      <c r="O30" s="1147">
        <f t="shared" si="45"/>
        <v>8.6033130679479611E-2</v>
      </c>
      <c r="P30" s="1147">
        <f t="shared" si="45"/>
        <v>8.6349333759638602E-2</v>
      </c>
      <c r="Q30" s="1147">
        <f t="shared" si="45"/>
        <v>4.8815079981154072E-2</v>
      </c>
      <c r="R30" s="1147">
        <f t="shared" si="45"/>
        <v>0.33169745889753788</v>
      </c>
      <c r="S30" s="1147">
        <f t="shared" si="45"/>
        <v>0.11222920908260793</v>
      </c>
      <c r="T30" s="1147">
        <f t="shared" si="45"/>
        <v>8.0260623186365149E-2</v>
      </c>
      <c r="U30" s="1147">
        <f t="shared" si="45"/>
        <v>8.9391931174025135E-2</v>
      </c>
      <c r="V30" s="1147">
        <f t="shared" si="45"/>
        <v>5.4556002251350988E-2</v>
      </c>
      <c r="W30" s="1147">
        <f t="shared" si="45"/>
        <v>0.14830322014144443</v>
      </c>
      <c r="X30" s="1147">
        <f t="shared" si="45"/>
        <v>2.3773936836526868E-2</v>
      </c>
      <c r="Y30" s="1147">
        <f t="shared" si="45"/>
        <v>0.12395782078416986</v>
      </c>
      <c r="Z30" s="1147">
        <f t="shared" si="45"/>
        <v>7.3485788469995941E-2</v>
      </c>
      <c r="AA30" s="1147">
        <f t="shared" si="45"/>
        <v>3.9582586447016774E-2</v>
      </c>
      <c r="AB30" s="1147">
        <f t="shared" si="45"/>
        <v>8.0216145679746026E-2</v>
      </c>
      <c r="AC30" s="1147">
        <f t="shared" si="45"/>
        <v>8.0468373642602065E-2</v>
      </c>
      <c r="AD30" s="1147">
        <f t="shared" si="45"/>
        <v>4.579310133992983E-2</v>
      </c>
      <c r="AE30" s="1174">
        <f t="shared" si="4"/>
        <v>2.3702067314045756</v>
      </c>
      <c r="AG30" s="1164"/>
      <c r="AL30" s="1144" t="s">
        <v>1131</v>
      </c>
      <c r="AM30" s="1144" t="s">
        <v>58</v>
      </c>
      <c r="AN30" s="1135">
        <f>SUMIFS(Table91517[Count of EnergyRating],Table91517[MainSpaceHeatingFuel],AL30,Table91517[EnergyRating (group)],AM30,Table91517[CountyName (group)],AN$4)</f>
        <v>5</v>
      </c>
      <c r="AO30" s="1164">
        <f>SUMIFS(Table91517[Count of EnergyRating],Table91517[MainSpaceHeatingFuel],AL30,Table91517[EnergyRating (group)],AM30,Table91517[CountyName (group)],AO$4)</f>
        <v>3</v>
      </c>
      <c r="AP30" s="1164">
        <f>SUMIFS(Table91517[Count of EnergyRating],Table91517[MainSpaceHeatingFuel],AL30,Table91517[EnergyRating (group)],AM30,Table91517[CountyName (group)],AP$4)</f>
        <v>6</v>
      </c>
      <c r="AQ30" s="1164">
        <f>SUMIFS(Table91517[Count of EnergyRating],Table91517[MainSpaceHeatingFuel],AL30,Table91517[EnergyRating (group)],AM30,Table91517[CountyName (group)],AQ$4)</f>
        <v>4</v>
      </c>
      <c r="AR30" s="1164">
        <f>SUMIFS(Table91517[Count of EnergyRating],Table91517[MainSpaceHeatingFuel],AL30,Table91517[EnergyRating (group)],AM30,Table91517[CountyName (group)],AR$4)</f>
        <v>5</v>
      </c>
      <c r="AS30" s="1164">
        <f>SUMIFS(Table91517[Count of EnergyRating],Table91517[MainSpaceHeatingFuel],AL30,Table91517[EnergyRating (group)],AM30,Table91517[CountyName (group)],AS$4)</f>
        <v>1</v>
      </c>
      <c r="AT30" s="1164">
        <f>SUMIFS(Table91517[Count of EnergyRating],Table91517[MainSpaceHeatingFuel],AL30,Table91517[EnergyRating (group)],AM30,Table91517[CountyName (group)],AT$4)</f>
        <v>1</v>
      </c>
      <c r="AU30" s="1164">
        <f>SUMIFS(Table91517[Count of EnergyRating],Table91517[MainSpaceHeatingFuel],AL30,Table91517[EnergyRating (group)],AM30,Table91517[CountyName (group)],AU$4)</f>
        <v>4</v>
      </c>
      <c r="AV30" s="1164">
        <f>SUMIFS(Table91517[Count of EnergyRating],Table91517[MainSpaceHeatingFuel],AL30,Table91517[EnergyRating (group)],AM30,Table91517[CountyName (group)],AV$4)</f>
        <v>2</v>
      </c>
      <c r="AW30" s="1164">
        <f>SUMIFS(Table91517[Count of EnergyRating],Table91517[MainSpaceHeatingFuel],AL30,Table91517[EnergyRating (group)],AM30,Table91517[CountyName (group)],AW$4)</f>
        <v>5</v>
      </c>
      <c r="AX30" s="1164">
        <f>SUMIFS(Table91517[Count of EnergyRating],Table91517[MainSpaceHeatingFuel],AL30,Table91517[EnergyRating (group)],AM30,Table91517[CountyName (group)],AX$4)</f>
        <v>11</v>
      </c>
      <c r="AY30" s="1164">
        <f>SUMIFS(Table91517[Count of EnergyRating],Table91517[MainSpaceHeatingFuel],AL30,Table91517[EnergyRating (group)],AM30,Table91517[CountyName (group)],AY$4)</f>
        <v>4</v>
      </c>
      <c r="AZ30" s="1164">
        <f>SUMIFS(Table91517[Count of EnergyRating],Table91517[MainSpaceHeatingFuel],AL30,Table91517[EnergyRating (group)],AM30,Table91517[CountyName (group)],AZ$4)</f>
        <v>14</v>
      </c>
      <c r="BA30" s="1164">
        <f>SUMIFS(Table91517[Count of EnergyRating],Table91517[MainSpaceHeatingFuel],AL30,Table91517[EnergyRating (group)],AM30,Table91517[CountyName (group)],BA$4)</f>
        <v>6</v>
      </c>
      <c r="BB30" s="1164">
        <f>SUMIFS(Table91517[Count of EnergyRating],Table91517[MainSpaceHeatingFuel],AL30,Table91517[EnergyRating (group)],AM30,Table91517[CountyName (group)],BB$4)</f>
        <v>8</v>
      </c>
      <c r="BC30" s="1164">
        <f>SUMIFS(Table91517[Count of EnergyRating],Table91517[MainSpaceHeatingFuel],AL30,Table91517[EnergyRating (group)],AM30,Table91517[CountyName (group)],BC$4)</f>
        <v>16</v>
      </c>
      <c r="BD30" s="1164">
        <f>SUMIFS(Table91517[Count of EnergyRating],Table91517[MainSpaceHeatingFuel],AL30,Table91517[EnergyRating (group)],AM30,Table91517[CountyName (group)],BD$4)</f>
        <v>9</v>
      </c>
      <c r="BE30" s="1164">
        <f>SUMIFS(Table91517[Count of EnergyRating],Table91517[MainSpaceHeatingFuel],AL30,Table91517[EnergyRating (group)],AM30,Table91517[CountyName (group)],BE$4)</f>
        <v>11</v>
      </c>
      <c r="BF30" s="1164">
        <f>SUMIFS(Table91517[Count of EnergyRating],Table91517[MainSpaceHeatingFuel],AL30,Table91517[EnergyRating (group)],AM30,Table91517[CountyName (group)],BF$4)</f>
        <v>12</v>
      </c>
      <c r="BG30" s="1164">
        <f>SUMIFS(Table91517[Count of EnergyRating],Table91517[MainSpaceHeatingFuel],AL30,Table91517[EnergyRating (group)],AM30,Table91517[CountyName (group)],BG$4)</f>
        <v>1</v>
      </c>
      <c r="BH30" s="1164">
        <f>SUMIFS(Table91517[Count of EnergyRating],Table91517[MainSpaceHeatingFuel],AL30,Table91517[EnergyRating (group)],AM30,Table91517[CountyName (group)],BH$4)</f>
        <v>5</v>
      </c>
      <c r="BI30" s="1164">
        <f>SUMIFS(Table91517[Count of EnergyRating],Table91517[MainSpaceHeatingFuel],AL30,Table91517[EnergyRating (group)],AM30,Table91517[CountyName (group)],BI$4)</f>
        <v>0</v>
      </c>
      <c r="BJ30" s="1164">
        <f>SUMIFS(Table91517[Count of EnergyRating],Table91517[MainSpaceHeatingFuel],AL30,Table91517[EnergyRating (group)],AM30,Table91517[CountyName (group)],BJ$4)</f>
        <v>2</v>
      </c>
      <c r="BK30" s="1135">
        <f>SUMIFS(Table91517[Count of EnergyRating],Table91517[MainSpaceHeatingFuel],AL30,Table91517[EnergyRating (group)],AM30,Table91517[CountyName (group)],BK$4)</f>
        <v>0</v>
      </c>
      <c r="BL30" s="1164">
        <f>SUMIFS(Table91517[Count of EnergyRating],Table91517[MainSpaceHeatingFuel],AL30,Table91517[EnergyRating (group)],AM30,Table91517[CountyName (group)],BL$4)</f>
        <v>4</v>
      </c>
      <c r="BM30" s="1164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38" t="s">
        <v>1075</v>
      </c>
      <c r="C31" s="1138" t="s">
        <v>1233</v>
      </c>
      <c r="D31" s="1138" t="s">
        <v>1094</v>
      </c>
      <c r="E31" s="1147">
        <f>SUM(E25:E30)</f>
        <v>6.4988900144111697E-2</v>
      </c>
      <c r="F31" s="1147">
        <f t="shared" ref="F31" si="46">SUM(F25:F30)</f>
        <v>0.33740604949882225</v>
      </c>
      <c r="G31" s="1147">
        <f t="shared" ref="G31" si="47">SUM(G25:G30)</f>
        <v>0.1820704745240263</v>
      </c>
      <c r="H31" s="1147">
        <f t="shared" ref="H31" si="48">SUM(H25:H30)</f>
        <v>0.12551606652094258</v>
      </c>
      <c r="I31" s="1147">
        <f t="shared" ref="I31" si="49">SUM(I25:I30)</f>
        <v>9.7904552073376394E-2</v>
      </c>
      <c r="J31" s="1147">
        <f t="shared" ref="J31" si="50">SUM(J25:J30)</f>
        <v>5.8391503039259877E-2</v>
      </c>
      <c r="K31" s="1147">
        <f t="shared" ref="K31" si="51">SUM(K25:K30)</f>
        <v>0.1133519741960856</v>
      </c>
      <c r="L31" s="1147">
        <f t="shared" ref="L31" si="52">SUM(L25:L30)</f>
        <v>0.20622023909511386</v>
      </c>
      <c r="M31" s="1147">
        <f t="shared" ref="M31" si="53">SUM(M25:M30)</f>
        <v>9.5925433488461498E-2</v>
      </c>
      <c r="N31" s="1147">
        <f t="shared" ref="N31" si="54">SUM(N25:N30)</f>
        <v>0.10107269757610914</v>
      </c>
      <c r="O31" s="1147">
        <f t="shared" ref="O31" si="55">SUM(O25:O30)</f>
        <v>0.20354179697340297</v>
      </c>
      <c r="P31" s="1147">
        <f t="shared" ref="P31" si="56">SUM(P25:P30)</f>
        <v>0.13535841508267671</v>
      </c>
      <c r="Q31" s="1147">
        <f t="shared" ref="Q31" si="57">SUM(Q25:Q30)</f>
        <v>0.15753957630281543</v>
      </c>
      <c r="R31" s="1147">
        <f t="shared" ref="R31" si="58">SUM(R25:R30)</f>
        <v>0.53295209688031364</v>
      </c>
      <c r="S31" s="1147">
        <f t="shared" ref="S31" si="59">SUM(S25:S30)</f>
        <v>0.2185516176871839</v>
      </c>
      <c r="T31" s="1147">
        <f t="shared" ref="T31" si="60">SUM(T25:T30)</f>
        <v>0.19676797942463714</v>
      </c>
      <c r="U31" s="1147">
        <f t="shared" ref="U31" si="61">SUM(U25:U30)</f>
        <v>0.21007103825895906</v>
      </c>
      <c r="V31" s="1147">
        <f t="shared" ref="V31" si="62">SUM(V25:V30)</f>
        <v>0.11500995069203723</v>
      </c>
      <c r="W31" s="1147">
        <f t="shared" ref="W31" si="63">SUM(W25:W30)</f>
        <v>0.3326801965335105</v>
      </c>
      <c r="X31" s="1147">
        <f t="shared" ref="X31" si="64">SUM(X25:X30)</f>
        <v>5.4680054724011787E-2</v>
      </c>
      <c r="Y31" s="1147">
        <f t="shared" ref="Y31" si="65">SUM(Y25:Y30)</f>
        <v>0.20847451677337658</v>
      </c>
      <c r="Z31" s="1147">
        <f t="shared" ref="Z31" si="66">SUM(Z25:Z30)</f>
        <v>0.10863116556434183</v>
      </c>
      <c r="AA31" s="1147">
        <f t="shared" ref="AA31" si="67">SUM(AA25:AA30)</f>
        <v>8.7081690183436908E-2</v>
      </c>
      <c r="AB31" s="1147">
        <f t="shared" ref="AB31" si="68">SUM(AB25:AB30)</f>
        <v>0.10886476913679818</v>
      </c>
      <c r="AC31" s="1147">
        <f t="shared" ref="AC31" si="69">SUM(AC25:AC30)</f>
        <v>0.24475796982958126</v>
      </c>
      <c r="AD31" s="1147">
        <f t="shared" ref="AD31" si="70">SUM(AD25:AD30)</f>
        <v>8.5044331059869693E-2</v>
      </c>
      <c r="AE31" s="1147">
        <f t="shared" ref="AE31" si="71">SUM(AE25:AE30)</f>
        <v>4.3828550552632617</v>
      </c>
      <c r="AG31" s="1164"/>
      <c r="AL31" s="1144" t="s">
        <v>1131</v>
      </c>
      <c r="AM31" s="1144" t="s">
        <v>60</v>
      </c>
      <c r="AN31" s="1135">
        <f>SUMIFS(Table91517[Count of EnergyRating],Table91517[MainSpaceHeatingFuel],AL31,Table91517[EnergyRating (group)],AM31,Table91517[CountyName (group)],AN$4)</f>
        <v>9</v>
      </c>
      <c r="AO31" s="1164">
        <f>SUMIFS(Table91517[Count of EnergyRating],Table91517[MainSpaceHeatingFuel],AL31,Table91517[EnergyRating (group)],AM31,Table91517[CountyName (group)],AO$4)</f>
        <v>11</v>
      </c>
      <c r="AP31" s="1164">
        <f>SUMIFS(Table91517[Count of EnergyRating],Table91517[MainSpaceHeatingFuel],AL31,Table91517[EnergyRating (group)],AM31,Table91517[CountyName (group)],AP$4)</f>
        <v>5</v>
      </c>
      <c r="AQ31" s="1164">
        <f>SUMIFS(Table91517[Count of EnergyRating],Table91517[MainSpaceHeatingFuel],AL31,Table91517[EnergyRating (group)],AM31,Table91517[CountyName (group)],AQ$4)</f>
        <v>11</v>
      </c>
      <c r="AR31" s="1164">
        <f>SUMIFS(Table91517[Count of EnergyRating],Table91517[MainSpaceHeatingFuel],AL31,Table91517[EnergyRating (group)],AM31,Table91517[CountyName (group)],AR$4)</f>
        <v>2</v>
      </c>
      <c r="AS31" s="1164">
        <f>SUMIFS(Table91517[Count of EnergyRating],Table91517[MainSpaceHeatingFuel],AL31,Table91517[EnergyRating (group)],AM31,Table91517[CountyName (group)],AS$4)</f>
        <v>4</v>
      </c>
      <c r="AT31" s="1164">
        <f>SUMIFS(Table91517[Count of EnergyRating],Table91517[MainSpaceHeatingFuel],AL31,Table91517[EnergyRating (group)],AM31,Table91517[CountyName (group)],AT$4)</f>
        <v>7</v>
      </c>
      <c r="AU31" s="1164">
        <f>SUMIFS(Table91517[Count of EnergyRating],Table91517[MainSpaceHeatingFuel],AL31,Table91517[EnergyRating (group)],AM31,Table91517[CountyName (group)],AU$4)</f>
        <v>7</v>
      </c>
      <c r="AV31" s="1164">
        <f>SUMIFS(Table91517[Count of EnergyRating],Table91517[MainSpaceHeatingFuel],AL31,Table91517[EnergyRating (group)],AM31,Table91517[CountyName (group)],AV$4)</f>
        <v>10</v>
      </c>
      <c r="AW31" s="1164">
        <f>SUMIFS(Table91517[Count of EnergyRating],Table91517[MainSpaceHeatingFuel],AL31,Table91517[EnergyRating (group)],AM31,Table91517[CountyName (group)],AW$4)</f>
        <v>7</v>
      </c>
      <c r="AX31" s="1164">
        <f>SUMIFS(Table91517[Count of EnergyRating],Table91517[MainSpaceHeatingFuel],AL31,Table91517[EnergyRating (group)],AM31,Table91517[CountyName (group)],AX$4)</f>
        <v>24</v>
      </c>
      <c r="AY31" s="1164">
        <f>SUMIFS(Table91517[Count of EnergyRating],Table91517[MainSpaceHeatingFuel],AL31,Table91517[EnergyRating (group)],AM31,Table91517[CountyName (group)],AY$4)</f>
        <v>11</v>
      </c>
      <c r="AZ31" s="1164">
        <f>SUMIFS(Table91517[Count of EnergyRating],Table91517[MainSpaceHeatingFuel],AL31,Table91517[EnergyRating (group)],AM31,Table91517[CountyName (group)],AZ$4)</f>
        <v>14</v>
      </c>
      <c r="BA31" s="1164">
        <f>SUMIFS(Table91517[Count of EnergyRating],Table91517[MainSpaceHeatingFuel],AL31,Table91517[EnergyRating (group)],AM31,Table91517[CountyName (group)],BA$4)</f>
        <v>26</v>
      </c>
      <c r="BB31" s="1164">
        <f>SUMIFS(Table91517[Count of EnergyRating],Table91517[MainSpaceHeatingFuel],AL31,Table91517[EnergyRating (group)],AM31,Table91517[CountyName (group)],BB$4)</f>
        <v>14</v>
      </c>
      <c r="BC31" s="1164">
        <f>SUMIFS(Table91517[Count of EnergyRating],Table91517[MainSpaceHeatingFuel],AL31,Table91517[EnergyRating (group)],AM31,Table91517[CountyName (group)],BC$4)</f>
        <v>27</v>
      </c>
      <c r="BD31" s="1164">
        <f>SUMIFS(Table91517[Count of EnergyRating],Table91517[MainSpaceHeatingFuel],AL31,Table91517[EnergyRating (group)],AM31,Table91517[CountyName (group)],BD$4)</f>
        <v>16</v>
      </c>
      <c r="BE31" s="1164">
        <f>SUMIFS(Table91517[Count of EnergyRating],Table91517[MainSpaceHeatingFuel],AL31,Table91517[EnergyRating (group)],AM31,Table91517[CountyName (group)],BE$4)</f>
        <v>14</v>
      </c>
      <c r="BF31" s="1164">
        <f>SUMIFS(Table91517[Count of EnergyRating],Table91517[MainSpaceHeatingFuel],AL31,Table91517[EnergyRating (group)],AM31,Table91517[CountyName (group)],BF$4)</f>
        <v>16</v>
      </c>
      <c r="BG31" s="1164">
        <f>SUMIFS(Table91517[Count of EnergyRating],Table91517[MainSpaceHeatingFuel],AL31,Table91517[EnergyRating (group)],AM31,Table91517[CountyName (group)],BG$4)</f>
        <v>5</v>
      </c>
      <c r="BH31" s="1164">
        <f>SUMIFS(Table91517[Count of EnergyRating],Table91517[MainSpaceHeatingFuel],AL31,Table91517[EnergyRating (group)],AM31,Table91517[CountyName (group)],BH$4)</f>
        <v>5</v>
      </c>
      <c r="BI31" s="1164">
        <f>SUMIFS(Table91517[Count of EnergyRating],Table91517[MainSpaceHeatingFuel],AL31,Table91517[EnergyRating (group)],AM31,Table91517[CountyName (group)],BI$4)</f>
        <v>7</v>
      </c>
      <c r="BJ31" s="1164">
        <f>SUMIFS(Table91517[Count of EnergyRating],Table91517[MainSpaceHeatingFuel],AL31,Table91517[EnergyRating (group)],AM31,Table91517[CountyName (group)],BJ$4)</f>
        <v>8</v>
      </c>
      <c r="BK31" s="1135">
        <f>SUMIFS(Table91517[Count of EnergyRating],Table91517[MainSpaceHeatingFuel],AL31,Table91517[EnergyRating (group)],AM31,Table91517[CountyName (group)],BK$4)</f>
        <v>3</v>
      </c>
      <c r="BL31" s="1164">
        <f>SUMIFS(Table91517[Count of EnergyRating],Table91517[MainSpaceHeatingFuel],AL31,Table91517[EnergyRating (group)],AM31,Table91517[CountyName (group)],BL$4)</f>
        <v>14</v>
      </c>
      <c r="BM31" s="1164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65"/>
      <c r="C32" s="1165" t="s">
        <v>1234</v>
      </c>
      <c r="D32" s="1165" t="s">
        <v>1094</v>
      </c>
      <c r="E32" s="1166">
        <f t="shared" ref="E32:AD32" si="72">G152</f>
        <v>4.6243350452253203E-2</v>
      </c>
      <c r="F32" s="1166">
        <f t="shared" si="72"/>
        <v>0.24008386289174669</v>
      </c>
      <c r="G32" s="1166">
        <f t="shared" si="72"/>
        <v>0.12955364287982082</v>
      </c>
      <c r="H32" s="1166">
        <f t="shared" si="72"/>
        <v>8.9311920014731414E-2</v>
      </c>
      <c r="I32" s="1166">
        <f t="shared" si="72"/>
        <v>6.9664735091077318E-2</v>
      </c>
      <c r="J32" s="1166">
        <f t="shared" si="72"/>
        <v>4.1548921931139259E-2</v>
      </c>
      <c r="K32" s="1166">
        <f t="shared" si="72"/>
        <v>8.0656466805574589E-2</v>
      </c>
      <c r="L32" s="1166">
        <f t="shared" si="72"/>
        <v>0.14673759312245924</v>
      </c>
      <c r="M32" s="1166">
        <f t="shared" si="72"/>
        <v>6.8256478079405464E-2</v>
      </c>
      <c r="N32" s="1166">
        <f t="shared" si="72"/>
        <v>7.1919053327602719E-2</v>
      </c>
      <c r="O32" s="1166">
        <f t="shared" si="72"/>
        <v>0.14483172708340189</v>
      </c>
      <c r="P32" s="1166">
        <f t="shared" si="72"/>
        <v>9.6315318638253766E-2</v>
      </c>
      <c r="Q32" s="1166">
        <f t="shared" si="72"/>
        <v>0.11209849406461522</v>
      </c>
      <c r="R32" s="1166">
        <f t="shared" si="72"/>
        <v>0.37922615301457036</v>
      </c>
      <c r="S32" s="1166">
        <f t="shared" si="72"/>
        <v>0.15551208015836845</v>
      </c>
      <c r="T32" s="1166">
        <f t="shared" si="72"/>
        <v>0.14001176524203224</v>
      </c>
      <c r="U32" s="1166">
        <f t="shared" si="72"/>
        <v>0.14947765880844655</v>
      </c>
      <c r="V32" s="1166">
        <f t="shared" si="72"/>
        <v>8.1836212700240829E-2</v>
      </c>
      <c r="W32" s="1166">
        <f t="shared" si="72"/>
        <v>0.23672114596045346</v>
      </c>
      <c r="X32" s="1166">
        <f t="shared" si="72"/>
        <v>3.8908012410484881E-2</v>
      </c>
      <c r="Y32" s="1166">
        <f t="shared" si="72"/>
        <v>0.14834164169785335</v>
      </c>
      <c r="Z32" s="1166">
        <f t="shared" si="72"/>
        <v>7.7297339208528645E-2</v>
      </c>
      <c r="AA32" s="1166">
        <f t="shared" si="72"/>
        <v>6.1963644686977681E-2</v>
      </c>
      <c r="AB32" s="1166">
        <f t="shared" si="72"/>
        <v>7.7463561622572327E-2</v>
      </c>
      <c r="AC32" s="1166">
        <f t="shared" si="72"/>
        <v>0.17415941106424226</v>
      </c>
      <c r="AD32" s="1166">
        <f t="shared" si="72"/>
        <v>6.0513946173242315E-2</v>
      </c>
      <c r="AE32" s="1175">
        <f t="shared" si="4"/>
        <v>3.1186541371300947</v>
      </c>
      <c r="AG32" s="1164"/>
      <c r="AL32" s="1144" t="s">
        <v>1131</v>
      </c>
      <c r="AM32" s="1144" t="s">
        <v>62</v>
      </c>
      <c r="AN32" s="1135">
        <f>SUMIFS(Table91517[Count of EnergyRating],Table91517[MainSpaceHeatingFuel],AL32,Table91517[EnergyRating (group)],AM32,Table91517[CountyName (group)],AN$4)</f>
        <v>7</v>
      </c>
      <c r="AO32" s="1164">
        <f>SUMIFS(Table91517[Count of EnergyRating],Table91517[MainSpaceHeatingFuel],AL32,Table91517[EnergyRating (group)],AM32,Table91517[CountyName (group)],AO$4)</f>
        <v>14</v>
      </c>
      <c r="AP32" s="1164">
        <f>SUMIFS(Table91517[Count of EnergyRating],Table91517[MainSpaceHeatingFuel],AL32,Table91517[EnergyRating (group)],AM32,Table91517[CountyName (group)],AP$4)</f>
        <v>4</v>
      </c>
      <c r="AQ32" s="1164">
        <f>SUMIFS(Table91517[Count of EnergyRating],Table91517[MainSpaceHeatingFuel],AL32,Table91517[EnergyRating (group)],AM32,Table91517[CountyName (group)],AQ$4)</f>
        <v>4</v>
      </c>
      <c r="AR32" s="1164">
        <f>SUMIFS(Table91517[Count of EnergyRating],Table91517[MainSpaceHeatingFuel],AL32,Table91517[EnergyRating (group)],AM32,Table91517[CountyName (group)],AR$4)</f>
        <v>3</v>
      </c>
      <c r="AS32" s="1164">
        <f>SUMIFS(Table91517[Count of EnergyRating],Table91517[MainSpaceHeatingFuel],AL32,Table91517[EnergyRating (group)],AM32,Table91517[CountyName (group)],AS$4)</f>
        <v>1</v>
      </c>
      <c r="AT32" s="1164">
        <f>SUMIFS(Table91517[Count of EnergyRating],Table91517[MainSpaceHeatingFuel],AL32,Table91517[EnergyRating (group)],AM32,Table91517[CountyName (group)],AT$4)</f>
        <v>9</v>
      </c>
      <c r="AU32" s="1164">
        <f>SUMIFS(Table91517[Count of EnergyRating],Table91517[MainSpaceHeatingFuel],AL32,Table91517[EnergyRating (group)],AM32,Table91517[CountyName (group)],AU$4)</f>
        <v>6</v>
      </c>
      <c r="AV32" s="1164">
        <f>SUMIFS(Table91517[Count of EnergyRating],Table91517[MainSpaceHeatingFuel],AL32,Table91517[EnergyRating (group)],AM32,Table91517[CountyName (group)],AV$4)</f>
        <v>1</v>
      </c>
      <c r="AW32" s="1164">
        <f>SUMIFS(Table91517[Count of EnergyRating],Table91517[MainSpaceHeatingFuel],AL32,Table91517[EnergyRating (group)],AM32,Table91517[CountyName (group)],AW$4)</f>
        <v>14</v>
      </c>
      <c r="AX32" s="1164">
        <f>SUMIFS(Table91517[Count of EnergyRating],Table91517[MainSpaceHeatingFuel],AL32,Table91517[EnergyRating (group)],AM32,Table91517[CountyName (group)],AX$4)</f>
        <v>19</v>
      </c>
      <c r="AY32" s="1164">
        <f>SUMIFS(Table91517[Count of EnergyRating],Table91517[MainSpaceHeatingFuel],AL32,Table91517[EnergyRating (group)],AM32,Table91517[CountyName (group)],AY$4)</f>
        <v>6</v>
      </c>
      <c r="AZ32" s="1164">
        <f>SUMIFS(Table91517[Count of EnergyRating],Table91517[MainSpaceHeatingFuel],AL32,Table91517[EnergyRating (group)],AM32,Table91517[CountyName (group)],AZ$4)</f>
        <v>16</v>
      </c>
      <c r="BA32" s="1164">
        <f>SUMIFS(Table91517[Count of EnergyRating],Table91517[MainSpaceHeatingFuel],AL32,Table91517[EnergyRating (group)],AM32,Table91517[CountyName (group)],BA$4)</f>
        <v>17</v>
      </c>
      <c r="BB32" s="1164">
        <f>SUMIFS(Table91517[Count of EnergyRating],Table91517[MainSpaceHeatingFuel],AL32,Table91517[EnergyRating (group)],AM32,Table91517[CountyName (group)],BB$4)</f>
        <v>10</v>
      </c>
      <c r="BC32" s="1164">
        <f>SUMIFS(Table91517[Count of EnergyRating],Table91517[MainSpaceHeatingFuel],AL32,Table91517[EnergyRating (group)],AM32,Table91517[CountyName (group)],BC$4)</f>
        <v>45</v>
      </c>
      <c r="BD32" s="1164">
        <f>SUMIFS(Table91517[Count of EnergyRating],Table91517[MainSpaceHeatingFuel],AL32,Table91517[EnergyRating (group)],AM32,Table91517[CountyName (group)],BD$4)</f>
        <v>26</v>
      </c>
      <c r="BE32" s="1164">
        <f>SUMIFS(Table91517[Count of EnergyRating],Table91517[MainSpaceHeatingFuel],AL32,Table91517[EnergyRating (group)],AM32,Table91517[CountyName (group)],BE$4)</f>
        <v>12</v>
      </c>
      <c r="BF32" s="1164">
        <f>SUMIFS(Table91517[Count of EnergyRating],Table91517[MainSpaceHeatingFuel],AL32,Table91517[EnergyRating (group)],AM32,Table91517[CountyName (group)],BF$4)</f>
        <v>15</v>
      </c>
      <c r="BG32" s="1164">
        <f>SUMIFS(Table91517[Count of EnergyRating],Table91517[MainSpaceHeatingFuel],AL32,Table91517[EnergyRating (group)],AM32,Table91517[CountyName (group)],BG$4)</f>
        <v>6</v>
      </c>
      <c r="BH32" s="1164">
        <f>SUMIFS(Table91517[Count of EnergyRating],Table91517[MainSpaceHeatingFuel],AL32,Table91517[EnergyRating (group)],AM32,Table91517[CountyName (group)],BH$4)</f>
        <v>4</v>
      </c>
      <c r="BI32" s="1164">
        <f>SUMIFS(Table91517[Count of EnergyRating],Table91517[MainSpaceHeatingFuel],AL32,Table91517[EnergyRating (group)],AM32,Table91517[CountyName (group)],BI$4)</f>
        <v>4</v>
      </c>
      <c r="BJ32" s="1164">
        <f>SUMIFS(Table91517[Count of EnergyRating],Table91517[MainSpaceHeatingFuel],AL32,Table91517[EnergyRating (group)],AM32,Table91517[CountyName (group)],BJ$4)</f>
        <v>4</v>
      </c>
      <c r="BK32" s="1135">
        <f>SUMIFS(Table91517[Count of EnergyRating],Table91517[MainSpaceHeatingFuel],AL32,Table91517[EnergyRating (group)],AM32,Table91517[CountyName (group)],BK$4)</f>
        <v>1</v>
      </c>
      <c r="BL32" s="1164">
        <f>SUMIFS(Table91517[Count of EnergyRating],Table91517[MainSpaceHeatingFuel],AL32,Table91517[EnergyRating (group)],AM32,Table91517[CountyName (group)],BL$4)</f>
        <v>26</v>
      </c>
      <c r="BM32" s="1164">
        <f>SUMIFS(Table91517[Count of EnergyRating],Table91517[MainSpaceHeatingFuel],AL32,Table91517[EnergyRating (group)],AM32,Table91517[CountyName (group)],BM$4)</f>
        <v>4</v>
      </c>
    </row>
    <row r="33" spans="2:65" ht="15">
      <c r="B33" s="1137"/>
      <c r="C33" s="1137" t="s">
        <v>1213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G33" s="1164"/>
      <c r="AL33" s="1144" t="s">
        <v>1131</v>
      </c>
      <c r="AM33" s="1144" t="s">
        <v>64</v>
      </c>
      <c r="AN33" s="1135">
        <f>SUMIFS(Table91517[Count of EnergyRating],Table91517[MainSpaceHeatingFuel],AL33,Table91517[EnergyRating (group)],AM33,Table91517[CountyName (group)],AN$4)</f>
        <v>18</v>
      </c>
      <c r="AO33" s="1164">
        <f>SUMIFS(Table91517[Count of EnergyRating],Table91517[MainSpaceHeatingFuel],AL33,Table91517[EnergyRating (group)],AM33,Table91517[CountyName (group)],AO$4)</f>
        <v>96</v>
      </c>
      <c r="AP33" s="1164">
        <f>SUMIFS(Table91517[Count of EnergyRating],Table91517[MainSpaceHeatingFuel],AL33,Table91517[EnergyRating (group)],AM33,Table91517[CountyName (group)],AP$4)</f>
        <v>34</v>
      </c>
      <c r="AQ33" s="1164">
        <f>SUMIFS(Table91517[Count of EnergyRating],Table91517[MainSpaceHeatingFuel],AL33,Table91517[EnergyRating (group)],AM33,Table91517[CountyName (group)],AQ$4)</f>
        <v>29</v>
      </c>
      <c r="AR33" s="1164">
        <f>SUMIFS(Table91517[Count of EnergyRating],Table91517[MainSpaceHeatingFuel],AL33,Table91517[EnergyRating (group)],AM33,Table91517[CountyName (group)],AR$4)</f>
        <v>13</v>
      </c>
      <c r="AS33" s="1164">
        <f>SUMIFS(Table91517[Count of EnergyRating],Table91517[MainSpaceHeatingFuel],AL33,Table91517[EnergyRating (group)],AM33,Table91517[CountyName (group)],AS$4)</f>
        <v>3</v>
      </c>
      <c r="AT33" s="1164">
        <f>SUMIFS(Table91517[Count of EnergyRating],Table91517[MainSpaceHeatingFuel],AL33,Table91517[EnergyRating (group)],AM33,Table91517[CountyName (group)],AT$4)</f>
        <v>37</v>
      </c>
      <c r="AU33" s="1164">
        <f>SUMIFS(Table91517[Count of EnergyRating],Table91517[MainSpaceHeatingFuel],AL33,Table91517[EnergyRating (group)],AM33,Table91517[CountyName (group)],AU$4)</f>
        <v>55</v>
      </c>
      <c r="AV33" s="1164">
        <f>SUMIFS(Table91517[Count of EnergyRating],Table91517[MainSpaceHeatingFuel],AL33,Table91517[EnergyRating (group)],AM33,Table91517[CountyName (group)],AV$4)</f>
        <v>5</v>
      </c>
      <c r="AW33" s="1164">
        <f>SUMIFS(Table91517[Count of EnergyRating],Table91517[MainSpaceHeatingFuel],AL33,Table91517[EnergyRating (group)],AM33,Table91517[CountyName (group)],AW$4)</f>
        <v>37</v>
      </c>
      <c r="AX33" s="1164">
        <f>SUMIFS(Table91517[Count of EnergyRating],Table91517[MainSpaceHeatingFuel],AL33,Table91517[EnergyRating (group)],AM33,Table91517[CountyName (group)],AX$4)</f>
        <v>41</v>
      </c>
      <c r="AY33" s="1164">
        <f>SUMIFS(Table91517[Count of EnergyRating],Table91517[MainSpaceHeatingFuel],AL33,Table91517[EnergyRating (group)],AM33,Table91517[CountyName (group)],AY$4)</f>
        <v>37</v>
      </c>
      <c r="AZ33" s="1164">
        <f>SUMIFS(Table91517[Count of EnergyRating],Table91517[MainSpaceHeatingFuel],AL33,Table91517[EnergyRating (group)],AM33,Table91517[CountyName (group)],AZ$4)</f>
        <v>22</v>
      </c>
      <c r="BA33" s="1164">
        <f>SUMIFS(Table91517[Count of EnergyRating],Table91517[MainSpaceHeatingFuel],AL33,Table91517[EnergyRating (group)],AM33,Table91517[CountyName (group)],BA$4)</f>
        <v>89</v>
      </c>
      <c r="BB33" s="1164">
        <f>SUMIFS(Table91517[Count of EnergyRating],Table91517[MainSpaceHeatingFuel],AL33,Table91517[EnergyRating (group)],AM33,Table91517[CountyName (group)],BB$4)</f>
        <v>38</v>
      </c>
      <c r="BC33" s="1164">
        <f>SUMIFS(Table91517[Count of EnergyRating],Table91517[MainSpaceHeatingFuel],AL33,Table91517[EnergyRating (group)],AM33,Table91517[CountyName (group)],BC$4)</f>
        <v>62</v>
      </c>
      <c r="BD33" s="1164">
        <f>SUMIFS(Table91517[Count of EnergyRating],Table91517[MainSpaceHeatingFuel],AL33,Table91517[EnergyRating (group)],AM33,Table91517[CountyName (group)],BD$4)</f>
        <v>40</v>
      </c>
      <c r="BE33" s="1164">
        <f>SUMIFS(Table91517[Count of EnergyRating],Table91517[MainSpaceHeatingFuel],AL33,Table91517[EnergyRating (group)],AM33,Table91517[CountyName (group)],BE$4)</f>
        <v>37</v>
      </c>
      <c r="BF33" s="1164">
        <f>SUMIFS(Table91517[Count of EnergyRating],Table91517[MainSpaceHeatingFuel],AL33,Table91517[EnergyRating (group)],AM33,Table91517[CountyName (group)],BF$4)</f>
        <v>37</v>
      </c>
      <c r="BG33" s="1164">
        <f>SUMIFS(Table91517[Count of EnergyRating],Table91517[MainSpaceHeatingFuel],AL33,Table91517[EnergyRating (group)],AM33,Table91517[CountyName (group)],BG$4)</f>
        <v>10</v>
      </c>
      <c r="BH33" s="1164">
        <f>SUMIFS(Table91517[Count of EnergyRating],Table91517[MainSpaceHeatingFuel],AL33,Table91517[EnergyRating (group)],AM33,Table91517[CountyName (group)],BH$4)</f>
        <v>22</v>
      </c>
      <c r="BI33" s="1164">
        <f>SUMIFS(Table91517[Count of EnergyRating],Table91517[MainSpaceHeatingFuel],AL33,Table91517[EnergyRating (group)],AM33,Table91517[CountyName (group)],BI$4)</f>
        <v>23</v>
      </c>
      <c r="BJ33" s="1164">
        <f>SUMIFS(Table91517[Count of EnergyRating],Table91517[MainSpaceHeatingFuel],AL33,Table91517[EnergyRating (group)],AM33,Table91517[CountyName (group)],BJ$4)</f>
        <v>15</v>
      </c>
      <c r="BK33" s="1135">
        <f>SUMIFS(Table91517[Count of EnergyRating],Table91517[MainSpaceHeatingFuel],AL33,Table91517[EnergyRating (group)],AM33,Table91517[CountyName (group)],BK$4)</f>
        <v>14</v>
      </c>
      <c r="BL33" s="1164">
        <f>SUMIFS(Table91517[Count of EnergyRating],Table91517[MainSpaceHeatingFuel],AL33,Table91517[EnergyRating (group)],AM33,Table91517[CountyName (group)],BL$4)</f>
        <v>24</v>
      </c>
      <c r="BM33" s="1164">
        <f>SUMIFS(Table91517[Count of EnergyRating],Table91517[MainSpaceHeatingFuel],AL33,Table91517[EnergyRating (group)],AM33,Table91517[CountyName (group)],BM$4)</f>
        <v>7</v>
      </c>
    </row>
    <row r="34" spans="2:65">
      <c r="B34" s="1134" t="s">
        <v>1259</v>
      </c>
      <c r="C34" s="1134" t="s">
        <v>1235</v>
      </c>
      <c r="D34" s="1134" t="s">
        <v>1094</v>
      </c>
      <c r="E34" s="1145">
        <f t="shared" ref="E34:AD34" si="73">IFERROR(G154*((SUM(AN$35:AN$38)/SUM(AN$35:AN$43))/(SUM(G$154)/SUM(G$154:G$159))),G154)</f>
        <v>0</v>
      </c>
      <c r="F34" s="1145">
        <f t="shared" si="73"/>
        <v>0</v>
      </c>
      <c r="G34" s="1145">
        <f t="shared" si="73"/>
        <v>0</v>
      </c>
      <c r="H34" s="1145">
        <f t="shared" si="73"/>
        <v>0</v>
      </c>
      <c r="I34" s="1145">
        <f t="shared" si="73"/>
        <v>0</v>
      </c>
      <c r="J34" s="1145">
        <f t="shared" si="73"/>
        <v>0</v>
      </c>
      <c r="K34" s="1145">
        <f t="shared" si="73"/>
        <v>0</v>
      </c>
      <c r="L34" s="1145">
        <f t="shared" si="73"/>
        <v>0</v>
      </c>
      <c r="M34" s="1145">
        <f t="shared" si="73"/>
        <v>0</v>
      </c>
      <c r="N34" s="1145">
        <f t="shared" si="73"/>
        <v>0</v>
      </c>
      <c r="O34" s="1145">
        <f t="shared" si="73"/>
        <v>0</v>
      </c>
      <c r="P34" s="1145">
        <f t="shared" si="73"/>
        <v>0</v>
      </c>
      <c r="Q34" s="1145">
        <f t="shared" si="73"/>
        <v>0</v>
      </c>
      <c r="R34" s="1145">
        <f t="shared" si="73"/>
        <v>0</v>
      </c>
      <c r="S34" s="1145">
        <f t="shared" si="73"/>
        <v>0</v>
      </c>
      <c r="T34" s="1145">
        <f t="shared" si="73"/>
        <v>0</v>
      </c>
      <c r="U34" s="1145">
        <f t="shared" si="73"/>
        <v>0</v>
      </c>
      <c r="V34" s="1145">
        <f t="shared" si="73"/>
        <v>0</v>
      </c>
      <c r="W34" s="1145">
        <f t="shared" si="73"/>
        <v>0</v>
      </c>
      <c r="X34" s="1145">
        <f t="shared" si="73"/>
        <v>0</v>
      </c>
      <c r="Y34" s="1145">
        <f t="shared" si="73"/>
        <v>0</v>
      </c>
      <c r="Z34" s="1145">
        <f t="shared" si="73"/>
        <v>0</v>
      </c>
      <c r="AA34" s="1145">
        <f t="shared" si="73"/>
        <v>0</v>
      </c>
      <c r="AB34" s="1145">
        <f t="shared" si="73"/>
        <v>0</v>
      </c>
      <c r="AC34" s="1145">
        <f t="shared" si="73"/>
        <v>0</v>
      </c>
      <c r="AD34" s="1145">
        <f t="shared" si="73"/>
        <v>0</v>
      </c>
      <c r="AE34" s="1172">
        <f t="shared" si="4"/>
        <v>0</v>
      </c>
      <c r="AG34" s="1164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</row>
    <row r="35" spans="2:65" ht="15">
      <c r="B35" s="1136" t="s">
        <v>56</v>
      </c>
      <c r="C35" s="1136" t="s">
        <v>1235</v>
      </c>
      <c r="D35" s="1136" t="s">
        <v>1094</v>
      </c>
      <c r="E35" s="1146">
        <f t="shared" ref="E35:AD35" si="74">IFERROR(G155*((SUM(AN$39)/SUM(AN$35:AN$43))/(SUM(G$155)/SUM(G$154:G$159))),G155)</f>
        <v>0</v>
      </c>
      <c r="F35" s="1146">
        <f t="shared" si="74"/>
        <v>0</v>
      </c>
      <c r="G35" s="1146">
        <f t="shared" si="74"/>
        <v>0</v>
      </c>
      <c r="H35" s="1146">
        <f t="shared" si="74"/>
        <v>0</v>
      </c>
      <c r="I35" s="1146">
        <f t="shared" si="74"/>
        <v>0</v>
      </c>
      <c r="J35" s="1146">
        <f t="shared" si="74"/>
        <v>0</v>
      </c>
      <c r="K35" s="1146">
        <f t="shared" si="74"/>
        <v>0</v>
      </c>
      <c r="L35" s="1146">
        <f t="shared" si="74"/>
        <v>0</v>
      </c>
      <c r="M35" s="1146">
        <f t="shared" si="74"/>
        <v>0</v>
      </c>
      <c r="N35" s="1146">
        <f t="shared" si="74"/>
        <v>0</v>
      </c>
      <c r="O35" s="1146">
        <f t="shared" si="74"/>
        <v>0</v>
      </c>
      <c r="P35" s="1146">
        <f t="shared" si="74"/>
        <v>0</v>
      </c>
      <c r="Q35" s="1146">
        <f t="shared" si="74"/>
        <v>0</v>
      </c>
      <c r="R35" s="1146">
        <f t="shared" si="74"/>
        <v>0</v>
      </c>
      <c r="S35" s="1146">
        <f t="shared" si="74"/>
        <v>0</v>
      </c>
      <c r="T35" s="1146">
        <f t="shared" si="74"/>
        <v>0</v>
      </c>
      <c r="U35" s="1146">
        <f t="shared" si="74"/>
        <v>0</v>
      </c>
      <c r="V35" s="1146">
        <f t="shared" si="74"/>
        <v>0</v>
      </c>
      <c r="W35" s="1146">
        <f t="shared" si="74"/>
        <v>0</v>
      </c>
      <c r="X35" s="1146">
        <f t="shared" si="74"/>
        <v>0</v>
      </c>
      <c r="Y35" s="1146">
        <f t="shared" si="74"/>
        <v>0</v>
      </c>
      <c r="Z35" s="1146">
        <f t="shared" si="74"/>
        <v>0</v>
      </c>
      <c r="AA35" s="1146">
        <f t="shared" si="74"/>
        <v>0</v>
      </c>
      <c r="AB35" s="1146">
        <f t="shared" si="74"/>
        <v>0</v>
      </c>
      <c r="AC35" s="1146">
        <f t="shared" si="74"/>
        <v>0</v>
      </c>
      <c r="AD35" s="1146">
        <f t="shared" si="74"/>
        <v>0</v>
      </c>
      <c r="AE35" s="1173">
        <f t="shared" si="4"/>
        <v>0</v>
      </c>
      <c r="AG35" s="1164"/>
      <c r="AH35" s="1137" t="s">
        <v>1157</v>
      </c>
      <c r="AI35" s="1137" t="s">
        <v>1160</v>
      </c>
      <c r="AJ35" s="1159" t="s">
        <v>1159</v>
      </c>
      <c r="AL35" s="1144" t="s">
        <v>398</v>
      </c>
      <c r="AM35" s="1144" t="s">
        <v>48</v>
      </c>
      <c r="AN35" s="1135">
        <f>SUMIFS(Table91517[Count of EnergyRating],Table91517[MainSpaceHeatingFuel],AL35,Table91517[EnergyRating (group)],AM35,Table91517[CountyName (group)],AN$4)</f>
        <v>0</v>
      </c>
      <c r="AO35" s="1164">
        <f>SUMIFS(Table91517[Count of EnergyRating],Table91517[MainSpaceHeatingFuel],AL35,Table91517[EnergyRating (group)],AM35,Table91517[CountyName (group)],AO$4)</f>
        <v>0</v>
      </c>
      <c r="AP35" s="1164">
        <f>SUMIFS(Table91517[Count of EnergyRating],Table91517[MainSpaceHeatingFuel],AL35,Table91517[EnergyRating (group)],AM35,Table91517[CountyName (group)],AP$4)</f>
        <v>0</v>
      </c>
      <c r="AQ35" s="1164">
        <f>SUMIFS(Table91517[Count of EnergyRating],Table91517[MainSpaceHeatingFuel],AL35,Table91517[EnergyRating (group)],AM35,Table91517[CountyName (group)],AQ$4)</f>
        <v>0</v>
      </c>
      <c r="AR35" s="1164">
        <f>SUMIFS(Table91517[Count of EnergyRating],Table91517[MainSpaceHeatingFuel],AL35,Table91517[EnergyRating (group)],AM35,Table91517[CountyName (group)],AR$4)</f>
        <v>0</v>
      </c>
      <c r="AS35" s="1164">
        <f>SUMIFS(Table91517[Count of EnergyRating],Table91517[MainSpaceHeatingFuel],AL35,Table91517[EnergyRating (group)],AM35,Table91517[CountyName (group)],AS$4)</f>
        <v>0</v>
      </c>
      <c r="AT35" s="1164">
        <f>SUMIFS(Table91517[Count of EnergyRating],Table91517[MainSpaceHeatingFuel],AL35,Table91517[EnergyRating (group)],AM35,Table91517[CountyName (group)],AT$4)</f>
        <v>0</v>
      </c>
      <c r="AU35" s="1164">
        <f>SUMIFS(Table91517[Count of EnergyRating],Table91517[MainSpaceHeatingFuel],AL35,Table91517[EnergyRating (group)],AM35,Table91517[CountyName (group)],AU$4)</f>
        <v>0</v>
      </c>
      <c r="AV35" s="1164">
        <f>SUMIFS(Table91517[Count of EnergyRating],Table91517[MainSpaceHeatingFuel],AL35,Table91517[EnergyRating (group)],AM35,Table91517[CountyName (group)],AV$4)</f>
        <v>0</v>
      </c>
      <c r="AW35" s="1164">
        <f>SUMIFS(Table91517[Count of EnergyRating],Table91517[MainSpaceHeatingFuel],AL35,Table91517[EnergyRating (group)],AM35,Table91517[CountyName (group)],AW$4)</f>
        <v>0</v>
      </c>
      <c r="AX35" s="1164">
        <f>SUMIFS(Table91517[Count of EnergyRating],Table91517[MainSpaceHeatingFuel],AL35,Table91517[EnergyRating (group)],AM35,Table91517[CountyName (group)],AX$4)</f>
        <v>0</v>
      </c>
      <c r="AY35" s="1164">
        <f>SUMIFS(Table91517[Count of EnergyRating],Table91517[MainSpaceHeatingFuel],AL35,Table91517[EnergyRating (group)],AM35,Table91517[CountyName (group)],AY$4)</f>
        <v>0</v>
      </c>
      <c r="AZ35" s="1164">
        <f>SUMIFS(Table91517[Count of EnergyRating],Table91517[MainSpaceHeatingFuel],AL35,Table91517[EnergyRating (group)],AM35,Table91517[CountyName (group)],AZ$4)</f>
        <v>0</v>
      </c>
      <c r="BA35" s="1164">
        <f>SUMIFS(Table91517[Count of EnergyRating],Table91517[MainSpaceHeatingFuel],AL35,Table91517[EnergyRating (group)],AM35,Table91517[CountyName (group)],BA$4)</f>
        <v>0</v>
      </c>
      <c r="BB35" s="1164">
        <f>SUMIFS(Table91517[Count of EnergyRating],Table91517[MainSpaceHeatingFuel],AL35,Table91517[EnergyRating (group)],AM35,Table91517[CountyName (group)],BB$4)</f>
        <v>0</v>
      </c>
      <c r="BC35" s="1164">
        <f>SUMIFS(Table91517[Count of EnergyRating],Table91517[MainSpaceHeatingFuel],AL35,Table91517[EnergyRating (group)],AM35,Table91517[CountyName (group)],BC$4)</f>
        <v>0</v>
      </c>
      <c r="BD35" s="1164">
        <f>SUMIFS(Table91517[Count of EnergyRating],Table91517[MainSpaceHeatingFuel],AL35,Table91517[EnergyRating (group)],AM35,Table91517[CountyName (group)],BD$4)</f>
        <v>0</v>
      </c>
      <c r="BE35" s="1164">
        <f>SUMIFS(Table91517[Count of EnergyRating],Table91517[MainSpaceHeatingFuel],AL35,Table91517[EnergyRating (group)],AM35,Table91517[CountyName (group)],BE$4)</f>
        <v>0</v>
      </c>
      <c r="BF35" s="1164">
        <f>SUMIFS(Table91517[Count of EnergyRating],Table91517[MainSpaceHeatingFuel],AL35,Table91517[EnergyRating (group)],AM35,Table91517[CountyName (group)],BF$4)</f>
        <v>0</v>
      </c>
      <c r="BG35" s="1164">
        <f>SUMIFS(Table91517[Count of EnergyRating],Table91517[MainSpaceHeatingFuel],AL35,Table91517[EnergyRating (group)],AM35,Table91517[CountyName (group)],BG$4)</f>
        <v>0</v>
      </c>
      <c r="BH35" s="1164">
        <f>SUMIFS(Table91517[Count of EnergyRating],Table91517[MainSpaceHeatingFuel],AL35,Table91517[EnergyRating (group)],AM35,Table91517[CountyName (group)],BH$4)</f>
        <v>0</v>
      </c>
      <c r="BI35" s="1164">
        <f>SUMIFS(Table91517[Count of EnergyRating],Table91517[MainSpaceHeatingFuel],AL35,Table91517[EnergyRating (group)],AM35,Table91517[CountyName (group)],BI$4)</f>
        <v>0</v>
      </c>
      <c r="BJ35" s="1164">
        <f>SUMIFS(Table91517[Count of EnergyRating],Table91517[MainSpaceHeatingFuel],AL35,Table91517[EnergyRating (group)],AM35,Table91517[CountyName (group)],BJ$4)</f>
        <v>0</v>
      </c>
      <c r="BK35" s="1135">
        <f>SUMIFS(Table91517[Count of EnergyRating],Table91517[MainSpaceHeatingFuel],AL35,Table91517[EnergyRating (group)],AM35,Table91517[CountyName (group)],BK$4)</f>
        <v>0</v>
      </c>
      <c r="BL35" s="1164">
        <f>SUMIFS(Table91517[Count of EnergyRating],Table91517[MainSpaceHeatingFuel],AL35,Table91517[EnergyRating (group)],AM35,Table91517[CountyName (group)],BL$4)</f>
        <v>0</v>
      </c>
      <c r="BM35" s="1164">
        <f>SUMIFS(Table91517[Count of EnergyRating],Table91517[MainSpaceHeatingFuel],AL35,Table91517[EnergyRating (group)],AM35,Table91517[CountyName (group)],BM$4)</f>
        <v>0</v>
      </c>
    </row>
    <row r="36" spans="2:65" ht="15">
      <c r="B36" s="1134" t="s">
        <v>58</v>
      </c>
      <c r="C36" s="1134" t="s">
        <v>1235</v>
      </c>
      <c r="D36" s="1134" t="s">
        <v>1094</v>
      </c>
      <c r="E36" s="1145">
        <f t="shared" ref="E36:AD36" si="75">IFERROR(G156*((SUM(AN$40)/SUM(AN$35:AN$43))/(SUM(G$156)/SUM(G$154:G$159))),G156)</f>
        <v>0</v>
      </c>
      <c r="F36" s="1145">
        <f t="shared" si="75"/>
        <v>0</v>
      </c>
      <c r="G36" s="1145">
        <f t="shared" si="75"/>
        <v>0</v>
      </c>
      <c r="H36" s="1145">
        <f t="shared" si="75"/>
        <v>0</v>
      </c>
      <c r="I36" s="1145">
        <f t="shared" si="75"/>
        <v>0</v>
      </c>
      <c r="J36" s="1145">
        <f t="shared" si="75"/>
        <v>0</v>
      </c>
      <c r="K36" s="1145">
        <f t="shared" si="75"/>
        <v>0</v>
      </c>
      <c r="L36" s="1145">
        <f t="shared" si="75"/>
        <v>0</v>
      </c>
      <c r="M36" s="1145">
        <f t="shared" si="75"/>
        <v>0</v>
      </c>
      <c r="N36" s="1145">
        <f t="shared" si="75"/>
        <v>0</v>
      </c>
      <c r="O36" s="1145">
        <f t="shared" si="75"/>
        <v>0</v>
      </c>
      <c r="P36" s="1145">
        <f t="shared" si="75"/>
        <v>0</v>
      </c>
      <c r="Q36" s="1145">
        <f t="shared" si="75"/>
        <v>0</v>
      </c>
      <c r="R36" s="1145">
        <f t="shared" si="75"/>
        <v>0</v>
      </c>
      <c r="S36" s="1145">
        <f t="shared" si="75"/>
        <v>0</v>
      </c>
      <c r="T36" s="1145">
        <f t="shared" si="75"/>
        <v>0</v>
      </c>
      <c r="U36" s="1145">
        <f t="shared" si="75"/>
        <v>0</v>
      </c>
      <c r="V36" s="1145">
        <f t="shared" si="75"/>
        <v>0</v>
      </c>
      <c r="W36" s="1145">
        <f t="shared" si="75"/>
        <v>0</v>
      </c>
      <c r="X36" s="1145">
        <f t="shared" si="75"/>
        <v>0</v>
      </c>
      <c r="Y36" s="1145">
        <f t="shared" si="75"/>
        <v>0</v>
      </c>
      <c r="Z36" s="1145">
        <f t="shared" si="75"/>
        <v>0</v>
      </c>
      <c r="AA36" s="1145">
        <f t="shared" si="75"/>
        <v>0</v>
      </c>
      <c r="AB36" s="1145">
        <f t="shared" si="75"/>
        <v>0</v>
      </c>
      <c r="AC36" s="1145">
        <f t="shared" si="75"/>
        <v>0</v>
      </c>
      <c r="AD36" s="1145">
        <f t="shared" si="75"/>
        <v>0</v>
      </c>
      <c r="AE36" s="1172">
        <f t="shared" si="4"/>
        <v>0</v>
      </c>
      <c r="AG36" s="58" t="s">
        <v>1163</v>
      </c>
      <c r="AH36" s="1158">
        <f>SUM(E34:AD39)</f>
        <v>0</v>
      </c>
      <c r="AI36" s="1140">
        <f>'SHWLP-Det'!S8</f>
        <v>0</v>
      </c>
      <c r="AJ36" s="1160" t="e">
        <f>(AI36-AH36)/AI36</f>
        <v>#DIV/0!</v>
      </c>
      <c r="AL36" s="1144" t="s">
        <v>398</v>
      </c>
      <c r="AM36" s="1144" t="s">
        <v>50</v>
      </c>
      <c r="AN36" s="1135">
        <f>SUMIFS(Table91517[Count of EnergyRating],Table91517[MainSpaceHeatingFuel],AL36,Table91517[EnergyRating (group)],AM36,Table91517[CountyName (group)],AN$4)</f>
        <v>0</v>
      </c>
      <c r="AO36" s="1164">
        <f>SUMIFS(Table91517[Count of EnergyRating],Table91517[MainSpaceHeatingFuel],AL36,Table91517[EnergyRating (group)],AM36,Table91517[CountyName (group)],AO$4)</f>
        <v>0</v>
      </c>
      <c r="AP36" s="1164">
        <f>SUMIFS(Table91517[Count of EnergyRating],Table91517[MainSpaceHeatingFuel],AL36,Table91517[EnergyRating (group)],AM36,Table91517[CountyName (group)],AP$4)</f>
        <v>0</v>
      </c>
      <c r="AQ36" s="1164">
        <f>SUMIFS(Table91517[Count of EnergyRating],Table91517[MainSpaceHeatingFuel],AL36,Table91517[EnergyRating (group)],AM36,Table91517[CountyName (group)],AQ$4)</f>
        <v>0</v>
      </c>
      <c r="AR36" s="1164">
        <f>SUMIFS(Table91517[Count of EnergyRating],Table91517[MainSpaceHeatingFuel],AL36,Table91517[EnergyRating (group)],AM36,Table91517[CountyName (group)],AR$4)</f>
        <v>0</v>
      </c>
      <c r="AS36" s="1164">
        <f>SUMIFS(Table91517[Count of EnergyRating],Table91517[MainSpaceHeatingFuel],AL36,Table91517[EnergyRating (group)],AM36,Table91517[CountyName (group)],AS$4)</f>
        <v>0</v>
      </c>
      <c r="AT36" s="1164">
        <f>SUMIFS(Table91517[Count of EnergyRating],Table91517[MainSpaceHeatingFuel],AL36,Table91517[EnergyRating (group)],AM36,Table91517[CountyName (group)],AT$4)</f>
        <v>0</v>
      </c>
      <c r="AU36" s="1164">
        <f>SUMIFS(Table91517[Count of EnergyRating],Table91517[MainSpaceHeatingFuel],AL36,Table91517[EnergyRating (group)],AM36,Table91517[CountyName (group)],AU$4)</f>
        <v>0</v>
      </c>
      <c r="AV36" s="1164">
        <f>SUMIFS(Table91517[Count of EnergyRating],Table91517[MainSpaceHeatingFuel],AL36,Table91517[EnergyRating (group)],AM36,Table91517[CountyName (group)],AV$4)</f>
        <v>0</v>
      </c>
      <c r="AW36" s="1164">
        <f>SUMIFS(Table91517[Count of EnergyRating],Table91517[MainSpaceHeatingFuel],AL36,Table91517[EnergyRating (group)],AM36,Table91517[CountyName (group)],AW$4)</f>
        <v>0</v>
      </c>
      <c r="AX36" s="1164">
        <f>SUMIFS(Table91517[Count of EnergyRating],Table91517[MainSpaceHeatingFuel],AL36,Table91517[EnergyRating (group)],AM36,Table91517[CountyName (group)],AX$4)</f>
        <v>0</v>
      </c>
      <c r="AY36" s="1164">
        <f>SUMIFS(Table91517[Count of EnergyRating],Table91517[MainSpaceHeatingFuel],AL36,Table91517[EnergyRating (group)],AM36,Table91517[CountyName (group)],AY$4)</f>
        <v>0</v>
      </c>
      <c r="AZ36" s="1164">
        <f>SUMIFS(Table91517[Count of EnergyRating],Table91517[MainSpaceHeatingFuel],AL36,Table91517[EnergyRating (group)],AM36,Table91517[CountyName (group)],AZ$4)</f>
        <v>0</v>
      </c>
      <c r="BA36" s="1164">
        <f>SUMIFS(Table91517[Count of EnergyRating],Table91517[MainSpaceHeatingFuel],AL36,Table91517[EnergyRating (group)],AM36,Table91517[CountyName (group)],BA$4)</f>
        <v>0</v>
      </c>
      <c r="BB36" s="1164">
        <f>SUMIFS(Table91517[Count of EnergyRating],Table91517[MainSpaceHeatingFuel],AL36,Table91517[EnergyRating (group)],AM36,Table91517[CountyName (group)],BB$4)</f>
        <v>0</v>
      </c>
      <c r="BC36" s="1164">
        <f>SUMIFS(Table91517[Count of EnergyRating],Table91517[MainSpaceHeatingFuel],AL36,Table91517[EnergyRating (group)],AM36,Table91517[CountyName (group)],BC$4)</f>
        <v>0</v>
      </c>
      <c r="BD36" s="1164">
        <f>SUMIFS(Table91517[Count of EnergyRating],Table91517[MainSpaceHeatingFuel],AL36,Table91517[EnergyRating (group)],AM36,Table91517[CountyName (group)],BD$4)</f>
        <v>0</v>
      </c>
      <c r="BE36" s="1164">
        <f>SUMIFS(Table91517[Count of EnergyRating],Table91517[MainSpaceHeatingFuel],AL36,Table91517[EnergyRating (group)],AM36,Table91517[CountyName (group)],BE$4)</f>
        <v>0</v>
      </c>
      <c r="BF36" s="1164">
        <f>SUMIFS(Table91517[Count of EnergyRating],Table91517[MainSpaceHeatingFuel],AL36,Table91517[EnergyRating (group)],AM36,Table91517[CountyName (group)],BF$4)</f>
        <v>0</v>
      </c>
      <c r="BG36" s="1164">
        <f>SUMIFS(Table91517[Count of EnergyRating],Table91517[MainSpaceHeatingFuel],AL36,Table91517[EnergyRating (group)],AM36,Table91517[CountyName (group)],BG$4)</f>
        <v>0</v>
      </c>
      <c r="BH36" s="1164">
        <f>SUMIFS(Table91517[Count of EnergyRating],Table91517[MainSpaceHeatingFuel],AL36,Table91517[EnergyRating (group)],AM36,Table91517[CountyName (group)],BH$4)</f>
        <v>0</v>
      </c>
      <c r="BI36" s="1164">
        <f>SUMIFS(Table91517[Count of EnergyRating],Table91517[MainSpaceHeatingFuel],AL36,Table91517[EnergyRating (group)],AM36,Table91517[CountyName (group)],BI$4)</f>
        <v>0</v>
      </c>
      <c r="BJ36" s="1164">
        <f>SUMIFS(Table91517[Count of EnergyRating],Table91517[MainSpaceHeatingFuel],AL36,Table91517[EnergyRating (group)],AM36,Table91517[CountyName (group)],BJ$4)</f>
        <v>0</v>
      </c>
      <c r="BK36" s="1135">
        <f>SUMIFS(Table91517[Count of EnergyRating],Table91517[MainSpaceHeatingFuel],AL36,Table91517[EnergyRating (group)],AM36,Table91517[CountyName (group)],BK$4)</f>
        <v>0</v>
      </c>
      <c r="BL36" s="1164">
        <f>SUMIFS(Table91517[Count of EnergyRating],Table91517[MainSpaceHeatingFuel],AL36,Table91517[EnergyRating (group)],AM36,Table91517[CountyName (group)],BL$4)</f>
        <v>0</v>
      </c>
      <c r="BM36" s="1164">
        <f>SUMIFS(Table91517[Count of EnergyRating],Table91517[MainSpaceHeatingFuel],AL36,Table91517[EnergyRating (group)],AM36,Table91517[CountyName (group)],BM$4)</f>
        <v>0</v>
      </c>
    </row>
    <row r="37" spans="2:65" ht="15">
      <c r="B37" s="1136" t="s">
        <v>60</v>
      </c>
      <c r="C37" s="1136" t="s">
        <v>1235</v>
      </c>
      <c r="D37" s="1136" t="s">
        <v>1094</v>
      </c>
      <c r="E37" s="1146">
        <f t="shared" ref="E37:AD37" si="76">IFERROR(G157*((SUM(AN$41)/SUM(AN$35:AN$43))/(SUM(G$157)/SUM(G$154:G$159))),G157)</f>
        <v>0</v>
      </c>
      <c r="F37" s="1146">
        <f t="shared" si="76"/>
        <v>0</v>
      </c>
      <c r="G37" s="1146">
        <f t="shared" si="76"/>
        <v>0</v>
      </c>
      <c r="H37" s="1146">
        <f t="shared" si="76"/>
        <v>0</v>
      </c>
      <c r="I37" s="1146">
        <f t="shared" si="76"/>
        <v>0</v>
      </c>
      <c r="J37" s="1146">
        <f t="shared" si="76"/>
        <v>0</v>
      </c>
      <c r="K37" s="1146">
        <f t="shared" si="76"/>
        <v>0</v>
      </c>
      <c r="L37" s="1146">
        <f t="shared" si="76"/>
        <v>0</v>
      </c>
      <c r="M37" s="1146">
        <f t="shared" si="76"/>
        <v>0</v>
      </c>
      <c r="N37" s="1146">
        <f t="shared" si="76"/>
        <v>0</v>
      </c>
      <c r="O37" s="1146">
        <f t="shared" si="76"/>
        <v>0</v>
      </c>
      <c r="P37" s="1146">
        <f t="shared" si="76"/>
        <v>0</v>
      </c>
      <c r="Q37" s="1146">
        <f t="shared" si="76"/>
        <v>0</v>
      </c>
      <c r="R37" s="1146">
        <f t="shared" si="76"/>
        <v>0</v>
      </c>
      <c r="S37" s="1146">
        <f t="shared" si="76"/>
        <v>0</v>
      </c>
      <c r="T37" s="1146">
        <f t="shared" si="76"/>
        <v>0</v>
      </c>
      <c r="U37" s="1146">
        <f t="shared" si="76"/>
        <v>0</v>
      </c>
      <c r="V37" s="1146">
        <f t="shared" si="76"/>
        <v>0</v>
      </c>
      <c r="W37" s="1146">
        <f t="shared" si="76"/>
        <v>0</v>
      </c>
      <c r="X37" s="1146">
        <f t="shared" si="76"/>
        <v>0</v>
      </c>
      <c r="Y37" s="1146">
        <f t="shared" si="76"/>
        <v>0</v>
      </c>
      <c r="Z37" s="1146">
        <f t="shared" si="76"/>
        <v>0</v>
      </c>
      <c r="AA37" s="1146">
        <f t="shared" si="76"/>
        <v>0</v>
      </c>
      <c r="AB37" s="1146">
        <f t="shared" si="76"/>
        <v>0</v>
      </c>
      <c r="AC37" s="1146">
        <f t="shared" si="76"/>
        <v>0</v>
      </c>
      <c r="AD37" s="1146">
        <f t="shared" si="76"/>
        <v>0</v>
      </c>
      <c r="AE37" s="1173">
        <f t="shared" si="4"/>
        <v>0</v>
      </c>
      <c r="AG37" s="58" t="s">
        <v>1107</v>
      </c>
      <c r="AH37" s="1158">
        <f>SUM(E41:AD41)</f>
        <v>5.5514291969740448E-3</v>
      </c>
      <c r="AI37" s="1140">
        <f>'SHWLP-Det'!S34</f>
        <v>5.5514291969740457E-3</v>
      </c>
      <c r="AJ37" s="1160">
        <f>(AI37-AH37)/AI37</f>
        <v>1.5624116010723547E-16</v>
      </c>
      <c r="AL37" s="1144" t="s">
        <v>398</v>
      </c>
      <c r="AM37" s="1144" t="s">
        <v>52</v>
      </c>
      <c r="AN37" s="1135">
        <f>SUMIFS(Table91517[Count of EnergyRating],Table91517[MainSpaceHeatingFuel],AL37,Table91517[EnergyRating (group)],AM37,Table91517[CountyName (group)],AN$4)</f>
        <v>0</v>
      </c>
      <c r="AO37" s="1164">
        <f>SUMIFS(Table91517[Count of EnergyRating],Table91517[MainSpaceHeatingFuel],AL37,Table91517[EnergyRating (group)],AM37,Table91517[CountyName (group)],AO$4)</f>
        <v>0</v>
      </c>
      <c r="AP37" s="1164">
        <f>SUMIFS(Table91517[Count of EnergyRating],Table91517[MainSpaceHeatingFuel],AL37,Table91517[EnergyRating (group)],AM37,Table91517[CountyName (group)],AP$4)</f>
        <v>0</v>
      </c>
      <c r="AQ37" s="1164">
        <f>SUMIFS(Table91517[Count of EnergyRating],Table91517[MainSpaceHeatingFuel],AL37,Table91517[EnergyRating (group)],AM37,Table91517[CountyName (group)],AQ$4)</f>
        <v>0</v>
      </c>
      <c r="AR37" s="1164">
        <f>SUMIFS(Table91517[Count of EnergyRating],Table91517[MainSpaceHeatingFuel],AL37,Table91517[EnergyRating (group)],AM37,Table91517[CountyName (group)],AR$4)</f>
        <v>0</v>
      </c>
      <c r="AS37" s="1164">
        <f>SUMIFS(Table91517[Count of EnergyRating],Table91517[MainSpaceHeatingFuel],AL37,Table91517[EnergyRating (group)],AM37,Table91517[CountyName (group)],AS$4)</f>
        <v>0</v>
      </c>
      <c r="AT37" s="1164">
        <f>SUMIFS(Table91517[Count of EnergyRating],Table91517[MainSpaceHeatingFuel],AL37,Table91517[EnergyRating (group)],AM37,Table91517[CountyName (group)],AT$4)</f>
        <v>0</v>
      </c>
      <c r="AU37" s="1164">
        <f>SUMIFS(Table91517[Count of EnergyRating],Table91517[MainSpaceHeatingFuel],AL37,Table91517[EnergyRating (group)],AM37,Table91517[CountyName (group)],AU$4)</f>
        <v>0</v>
      </c>
      <c r="AV37" s="1164">
        <f>SUMIFS(Table91517[Count of EnergyRating],Table91517[MainSpaceHeatingFuel],AL37,Table91517[EnergyRating (group)],AM37,Table91517[CountyName (group)],AV$4)</f>
        <v>0</v>
      </c>
      <c r="AW37" s="1164">
        <f>SUMIFS(Table91517[Count of EnergyRating],Table91517[MainSpaceHeatingFuel],AL37,Table91517[EnergyRating (group)],AM37,Table91517[CountyName (group)],AW$4)</f>
        <v>0</v>
      </c>
      <c r="AX37" s="1164">
        <f>SUMIFS(Table91517[Count of EnergyRating],Table91517[MainSpaceHeatingFuel],AL37,Table91517[EnergyRating (group)],AM37,Table91517[CountyName (group)],AX$4)</f>
        <v>0</v>
      </c>
      <c r="AY37" s="1164">
        <f>SUMIFS(Table91517[Count of EnergyRating],Table91517[MainSpaceHeatingFuel],AL37,Table91517[EnergyRating (group)],AM37,Table91517[CountyName (group)],AY$4)</f>
        <v>0</v>
      </c>
      <c r="AZ37" s="1164">
        <f>SUMIFS(Table91517[Count of EnergyRating],Table91517[MainSpaceHeatingFuel],AL37,Table91517[EnergyRating (group)],AM37,Table91517[CountyName (group)],AZ$4)</f>
        <v>0</v>
      </c>
      <c r="BA37" s="1164">
        <f>SUMIFS(Table91517[Count of EnergyRating],Table91517[MainSpaceHeatingFuel],AL37,Table91517[EnergyRating (group)],AM37,Table91517[CountyName (group)],BA$4)</f>
        <v>0</v>
      </c>
      <c r="BB37" s="1164">
        <f>SUMIFS(Table91517[Count of EnergyRating],Table91517[MainSpaceHeatingFuel],AL37,Table91517[EnergyRating (group)],AM37,Table91517[CountyName (group)],BB$4)</f>
        <v>0</v>
      </c>
      <c r="BC37" s="1164">
        <f>SUMIFS(Table91517[Count of EnergyRating],Table91517[MainSpaceHeatingFuel],AL37,Table91517[EnergyRating (group)],AM37,Table91517[CountyName (group)],BC$4)</f>
        <v>0</v>
      </c>
      <c r="BD37" s="1164">
        <f>SUMIFS(Table91517[Count of EnergyRating],Table91517[MainSpaceHeatingFuel],AL37,Table91517[EnergyRating (group)],AM37,Table91517[CountyName (group)],BD$4)</f>
        <v>0</v>
      </c>
      <c r="BE37" s="1164">
        <f>SUMIFS(Table91517[Count of EnergyRating],Table91517[MainSpaceHeatingFuel],AL37,Table91517[EnergyRating (group)],AM37,Table91517[CountyName (group)],BE$4)</f>
        <v>0</v>
      </c>
      <c r="BF37" s="1164">
        <f>SUMIFS(Table91517[Count of EnergyRating],Table91517[MainSpaceHeatingFuel],AL37,Table91517[EnergyRating (group)],AM37,Table91517[CountyName (group)],BF$4)</f>
        <v>0</v>
      </c>
      <c r="BG37" s="1164">
        <f>SUMIFS(Table91517[Count of EnergyRating],Table91517[MainSpaceHeatingFuel],AL37,Table91517[EnergyRating (group)],AM37,Table91517[CountyName (group)],BG$4)</f>
        <v>0</v>
      </c>
      <c r="BH37" s="1164">
        <f>SUMIFS(Table91517[Count of EnergyRating],Table91517[MainSpaceHeatingFuel],AL37,Table91517[EnergyRating (group)],AM37,Table91517[CountyName (group)],BH$4)</f>
        <v>0</v>
      </c>
      <c r="BI37" s="1164">
        <f>SUMIFS(Table91517[Count of EnergyRating],Table91517[MainSpaceHeatingFuel],AL37,Table91517[EnergyRating (group)],AM37,Table91517[CountyName (group)],BI$4)</f>
        <v>0</v>
      </c>
      <c r="BJ37" s="1164">
        <f>SUMIFS(Table91517[Count of EnergyRating],Table91517[MainSpaceHeatingFuel],AL37,Table91517[EnergyRating (group)],AM37,Table91517[CountyName (group)],BJ$4)</f>
        <v>0</v>
      </c>
      <c r="BK37" s="1135">
        <f>SUMIFS(Table91517[Count of EnergyRating],Table91517[MainSpaceHeatingFuel],AL37,Table91517[EnergyRating (group)],AM37,Table91517[CountyName (group)],BK$4)</f>
        <v>0</v>
      </c>
      <c r="BL37" s="1164">
        <f>SUMIFS(Table91517[Count of EnergyRating],Table91517[MainSpaceHeatingFuel],AL37,Table91517[EnergyRating (group)],AM37,Table91517[CountyName (group)],BL$4)</f>
        <v>0</v>
      </c>
      <c r="BM37" s="1164">
        <f>SUMIFS(Table91517[Count of EnergyRating],Table91517[MainSpaceHeatingFuel],AL37,Table91517[EnergyRating (group)],AM37,Table91517[CountyName (group)],BM$4)</f>
        <v>0</v>
      </c>
    </row>
    <row r="38" spans="2:65">
      <c r="B38" s="1134" t="s">
        <v>62</v>
      </c>
      <c r="C38" s="1134" t="s">
        <v>1235</v>
      </c>
      <c r="D38" s="1134" t="s">
        <v>1094</v>
      </c>
      <c r="E38" s="1145">
        <f t="shared" ref="E38:AD38" si="77">IFERROR(G158*((SUM(AN$42)/SUM(AN$35:AN$43))/(SUM(G$158)/SUM(G$154:G$159))),G158)</f>
        <v>0</v>
      </c>
      <c r="F38" s="1145">
        <f t="shared" si="77"/>
        <v>0</v>
      </c>
      <c r="G38" s="1145">
        <f t="shared" si="77"/>
        <v>0</v>
      </c>
      <c r="H38" s="1145">
        <f t="shared" si="77"/>
        <v>0</v>
      </c>
      <c r="I38" s="1145">
        <f t="shared" si="77"/>
        <v>0</v>
      </c>
      <c r="J38" s="1145">
        <f t="shared" si="77"/>
        <v>0</v>
      </c>
      <c r="K38" s="1145">
        <f t="shared" si="77"/>
        <v>0</v>
      </c>
      <c r="L38" s="1145">
        <f t="shared" si="77"/>
        <v>0</v>
      </c>
      <c r="M38" s="1145">
        <f t="shared" si="77"/>
        <v>0</v>
      </c>
      <c r="N38" s="1145">
        <f t="shared" si="77"/>
        <v>0</v>
      </c>
      <c r="O38" s="1145">
        <f t="shared" si="77"/>
        <v>0</v>
      </c>
      <c r="P38" s="1145">
        <f t="shared" si="77"/>
        <v>0</v>
      </c>
      <c r="Q38" s="1145">
        <f t="shared" si="77"/>
        <v>0</v>
      </c>
      <c r="R38" s="1145">
        <f t="shared" si="77"/>
        <v>0</v>
      </c>
      <c r="S38" s="1145">
        <f t="shared" si="77"/>
        <v>0</v>
      </c>
      <c r="T38" s="1145">
        <f t="shared" si="77"/>
        <v>0</v>
      </c>
      <c r="U38" s="1145">
        <f t="shared" si="77"/>
        <v>0</v>
      </c>
      <c r="V38" s="1145">
        <f t="shared" si="77"/>
        <v>0</v>
      </c>
      <c r="W38" s="1145">
        <f t="shared" si="77"/>
        <v>0</v>
      </c>
      <c r="X38" s="1145">
        <f t="shared" si="77"/>
        <v>0</v>
      </c>
      <c r="Y38" s="1145">
        <f t="shared" si="77"/>
        <v>0</v>
      </c>
      <c r="Z38" s="1145">
        <f t="shared" si="77"/>
        <v>0</v>
      </c>
      <c r="AA38" s="1145">
        <f t="shared" si="77"/>
        <v>0</v>
      </c>
      <c r="AB38" s="1145">
        <f t="shared" si="77"/>
        <v>0</v>
      </c>
      <c r="AC38" s="1145">
        <f t="shared" si="77"/>
        <v>0</v>
      </c>
      <c r="AD38" s="1145">
        <f t="shared" si="77"/>
        <v>0</v>
      </c>
      <c r="AE38" s="1172">
        <f t="shared" si="4"/>
        <v>0</v>
      </c>
      <c r="AG38" s="1164"/>
      <c r="AL38" s="1144" t="s">
        <v>398</v>
      </c>
      <c r="AM38" s="1144" t="s">
        <v>54</v>
      </c>
      <c r="AN38" s="1135">
        <f>SUMIFS(Table91517[Count of EnergyRating],Table91517[MainSpaceHeatingFuel],AL38,Table91517[EnergyRating (group)],AM38,Table91517[CountyName (group)],AN$4)</f>
        <v>0</v>
      </c>
      <c r="AO38" s="1164">
        <f>SUMIFS(Table91517[Count of EnergyRating],Table91517[MainSpaceHeatingFuel],AL38,Table91517[EnergyRating (group)],AM38,Table91517[CountyName (group)],AO$4)</f>
        <v>0</v>
      </c>
      <c r="AP38" s="1164">
        <f>SUMIFS(Table91517[Count of EnergyRating],Table91517[MainSpaceHeatingFuel],AL38,Table91517[EnergyRating (group)],AM38,Table91517[CountyName (group)],AP$4)</f>
        <v>0</v>
      </c>
      <c r="AQ38" s="1164">
        <f>SUMIFS(Table91517[Count of EnergyRating],Table91517[MainSpaceHeatingFuel],AL38,Table91517[EnergyRating (group)],AM38,Table91517[CountyName (group)],AQ$4)</f>
        <v>0</v>
      </c>
      <c r="AR38" s="1164">
        <f>SUMIFS(Table91517[Count of EnergyRating],Table91517[MainSpaceHeatingFuel],AL38,Table91517[EnergyRating (group)],AM38,Table91517[CountyName (group)],AR$4)</f>
        <v>0</v>
      </c>
      <c r="AS38" s="1164">
        <f>SUMIFS(Table91517[Count of EnergyRating],Table91517[MainSpaceHeatingFuel],AL38,Table91517[EnergyRating (group)],AM38,Table91517[CountyName (group)],AS$4)</f>
        <v>0</v>
      </c>
      <c r="AT38" s="1164">
        <f>SUMIFS(Table91517[Count of EnergyRating],Table91517[MainSpaceHeatingFuel],AL38,Table91517[EnergyRating (group)],AM38,Table91517[CountyName (group)],AT$4)</f>
        <v>0</v>
      </c>
      <c r="AU38" s="1164">
        <f>SUMIFS(Table91517[Count of EnergyRating],Table91517[MainSpaceHeatingFuel],AL38,Table91517[EnergyRating (group)],AM38,Table91517[CountyName (group)],AU$4)</f>
        <v>0</v>
      </c>
      <c r="AV38" s="1164">
        <f>SUMIFS(Table91517[Count of EnergyRating],Table91517[MainSpaceHeatingFuel],AL38,Table91517[EnergyRating (group)],AM38,Table91517[CountyName (group)],AV$4)</f>
        <v>0</v>
      </c>
      <c r="AW38" s="1164">
        <f>SUMIFS(Table91517[Count of EnergyRating],Table91517[MainSpaceHeatingFuel],AL38,Table91517[EnergyRating (group)],AM38,Table91517[CountyName (group)],AW$4)</f>
        <v>0</v>
      </c>
      <c r="AX38" s="1164">
        <f>SUMIFS(Table91517[Count of EnergyRating],Table91517[MainSpaceHeatingFuel],AL38,Table91517[EnergyRating (group)],AM38,Table91517[CountyName (group)],AX$4)</f>
        <v>0</v>
      </c>
      <c r="AY38" s="1164">
        <f>SUMIFS(Table91517[Count of EnergyRating],Table91517[MainSpaceHeatingFuel],AL38,Table91517[EnergyRating (group)],AM38,Table91517[CountyName (group)],AY$4)</f>
        <v>0</v>
      </c>
      <c r="AZ38" s="1164">
        <f>SUMIFS(Table91517[Count of EnergyRating],Table91517[MainSpaceHeatingFuel],AL38,Table91517[EnergyRating (group)],AM38,Table91517[CountyName (group)],AZ$4)</f>
        <v>0</v>
      </c>
      <c r="BA38" s="1164">
        <f>SUMIFS(Table91517[Count of EnergyRating],Table91517[MainSpaceHeatingFuel],AL38,Table91517[EnergyRating (group)],AM38,Table91517[CountyName (group)],BA$4)</f>
        <v>0</v>
      </c>
      <c r="BB38" s="1164">
        <f>SUMIFS(Table91517[Count of EnergyRating],Table91517[MainSpaceHeatingFuel],AL38,Table91517[EnergyRating (group)],AM38,Table91517[CountyName (group)],BB$4)</f>
        <v>0</v>
      </c>
      <c r="BC38" s="1164">
        <f>SUMIFS(Table91517[Count of EnergyRating],Table91517[MainSpaceHeatingFuel],AL38,Table91517[EnergyRating (group)],AM38,Table91517[CountyName (group)],BC$4)</f>
        <v>0</v>
      </c>
      <c r="BD38" s="1164">
        <f>SUMIFS(Table91517[Count of EnergyRating],Table91517[MainSpaceHeatingFuel],AL38,Table91517[EnergyRating (group)],AM38,Table91517[CountyName (group)],BD$4)</f>
        <v>0</v>
      </c>
      <c r="BE38" s="1164">
        <f>SUMIFS(Table91517[Count of EnergyRating],Table91517[MainSpaceHeatingFuel],AL38,Table91517[EnergyRating (group)],AM38,Table91517[CountyName (group)],BE$4)</f>
        <v>0</v>
      </c>
      <c r="BF38" s="1164">
        <f>SUMIFS(Table91517[Count of EnergyRating],Table91517[MainSpaceHeatingFuel],AL38,Table91517[EnergyRating (group)],AM38,Table91517[CountyName (group)],BF$4)</f>
        <v>0</v>
      </c>
      <c r="BG38" s="1164">
        <f>SUMIFS(Table91517[Count of EnergyRating],Table91517[MainSpaceHeatingFuel],AL38,Table91517[EnergyRating (group)],AM38,Table91517[CountyName (group)],BG$4)</f>
        <v>0</v>
      </c>
      <c r="BH38" s="1164">
        <f>SUMIFS(Table91517[Count of EnergyRating],Table91517[MainSpaceHeatingFuel],AL38,Table91517[EnergyRating (group)],AM38,Table91517[CountyName (group)],BH$4)</f>
        <v>0</v>
      </c>
      <c r="BI38" s="1164">
        <f>SUMIFS(Table91517[Count of EnergyRating],Table91517[MainSpaceHeatingFuel],AL38,Table91517[EnergyRating (group)],AM38,Table91517[CountyName (group)],BI$4)</f>
        <v>0</v>
      </c>
      <c r="BJ38" s="1164">
        <f>SUMIFS(Table91517[Count of EnergyRating],Table91517[MainSpaceHeatingFuel],AL38,Table91517[EnergyRating (group)],AM38,Table91517[CountyName (group)],BJ$4)</f>
        <v>0</v>
      </c>
      <c r="BK38" s="1135">
        <f>SUMIFS(Table91517[Count of EnergyRating],Table91517[MainSpaceHeatingFuel],AL38,Table91517[EnergyRating (group)],AM38,Table91517[CountyName (group)],BK$4)</f>
        <v>0</v>
      </c>
      <c r="BL38" s="1164">
        <f>SUMIFS(Table91517[Count of EnergyRating],Table91517[MainSpaceHeatingFuel],AL38,Table91517[EnergyRating (group)],AM38,Table91517[CountyName (group)],BL$4)</f>
        <v>0</v>
      </c>
      <c r="BM38" s="1164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38" t="s">
        <v>64</v>
      </c>
      <c r="C39" s="1138" t="s">
        <v>1235</v>
      </c>
      <c r="D39" s="1138" t="s">
        <v>1094</v>
      </c>
      <c r="E39" s="1147">
        <f t="shared" ref="E39:AD39" si="78">IFERROR(G159*((SUM(AN$43)/SUM(AN$35:AN$43))/(SUM(G$159)/SUM(G$154:G$159))),G159)</f>
        <v>0</v>
      </c>
      <c r="F39" s="1147">
        <f t="shared" si="78"/>
        <v>0</v>
      </c>
      <c r="G39" s="1147">
        <f t="shared" si="78"/>
        <v>0</v>
      </c>
      <c r="H39" s="1147">
        <f t="shared" si="78"/>
        <v>0</v>
      </c>
      <c r="I39" s="1147">
        <f t="shared" si="78"/>
        <v>0</v>
      </c>
      <c r="J39" s="1147">
        <f t="shared" si="78"/>
        <v>0</v>
      </c>
      <c r="K39" s="1147">
        <f t="shared" si="78"/>
        <v>0</v>
      </c>
      <c r="L39" s="1147">
        <f t="shared" si="78"/>
        <v>0</v>
      </c>
      <c r="M39" s="1147">
        <f t="shared" si="78"/>
        <v>0</v>
      </c>
      <c r="N39" s="1147">
        <f t="shared" si="78"/>
        <v>0</v>
      </c>
      <c r="O39" s="1147">
        <f t="shared" si="78"/>
        <v>0</v>
      </c>
      <c r="P39" s="1147">
        <f t="shared" si="78"/>
        <v>0</v>
      </c>
      <c r="Q39" s="1147">
        <f t="shared" si="78"/>
        <v>0</v>
      </c>
      <c r="R39" s="1147">
        <f t="shared" si="78"/>
        <v>0</v>
      </c>
      <c r="S39" s="1147">
        <f t="shared" si="78"/>
        <v>0</v>
      </c>
      <c r="T39" s="1147">
        <f t="shared" si="78"/>
        <v>0</v>
      </c>
      <c r="U39" s="1147">
        <f t="shared" si="78"/>
        <v>0</v>
      </c>
      <c r="V39" s="1147">
        <f t="shared" si="78"/>
        <v>0</v>
      </c>
      <c r="W39" s="1147">
        <f t="shared" si="78"/>
        <v>0</v>
      </c>
      <c r="X39" s="1147">
        <f t="shared" si="78"/>
        <v>0</v>
      </c>
      <c r="Y39" s="1147">
        <f t="shared" si="78"/>
        <v>0</v>
      </c>
      <c r="Z39" s="1147">
        <f t="shared" si="78"/>
        <v>0</v>
      </c>
      <c r="AA39" s="1147">
        <f t="shared" si="78"/>
        <v>0</v>
      </c>
      <c r="AB39" s="1147">
        <f t="shared" si="78"/>
        <v>0</v>
      </c>
      <c r="AC39" s="1147">
        <f t="shared" si="78"/>
        <v>0</v>
      </c>
      <c r="AD39" s="1147">
        <f t="shared" si="78"/>
        <v>0</v>
      </c>
      <c r="AE39" s="1174">
        <f t="shared" si="4"/>
        <v>0</v>
      </c>
      <c r="AG39" s="1164"/>
      <c r="AL39" s="1144" t="s">
        <v>398</v>
      </c>
      <c r="AM39" s="1144" t="s">
        <v>56</v>
      </c>
      <c r="AN39" s="1135">
        <f>SUMIFS(Table91517[Count of EnergyRating],Table91517[MainSpaceHeatingFuel],AL39,Table91517[EnergyRating (group)],AM39,Table91517[CountyName (group)],AN$4)</f>
        <v>0</v>
      </c>
      <c r="AO39" s="1164">
        <f>SUMIFS(Table91517[Count of EnergyRating],Table91517[MainSpaceHeatingFuel],AL39,Table91517[EnergyRating (group)],AM39,Table91517[CountyName (group)],AO$4)</f>
        <v>0</v>
      </c>
      <c r="AP39" s="1164">
        <f>SUMIFS(Table91517[Count of EnergyRating],Table91517[MainSpaceHeatingFuel],AL39,Table91517[EnergyRating (group)],AM39,Table91517[CountyName (group)],AP$4)</f>
        <v>0</v>
      </c>
      <c r="AQ39" s="1164">
        <f>SUMIFS(Table91517[Count of EnergyRating],Table91517[MainSpaceHeatingFuel],AL39,Table91517[EnergyRating (group)],AM39,Table91517[CountyName (group)],AQ$4)</f>
        <v>0</v>
      </c>
      <c r="AR39" s="1164">
        <f>SUMIFS(Table91517[Count of EnergyRating],Table91517[MainSpaceHeatingFuel],AL39,Table91517[EnergyRating (group)],AM39,Table91517[CountyName (group)],AR$4)</f>
        <v>0</v>
      </c>
      <c r="AS39" s="1164">
        <f>SUMIFS(Table91517[Count of EnergyRating],Table91517[MainSpaceHeatingFuel],AL39,Table91517[EnergyRating (group)],AM39,Table91517[CountyName (group)],AS$4)</f>
        <v>0</v>
      </c>
      <c r="AT39" s="1164">
        <f>SUMIFS(Table91517[Count of EnergyRating],Table91517[MainSpaceHeatingFuel],AL39,Table91517[EnergyRating (group)],AM39,Table91517[CountyName (group)],AT$4)</f>
        <v>0</v>
      </c>
      <c r="AU39" s="1164">
        <f>SUMIFS(Table91517[Count of EnergyRating],Table91517[MainSpaceHeatingFuel],AL39,Table91517[EnergyRating (group)],AM39,Table91517[CountyName (group)],AU$4)</f>
        <v>0</v>
      </c>
      <c r="AV39" s="1164">
        <f>SUMIFS(Table91517[Count of EnergyRating],Table91517[MainSpaceHeatingFuel],AL39,Table91517[EnergyRating (group)],AM39,Table91517[CountyName (group)],AV$4)</f>
        <v>0</v>
      </c>
      <c r="AW39" s="1164">
        <f>SUMIFS(Table91517[Count of EnergyRating],Table91517[MainSpaceHeatingFuel],AL39,Table91517[EnergyRating (group)],AM39,Table91517[CountyName (group)],AW$4)</f>
        <v>0</v>
      </c>
      <c r="AX39" s="1164">
        <f>SUMIFS(Table91517[Count of EnergyRating],Table91517[MainSpaceHeatingFuel],AL39,Table91517[EnergyRating (group)],AM39,Table91517[CountyName (group)],AX$4)</f>
        <v>0</v>
      </c>
      <c r="AY39" s="1164">
        <f>SUMIFS(Table91517[Count of EnergyRating],Table91517[MainSpaceHeatingFuel],AL39,Table91517[EnergyRating (group)],AM39,Table91517[CountyName (group)],AY$4)</f>
        <v>0</v>
      </c>
      <c r="AZ39" s="1164">
        <f>SUMIFS(Table91517[Count of EnergyRating],Table91517[MainSpaceHeatingFuel],AL39,Table91517[EnergyRating (group)],AM39,Table91517[CountyName (group)],AZ$4)</f>
        <v>0</v>
      </c>
      <c r="BA39" s="1164">
        <f>SUMIFS(Table91517[Count of EnergyRating],Table91517[MainSpaceHeatingFuel],AL39,Table91517[EnergyRating (group)],AM39,Table91517[CountyName (group)],BA$4)</f>
        <v>0</v>
      </c>
      <c r="BB39" s="1164">
        <f>SUMIFS(Table91517[Count of EnergyRating],Table91517[MainSpaceHeatingFuel],AL39,Table91517[EnergyRating (group)],AM39,Table91517[CountyName (group)],BB$4)</f>
        <v>0</v>
      </c>
      <c r="BC39" s="1164">
        <f>SUMIFS(Table91517[Count of EnergyRating],Table91517[MainSpaceHeatingFuel],AL39,Table91517[EnergyRating (group)],AM39,Table91517[CountyName (group)],BC$4)</f>
        <v>0</v>
      </c>
      <c r="BD39" s="1164">
        <f>SUMIFS(Table91517[Count of EnergyRating],Table91517[MainSpaceHeatingFuel],AL39,Table91517[EnergyRating (group)],AM39,Table91517[CountyName (group)],BD$4)</f>
        <v>0</v>
      </c>
      <c r="BE39" s="1164">
        <f>SUMIFS(Table91517[Count of EnergyRating],Table91517[MainSpaceHeatingFuel],AL39,Table91517[EnergyRating (group)],AM39,Table91517[CountyName (group)],BE$4)</f>
        <v>0</v>
      </c>
      <c r="BF39" s="1164">
        <f>SUMIFS(Table91517[Count of EnergyRating],Table91517[MainSpaceHeatingFuel],AL39,Table91517[EnergyRating (group)],AM39,Table91517[CountyName (group)],BF$4)</f>
        <v>0</v>
      </c>
      <c r="BG39" s="1164">
        <f>SUMIFS(Table91517[Count of EnergyRating],Table91517[MainSpaceHeatingFuel],AL39,Table91517[EnergyRating (group)],AM39,Table91517[CountyName (group)],BG$4)</f>
        <v>0</v>
      </c>
      <c r="BH39" s="1164">
        <f>SUMIFS(Table91517[Count of EnergyRating],Table91517[MainSpaceHeatingFuel],AL39,Table91517[EnergyRating (group)],AM39,Table91517[CountyName (group)],BH$4)</f>
        <v>0</v>
      </c>
      <c r="BI39" s="1164">
        <f>SUMIFS(Table91517[Count of EnergyRating],Table91517[MainSpaceHeatingFuel],AL39,Table91517[EnergyRating (group)],AM39,Table91517[CountyName (group)],BI$4)</f>
        <v>0</v>
      </c>
      <c r="BJ39" s="1164">
        <f>SUMIFS(Table91517[Count of EnergyRating],Table91517[MainSpaceHeatingFuel],AL39,Table91517[EnergyRating (group)],AM39,Table91517[CountyName (group)],BJ$4)</f>
        <v>0</v>
      </c>
      <c r="BK39" s="1135">
        <f>SUMIFS(Table91517[Count of EnergyRating],Table91517[MainSpaceHeatingFuel],AL39,Table91517[EnergyRating (group)],AM39,Table91517[CountyName (group)],BK$4)</f>
        <v>0</v>
      </c>
      <c r="BL39" s="1164">
        <f>SUMIFS(Table91517[Count of EnergyRating],Table91517[MainSpaceHeatingFuel],AL39,Table91517[EnergyRating (group)],AM39,Table91517[CountyName (group)],BL$4)</f>
        <v>0</v>
      </c>
      <c r="BM39" s="1164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38" t="s">
        <v>1075</v>
      </c>
      <c r="C40" s="1134" t="s">
        <v>1235</v>
      </c>
      <c r="D40" s="1134" t="s">
        <v>1094</v>
      </c>
      <c r="E40" s="1147">
        <f>SUM(E34:E39)</f>
        <v>0</v>
      </c>
      <c r="F40" s="1147">
        <f t="shared" ref="F40" si="79">SUM(F34:F39)</f>
        <v>0</v>
      </c>
      <c r="G40" s="1147">
        <f t="shared" ref="G40" si="80">SUM(G34:G39)</f>
        <v>0</v>
      </c>
      <c r="H40" s="1147">
        <f t="shared" ref="H40" si="81">SUM(H34:H39)</f>
        <v>0</v>
      </c>
      <c r="I40" s="1147">
        <f t="shared" ref="I40" si="82">SUM(I34:I39)</f>
        <v>0</v>
      </c>
      <c r="J40" s="1147">
        <f t="shared" ref="J40" si="83">SUM(J34:J39)</f>
        <v>0</v>
      </c>
      <c r="K40" s="1147">
        <f t="shared" ref="K40" si="84">SUM(K34:K39)</f>
        <v>0</v>
      </c>
      <c r="L40" s="1147">
        <f t="shared" ref="L40" si="85">SUM(L34:L39)</f>
        <v>0</v>
      </c>
      <c r="M40" s="1147">
        <f t="shared" ref="M40" si="86">SUM(M34:M39)</f>
        <v>0</v>
      </c>
      <c r="N40" s="1147">
        <f t="shared" ref="N40" si="87">SUM(N34:N39)</f>
        <v>0</v>
      </c>
      <c r="O40" s="1147">
        <f t="shared" ref="O40" si="88">SUM(O34:O39)</f>
        <v>0</v>
      </c>
      <c r="P40" s="1147">
        <f t="shared" ref="P40" si="89">SUM(P34:P39)</f>
        <v>0</v>
      </c>
      <c r="Q40" s="1147">
        <f t="shared" ref="Q40" si="90">SUM(Q34:Q39)</f>
        <v>0</v>
      </c>
      <c r="R40" s="1147">
        <f t="shared" ref="R40" si="91">SUM(R34:R39)</f>
        <v>0</v>
      </c>
      <c r="S40" s="1147">
        <f t="shared" ref="S40" si="92">SUM(S34:S39)</f>
        <v>0</v>
      </c>
      <c r="T40" s="1147">
        <f t="shared" ref="T40" si="93">SUM(T34:T39)</f>
        <v>0</v>
      </c>
      <c r="U40" s="1147">
        <f t="shared" ref="U40" si="94">SUM(U34:U39)</f>
        <v>0</v>
      </c>
      <c r="V40" s="1147">
        <f t="shared" ref="V40" si="95">SUM(V34:V39)</f>
        <v>0</v>
      </c>
      <c r="W40" s="1147">
        <f t="shared" ref="W40" si="96">SUM(W34:W39)</f>
        <v>0</v>
      </c>
      <c r="X40" s="1147">
        <f t="shared" ref="X40" si="97">SUM(X34:X39)</f>
        <v>0</v>
      </c>
      <c r="Y40" s="1147">
        <f t="shared" ref="Y40" si="98">SUM(Y34:Y39)</f>
        <v>0</v>
      </c>
      <c r="Z40" s="1147">
        <f t="shared" ref="Z40" si="99">SUM(Z34:Z39)</f>
        <v>0</v>
      </c>
      <c r="AA40" s="1147">
        <f t="shared" ref="AA40" si="100">SUM(AA34:AA39)</f>
        <v>0</v>
      </c>
      <c r="AB40" s="1147">
        <f t="shared" ref="AB40" si="101">SUM(AB34:AB39)</f>
        <v>0</v>
      </c>
      <c r="AC40" s="1147">
        <f t="shared" ref="AC40" si="102">SUM(AC34:AC39)</f>
        <v>0</v>
      </c>
      <c r="AD40" s="1147">
        <f t="shared" ref="AD40" si="103">SUM(AD34:AD39)</f>
        <v>0</v>
      </c>
      <c r="AE40" s="1147">
        <f t="shared" ref="AE40" si="104">SUM(AE34:AE39)</f>
        <v>0</v>
      </c>
      <c r="AG40" s="1164"/>
      <c r="AL40" s="1144" t="s">
        <v>398</v>
      </c>
      <c r="AM40" s="1144" t="s">
        <v>58</v>
      </c>
      <c r="AN40" s="1135">
        <f>SUMIFS(Table91517[Count of EnergyRating],Table91517[MainSpaceHeatingFuel],AL40,Table91517[EnergyRating (group)],AM40,Table91517[CountyName (group)],AN$4)</f>
        <v>0</v>
      </c>
      <c r="AO40" s="1164">
        <f>SUMIFS(Table91517[Count of EnergyRating],Table91517[MainSpaceHeatingFuel],AL40,Table91517[EnergyRating (group)],AM40,Table91517[CountyName (group)],AO$4)</f>
        <v>0</v>
      </c>
      <c r="AP40" s="1164">
        <f>SUMIFS(Table91517[Count of EnergyRating],Table91517[MainSpaceHeatingFuel],AL40,Table91517[EnergyRating (group)],AM40,Table91517[CountyName (group)],AP$4)</f>
        <v>0</v>
      </c>
      <c r="AQ40" s="1164">
        <f>SUMIFS(Table91517[Count of EnergyRating],Table91517[MainSpaceHeatingFuel],AL40,Table91517[EnergyRating (group)],AM40,Table91517[CountyName (group)],AQ$4)</f>
        <v>0</v>
      </c>
      <c r="AR40" s="1164">
        <f>SUMIFS(Table91517[Count of EnergyRating],Table91517[MainSpaceHeatingFuel],AL40,Table91517[EnergyRating (group)],AM40,Table91517[CountyName (group)],AR$4)</f>
        <v>0</v>
      </c>
      <c r="AS40" s="1164">
        <f>SUMIFS(Table91517[Count of EnergyRating],Table91517[MainSpaceHeatingFuel],AL40,Table91517[EnergyRating (group)],AM40,Table91517[CountyName (group)],AS$4)</f>
        <v>0</v>
      </c>
      <c r="AT40" s="1164">
        <f>SUMIFS(Table91517[Count of EnergyRating],Table91517[MainSpaceHeatingFuel],AL40,Table91517[EnergyRating (group)],AM40,Table91517[CountyName (group)],AT$4)</f>
        <v>0</v>
      </c>
      <c r="AU40" s="1164">
        <f>SUMIFS(Table91517[Count of EnergyRating],Table91517[MainSpaceHeatingFuel],AL40,Table91517[EnergyRating (group)],AM40,Table91517[CountyName (group)],AU$4)</f>
        <v>0</v>
      </c>
      <c r="AV40" s="1164">
        <f>SUMIFS(Table91517[Count of EnergyRating],Table91517[MainSpaceHeatingFuel],AL40,Table91517[EnergyRating (group)],AM40,Table91517[CountyName (group)],AV$4)</f>
        <v>0</v>
      </c>
      <c r="AW40" s="1164">
        <f>SUMIFS(Table91517[Count of EnergyRating],Table91517[MainSpaceHeatingFuel],AL40,Table91517[EnergyRating (group)],AM40,Table91517[CountyName (group)],AW$4)</f>
        <v>0</v>
      </c>
      <c r="AX40" s="1164">
        <f>SUMIFS(Table91517[Count of EnergyRating],Table91517[MainSpaceHeatingFuel],AL40,Table91517[EnergyRating (group)],AM40,Table91517[CountyName (group)],AX$4)</f>
        <v>0</v>
      </c>
      <c r="AY40" s="1164">
        <f>SUMIFS(Table91517[Count of EnergyRating],Table91517[MainSpaceHeatingFuel],AL40,Table91517[EnergyRating (group)],AM40,Table91517[CountyName (group)],AY$4)</f>
        <v>0</v>
      </c>
      <c r="AZ40" s="1164">
        <f>SUMIFS(Table91517[Count of EnergyRating],Table91517[MainSpaceHeatingFuel],AL40,Table91517[EnergyRating (group)],AM40,Table91517[CountyName (group)],AZ$4)</f>
        <v>0</v>
      </c>
      <c r="BA40" s="1164">
        <f>SUMIFS(Table91517[Count of EnergyRating],Table91517[MainSpaceHeatingFuel],AL40,Table91517[EnergyRating (group)],AM40,Table91517[CountyName (group)],BA$4)</f>
        <v>0</v>
      </c>
      <c r="BB40" s="1164">
        <f>SUMIFS(Table91517[Count of EnergyRating],Table91517[MainSpaceHeatingFuel],AL40,Table91517[EnergyRating (group)],AM40,Table91517[CountyName (group)],BB$4)</f>
        <v>0</v>
      </c>
      <c r="BC40" s="1164">
        <f>SUMIFS(Table91517[Count of EnergyRating],Table91517[MainSpaceHeatingFuel],AL40,Table91517[EnergyRating (group)],AM40,Table91517[CountyName (group)],BC$4)</f>
        <v>0</v>
      </c>
      <c r="BD40" s="1164">
        <f>SUMIFS(Table91517[Count of EnergyRating],Table91517[MainSpaceHeatingFuel],AL40,Table91517[EnergyRating (group)],AM40,Table91517[CountyName (group)],BD$4)</f>
        <v>0</v>
      </c>
      <c r="BE40" s="1164">
        <f>SUMIFS(Table91517[Count of EnergyRating],Table91517[MainSpaceHeatingFuel],AL40,Table91517[EnergyRating (group)],AM40,Table91517[CountyName (group)],BE$4)</f>
        <v>0</v>
      </c>
      <c r="BF40" s="1164">
        <f>SUMIFS(Table91517[Count of EnergyRating],Table91517[MainSpaceHeatingFuel],AL40,Table91517[EnergyRating (group)],AM40,Table91517[CountyName (group)],BF$4)</f>
        <v>0</v>
      </c>
      <c r="BG40" s="1164">
        <f>SUMIFS(Table91517[Count of EnergyRating],Table91517[MainSpaceHeatingFuel],AL40,Table91517[EnergyRating (group)],AM40,Table91517[CountyName (group)],BG$4)</f>
        <v>0</v>
      </c>
      <c r="BH40" s="1164">
        <f>SUMIFS(Table91517[Count of EnergyRating],Table91517[MainSpaceHeatingFuel],AL40,Table91517[EnergyRating (group)],AM40,Table91517[CountyName (group)],BH$4)</f>
        <v>0</v>
      </c>
      <c r="BI40" s="1164">
        <f>SUMIFS(Table91517[Count of EnergyRating],Table91517[MainSpaceHeatingFuel],AL40,Table91517[EnergyRating (group)],AM40,Table91517[CountyName (group)],BI$4)</f>
        <v>0</v>
      </c>
      <c r="BJ40" s="1164">
        <f>SUMIFS(Table91517[Count of EnergyRating],Table91517[MainSpaceHeatingFuel],AL40,Table91517[EnergyRating (group)],AM40,Table91517[CountyName (group)],BJ$4)</f>
        <v>0</v>
      </c>
      <c r="BK40" s="1135">
        <f>SUMIFS(Table91517[Count of EnergyRating],Table91517[MainSpaceHeatingFuel],AL40,Table91517[EnergyRating (group)],AM40,Table91517[CountyName (group)],BK$4)</f>
        <v>0</v>
      </c>
      <c r="BL40" s="1164">
        <f>SUMIFS(Table91517[Count of EnergyRating],Table91517[MainSpaceHeatingFuel],AL40,Table91517[EnergyRating (group)],AM40,Table91517[CountyName (group)],BL$4)</f>
        <v>0</v>
      </c>
      <c r="BM40" s="1164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65"/>
      <c r="C41" s="1165" t="s">
        <v>1236</v>
      </c>
      <c r="D41" s="1165" t="s">
        <v>1094</v>
      </c>
      <c r="E41" s="1166">
        <f t="shared" ref="E41:AD41" si="105">G160</f>
        <v>8.2316497623164425E-5</v>
      </c>
      <c r="F41" s="1166">
        <f t="shared" si="105"/>
        <v>4.2736658429397295E-4</v>
      </c>
      <c r="G41" s="1166">
        <f t="shared" si="105"/>
        <v>2.306148242264622E-4</v>
      </c>
      <c r="H41" s="1166">
        <f t="shared" si="105"/>
        <v>1.5898165638330542E-4</v>
      </c>
      <c r="I41" s="1166">
        <f t="shared" si="105"/>
        <v>1.2400825079627486E-4</v>
      </c>
      <c r="J41" s="1166">
        <f t="shared" si="105"/>
        <v>7.3960076420522908E-5</v>
      </c>
      <c r="K41" s="1166">
        <f t="shared" si="105"/>
        <v>1.4357432567411256E-4</v>
      </c>
      <c r="L41" s="1166">
        <f t="shared" si="105"/>
        <v>2.612034944995046E-4</v>
      </c>
      <c r="M41" s="1166">
        <f t="shared" si="105"/>
        <v>1.2150145179013921E-4</v>
      </c>
      <c r="N41" s="1166">
        <f t="shared" si="105"/>
        <v>1.2802109977767383E-4</v>
      </c>
      <c r="O41" s="1166">
        <f t="shared" si="105"/>
        <v>2.578109155505351E-4</v>
      </c>
      <c r="P41" s="1166">
        <f t="shared" si="105"/>
        <v>1.7144821082863026E-4</v>
      </c>
      <c r="Q41" s="1166">
        <f t="shared" si="105"/>
        <v>1.9954340094275325E-4</v>
      </c>
      <c r="R41" s="1166">
        <f t="shared" si="105"/>
        <v>6.7504989188655652E-4</v>
      </c>
      <c r="S41" s="1166">
        <f t="shared" si="105"/>
        <v>2.7682271400181289E-4</v>
      </c>
      <c r="T41" s="1166">
        <f t="shared" si="105"/>
        <v>2.4923103598777487E-4</v>
      </c>
      <c r="U41" s="1166">
        <f t="shared" si="105"/>
        <v>2.660810089598977E-4</v>
      </c>
      <c r="V41" s="1166">
        <f t="shared" si="105"/>
        <v>1.4567435841794459E-4</v>
      </c>
      <c r="W41" s="1166">
        <f t="shared" si="105"/>
        <v>4.2138070572818906E-4</v>
      </c>
      <c r="X41" s="1166">
        <f t="shared" si="105"/>
        <v>6.9259067082879936E-5</v>
      </c>
      <c r="Y41" s="1166">
        <f t="shared" si="105"/>
        <v>2.6405881660425141E-4</v>
      </c>
      <c r="Z41" s="1166">
        <f t="shared" si="105"/>
        <v>1.3759483638205443E-4</v>
      </c>
      <c r="AA41" s="1166">
        <f t="shared" si="105"/>
        <v>1.1029975468288492E-4</v>
      </c>
      <c r="AB41" s="1166">
        <f t="shared" si="105"/>
        <v>1.3789072426251137E-4</v>
      </c>
      <c r="AC41" s="1166">
        <f t="shared" si="105"/>
        <v>3.1001630735479909E-4</v>
      </c>
      <c r="AD41" s="1166">
        <f t="shared" si="105"/>
        <v>1.0771918681543732E-4</v>
      </c>
      <c r="AE41" s="1175">
        <f t="shared" si="4"/>
        <v>5.5514291969740448E-3</v>
      </c>
      <c r="AG41" s="1164"/>
      <c r="AL41" s="1144" t="s">
        <v>398</v>
      </c>
      <c r="AM41" s="1144" t="s">
        <v>60</v>
      </c>
      <c r="AN41" s="1135">
        <f>SUMIFS(Table91517[Count of EnergyRating],Table91517[MainSpaceHeatingFuel],AL41,Table91517[EnergyRating (group)],AM41,Table91517[CountyName (group)],AN$4)</f>
        <v>0</v>
      </c>
      <c r="AO41" s="1164">
        <f>SUMIFS(Table91517[Count of EnergyRating],Table91517[MainSpaceHeatingFuel],AL41,Table91517[EnergyRating (group)],AM41,Table91517[CountyName (group)],AO$4)</f>
        <v>0</v>
      </c>
      <c r="AP41" s="1164">
        <f>SUMIFS(Table91517[Count of EnergyRating],Table91517[MainSpaceHeatingFuel],AL41,Table91517[EnergyRating (group)],AM41,Table91517[CountyName (group)],AP$4)</f>
        <v>0</v>
      </c>
      <c r="AQ41" s="1164">
        <f>SUMIFS(Table91517[Count of EnergyRating],Table91517[MainSpaceHeatingFuel],AL41,Table91517[EnergyRating (group)],AM41,Table91517[CountyName (group)],AQ$4)</f>
        <v>0</v>
      </c>
      <c r="AR41" s="1164">
        <f>SUMIFS(Table91517[Count of EnergyRating],Table91517[MainSpaceHeatingFuel],AL41,Table91517[EnergyRating (group)],AM41,Table91517[CountyName (group)],AR$4)</f>
        <v>0</v>
      </c>
      <c r="AS41" s="1164">
        <f>SUMIFS(Table91517[Count of EnergyRating],Table91517[MainSpaceHeatingFuel],AL41,Table91517[EnergyRating (group)],AM41,Table91517[CountyName (group)],AS$4)</f>
        <v>0</v>
      </c>
      <c r="AT41" s="1164">
        <f>SUMIFS(Table91517[Count of EnergyRating],Table91517[MainSpaceHeatingFuel],AL41,Table91517[EnergyRating (group)],AM41,Table91517[CountyName (group)],AT$4)</f>
        <v>0</v>
      </c>
      <c r="AU41" s="1164">
        <f>SUMIFS(Table91517[Count of EnergyRating],Table91517[MainSpaceHeatingFuel],AL41,Table91517[EnergyRating (group)],AM41,Table91517[CountyName (group)],AU$4)</f>
        <v>0</v>
      </c>
      <c r="AV41" s="1164">
        <f>SUMIFS(Table91517[Count of EnergyRating],Table91517[MainSpaceHeatingFuel],AL41,Table91517[EnergyRating (group)],AM41,Table91517[CountyName (group)],AV$4)</f>
        <v>0</v>
      </c>
      <c r="AW41" s="1164">
        <f>SUMIFS(Table91517[Count of EnergyRating],Table91517[MainSpaceHeatingFuel],AL41,Table91517[EnergyRating (group)],AM41,Table91517[CountyName (group)],AW$4)</f>
        <v>0</v>
      </c>
      <c r="AX41" s="1164">
        <f>SUMIFS(Table91517[Count of EnergyRating],Table91517[MainSpaceHeatingFuel],AL41,Table91517[EnergyRating (group)],AM41,Table91517[CountyName (group)],AX$4)</f>
        <v>0</v>
      </c>
      <c r="AY41" s="1164">
        <f>SUMIFS(Table91517[Count of EnergyRating],Table91517[MainSpaceHeatingFuel],AL41,Table91517[EnergyRating (group)],AM41,Table91517[CountyName (group)],AY$4)</f>
        <v>0</v>
      </c>
      <c r="AZ41" s="1164">
        <f>SUMIFS(Table91517[Count of EnergyRating],Table91517[MainSpaceHeatingFuel],AL41,Table91517[EnergyRating (group)],AM41,Table91517[CountyName (group)],AZ$4)</f>
        <v>0</v>
      </c>
      <c r="BA41" s="1164">
        <f>SUMIFS(Table91517[Count of EnergyRating],Table91517[MainSpaceHeatingFuel],AL41,Table91517[EnergyRating (group)],AM41,Table91517[CountyName (group)],BA$4)</f>
        <v>0</v>
      </c>
      <c r="BB41" s="1164">
        <f>SUMIFS(Table91517[Count of EnergyRating],Table91517[MainSpaceHeatingFuel],AL41,Table91517[EnergyRating (group)],AM41,Table91517[CountyName (group)],BB$4)</f>
        <v>0</v>
      </c>
      <c r="BC41" s="1164">
        <f>SUMIFS(Table91517[Count of EnergyRating],Table91517[MainSpaceHeatingFuel],AL41,Table91517[EnergyRating (group)],AM41,Table91517[CountyName (group)],BC$4)</f>
        <v>0</v>
      </c>
      <c r="BD41" s="1164">
        <f>SUMIFS(Table91517[Count of EnergyRating],Table91517[MainSpaceHeatingFuel],AL41,Table91517[EnergyRating (group)],AM41,Table91517[CountyName (group)],BD$4)</f>
        <v>0</v>
      </c>
      <c r="BE41" s="1164">
        <f>SUMIFS(Table91517[Count of EnergyRating],Table91517[MainSpaceHeatingFuel],AL41,Table91517[EnergyRating (group)],AM41,Table91517[CountyName (group)],BE$4)</f>
        <v>0</v>
      </c>
      <c r="BF41" s="1164">
        <f>SUMIFS(Table91517[Count of EnergyRating],Table91517[MainSpaceHeatingFuel],AL41,Table91517[EnergyRating (group)],AM41,Table91517[CountyName (group)],BF$4)</f>
        <v>0</v>
      </c>
      <c r="BG41" s="1164">
        <f>SUMIFS(Table91517[Count of EnergyRating],Table91517[MainSpaceHeatingFuel],AL41,Table91517[EnergyRating (group)],AM41,Table91517[CountyName (group)],BG$4)</f>
        <v>0</v>
      </c>
      <c r="BH41" s="1164">
        <f>SUMIFS(Table91517[Count of EnergyRating],Table91517[MainSpaceHeatingFuel],AL41,Table91517[EnergyRating (group)],AM41,Table91517[CountyName (group)],BH$4)</f>
        <v>0</v>
      </c>
      <c r="BI41" s="1164">
        <f>SUMIFS(Table91517[Count of EnergyRating],Table91517[MainSpaceHeatingFuel],AL41,Table91517[EnergyRating (group)],AM41,Table91517[CountyName (group)],BI$4)</f>
        <v>0</v>
      </c>
      <c r="BJ41" s="1164">
        <f>SUMIFS(Table91517[Count of EnergyRating],Table91517[MainSpaceHeatingFuel],AL41,Table91517[EnergyRating (group)],AM41,Table91517[CountyName (group)],BJ$4)</f>
        <v>0</v>
      </c>
      <c r="BK41" s="1135">
        <f>SUMIFS(Table91517[Count of EnergyRating],Table91517[MainSpaceHeatingFuel],AL41,Table91517[EnergyRating (group)],AM41,Table91517[CountyName (group)],BK$4)</f>
        <v>0</v>
      </c>
      <c r="BL41" s="1164">
        <f>SUMIFS(Table91517[Count of EnergyRating],Table91517[MainSpaceHeatingFuel],AL41,Table91517[EnergyRating (group)],AM41,Table91517[CountyName (group)],BL$4)</f>
        <v>0</v>
      </c>
      <c r="BM41" s="1164">
        <f>SUMIFS(Table91517[Count of EnergyRating],Table91517[MainSpaceHeatingFuel],AL41,Table91517[EnergyRating (group)],AM41,Table91517[CountyName (group)],BM$4)</f>
        <v>0</v>
      </c>
    </row>
    <row r="42" spans="2:65" ht="15">
      <c r="B42" s="1137"/>
      <c r="C42" s="1137" t="s">
        <v>1214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G42" s="1164"/>
      <c r="AL42" s="1144" t="s">
        <v>398</v>
      </c>
      <c r="AM42" s="1144" t="s">
        <v>62</v>
      </c>
      <c r="AN42" s="1135">
        <f>SUMIFS(Table91517[Count of EnergyRating],Table91517[MainSpaceHeatingFuel],AL42,Table91517[EnergyRating (group)],AM42,Table91517[CountyName (group)],AN$4)</f>
        <v>0</v>
      </c>
      <c r="AO42" s="1164">
        <f>SUMIFS(Table91517[Count of EnergyRating],Table91517[MainSpaceHeatingFuel],AL42,Table91517[EnergyRating (group)],AM42,Table91517[CountyName (group)],AO$4)</f>
        <v>0</v>
      </c>
      <c r="AP42" s="1164">
        <f>SUMIFS(Table91517[Count of EnergyRating],Table91517[MainSpaceHeatingFuel],AL42,Table91517[EnergyRating (group)],AM42,Table91517[CountyName (group)],AP$4)</f>
        <v>0</v>
      </c>
      <c r="AQ42" s="1164">
        <f>SUMIFS(Table91517[Count of EnergyRating],Table91517[MainSpaceHeatingFuel],AL42,Table91517[EnergyRating (group)],AM42,Table91517[CountyName (group)],AQ$4)</f>
        <v>0</v>
      </c>
      <c r="AR42" s="1164">
        <f>SUMIFS(Table91517[Count of EnergyRating],Table91517[MainSpaceHeatingFuel],AL42,Table91517[EnergyRating (group)],AM42,Table91517[CountyName (group)],AR$4)</f>
        <v>0</v>
      </c>
      <c r="AS42" s="1164">
        <f>SUMIFS(Table91517[Count of EnergyRating],Table91517[MainSpaceHeatingFuel],AL42,Table91517[EnergyRating (group)],AM42,Table91517[CountyName (group)],AS$4)</f>
        <v>0</v>
      </c>
      <c r="AT42" s="1164">
        <f>SUMIFS(Table91517[Count of EnergyRating],Table91517[MainSpaceHeatingFuel],AL42,Table91517[EnergyRating (group)],AM42,Table91517[CountyName (group)],AT$4)</f>
        <v>0</v>
      </c>
      <c r="AU42" s="1164">
        <f>SUMIFS(Table91517[Count of EnergyRating],Table91517[MainSpaceHeatingFuel],AL42,Table91517[EnergyRating (group)],AM42,Table91517[CountyName (group)],AU$4)</f>
        <v>0</v>
      </c>
      <c r="AV42" s="1164">
        <f>SUMIFS(Table91517[Count of EnergyRating],Table91517[MainSpaceHeatingFuel],AL42,Table91517[EnergyRating (group)],AM42,Table91517[CountyName (group)],AV$4)</f>
        <v>0</v>
      </c>
      <c r="AW42" s="1164">
        <f>SUMIFS(Table91517[Count of EnergyRating],Table91517[MainSpaceHeatingFuel],AL42,Table91517[EnergyRating (group)],AM42,Table91517[CountyName (group)],AW$4)</f>
        <v>0</v>
      </c>
      <c r="AX42" s="1164">
        <f>SUMIFS(Table91517[Count of EnergyRating],Table91517[MainSpaceHeatingFuel],AL42,Table91517[EnergyRating (group)],AM42,Table91517[CountyName (group)],AX$4)</f>
        <v>0</v>
      </c>
      <c r="AY42" s="1164">
        <f>SUMIFS(Table91517[Count of EnergyRating],Table91517[MainSpaceHeatingFuel],AL42,Table91517[EnergyRating (group)],AM42,Table91517[CountyName (group)],AY$4)</f>
        <v>0</v>
      </c>
      <c r="AZ42" s="1164">
        <f>SUMIFS(Table91517[Count of EnergyRating],Table91517[MainSpaceHeatingFuel],AL42,Table91517[EnergyRating (group)],AM42,Table91517[CountyName (group)],AZ$4)</f>
        <v>0</v>
      </c>
      <c r="BA42" s="1164">
        <f>SUMIFS(Table91517[Count of EnergyRating],Table91517[MainSpaceHeatingFuel],AL42,Table91517[EnergyRating (group)],AM42,Table91517[CountyName (group)],BA$4)</f>
        <v>0</v>
      </c>
      <c r="BB42" s="1164">
        <f>SUMIFS(Table91517[Count of EnergyRating],Table91517[MainSpaceHeatingFuel],AL42,Table91517[EnergyRating (group)],AM42,Table91517[CountyName (group)],BB$4)</f>
        <v>0</v>
      </c>
      <c r="BC42" s="1164">
        <f>SUMIFS(Table91517[Count of EnergyRating],Table91517[MainSpaceHeatingFuel],AL42,Table91517[EnergyRating (group)],AM42,Table91517[CountyName (group)],BC$4)</f>
        <v>0</v>
      </c>
      <c r="BD42" s="1164">
        <f>SUMIFS(Table91517[Count of EnergyRating],Table91517[MainSpaceHeatingFuel],AL42,Table91517[EnergyRating (group)],AM42,Table91517[CountyName (group)],BD$4)</f>
        <v>0</v>
      </c>
      <c r="BE42" s="1164">
        <f>SUMIFS(Table91517[Count of EnergyRating],Table91517[MainSpaceHeatingFuel],AL42,Table91517[EnergyRating (group)],AM42,Table91517[CountyName (group)],BE$4)</f>
        <v>0</v>
      </c>
      <c r="BF42" s="1164">
        <f>SUMIFS(Table91517[Count of EnergyRating],Table91517[MainSpaceHeatingFuel],AL42,Table91517[EnergyRating (group)],AM42,Table91517[CountyName (group)],BF$4)</f>
        <v>0</v>
      </c>
      <c r="BG42" s="1164">
        <f>SUMIFS(Table91517[Count of EnergyRating],Table91517[MainSpaceHeatingFuel],AL42,Table91517[EnergyRating (group)],AM42,Table91517[CountyName (group)],BG$4)</f>
        <v>0</v>
      </c>
      <c r="BH42" s="1164">
        <f>SUMIFS(Table91517[Count of EnergyRating],Table91517[MainSpaceHeatingFuel],AL42,Table91517[EnergyRating (group)],AM42,Table91517[CountyName (group)],BH$4)</f>
        <v>0</v>
      </c>
      <c r="BI42" s="1164">
        <f>SUMIFS(Table91517[Count of EnergyRating],Table91517[MainSpaceHeatingFuel],AL42,Table91517[EnergyRating (group)],AM42,Table91517[CountyName (group)],BI$4)</f>
        <v>0</v>
      </c>
      <c r="BJ42" s="1164">
        <f>SUMIFS(Table91517[Count of EnergyRating],Table91517[MainSpaceHeatingFuel],AL42,Table91517[EnergyRating (group)],AM42,Table91517[CountyName (group)],BJ$4)</f>
        <v>0</v>
      </c>
      <c r="BK42" s="1135">
        <f>SUMIFS(Table91517[Count of EnergyRating],Table91517[MainSpaceHeatingFuel],AL42,Table91517[EnergyRating (group)],AM42,Table91517[CountyName (group)],BK$4)</f>
        <v>0</v>
      </c>
      <c r="BL42" s="1164">
        <f>SUMIFS(Table91517[Count of EnergyRating],Table91517[MainSpaceHeatingFuel],AL42,Table91517[EnergyRating (group)],AM42,Table91517[CountyName (group)],BL$4)</f>
        <v>0</v>
      </c>
      <c r="BM42" s="1164">
        <f>SUMIFS(Table91517[Count of EnergyRating],Table91517[MainSpaceHeatingFuel],AL42,Table91517[EnergyRating (group)],AM42,Table91517[CountyName (group)],BM$4)</f>
        <v>0</v>
      </c>
    </row>
    <row r="43" spans="2:65" ht="15">
      <c r="B43" s="1134" t="s">
        <v>1259</v>
      </c>
      <c r="C43" s="1134" t="s">
        <v>1237</v>
      </c>
      <c r="D43" s="1134" t="s">
        <v>1094</v>
      </c>
      <c r="E43" s="1145">
        <f t="shared" ref="E43:AD43" si="106">IFERROR(G162*((SUM(AN$45:AN$48)/SUM(AN$45:AN$53))/(SUM(G$162)/SUM(G$162:G$167))),G162)</f>
        <v>0</v>
      </c>
      <c r="F43" s="1145">
        <f t="shared" si="106"/>
        <v>0</v>
      </c>
      <c r="G43" s="1145">
        <f t="shared" si="106"/>
        <v>0</v>
      </c>
      <c r="H43" s="1145">
        <f t="shared" si="106"/>
        <v>0</v>
      </c>
      <c r="I43" s="1145">
        <f t="shared" si="106"/>
        <v>0</v>
      </c>
      <c r="J43" s="1145">
        <f t="shared" si="106"/>
        <v>0</v>
      </c>
      <c r="K43" s="1145">
        <f t="shared" si="106"/>
        <v>0</v>
      </c>
      <c r="L43" s="1145">
        <f t="shared" si="106"/>
        <v>0</v>
      </c>
      <c r="M43" s="1145">
        <f t="shared" si="106"/>
        <v>0</v>
      </c>
      <c r="N43" s="1145">
        <f t="shared" si="106"/>
        <v>0</v>
      </c>
      <c r="O43" s="1145">
        <f t="shared" si="106"/>
        <v>0</v>
      </c>
      <c r="P43" s="1145">
        <f t="shared" si="106"/>
        <v>0</v>
      </c>
      <c r="Q43" s="1145">
        <f t="shared" si="106"/>
        <v>0</v>
      </c>
      <c r="R43" s="1145">
        <f t="shared" si="106"/>
        <v>0</v>
      </c>
      <c r="S43" s="1145">
        <f t="shared" si="106"/>
        <v>0</v>
      </c>
      <c r="T43" s="1145">
        <f t="shared" si="106"/>
        <v>0</v>
      </c>
      <c r="U43" s="1145">
        <f t="shared" si="106"/>
        <v>0</v>
      </c>
      <c r="V43" s="1145">
        <f t="shared" si="106"/>
        <v>0</v>
      </c>
      <c r="W43" s="1145">
        <f t="shared" si="106"/>
        <v>0</v>
      </c>
      <c r="X43" s="1145">
        <f t="shared" si="106"/>
        <v>0</v>
      </c>
      <c r="Y43" s="1145">
        <f t="shared" si="106"/>
        <v>0</v>
      </c>
      <c r="Z43" s="1145">
        <f t="shared" si="106"/>
        <v>0</v>
      </c>
      <c r="AA43" s="1145">
        <f t="shared" si="106"/>
        <v>0</v>
      </c>
      <c r="AB43" s="1145">
        <f t="shared" si="106"/>
        <v>0</v>
      </c>
      <c r="AC43" s="1145">
        <f t="shared" si="106"/>
        <v>0</v>
      </c>
      <c r="AD43" s="1145">
        <f t="shared" si="106"/>
        <v>0</v>
      </c>
      <c r="AE43" s="1172">
        <f t="shared" si="4"/>
        <v>0</v>
      </c>
      <c r="AG43" s="1164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SUMIFS(Table91517[Count of EnergyRating],Table91517[MainSpaceHeatingFuel],AL43,Table91517[EnergyRating (group)],AM43,Table91517[CountyName (group)],AN$4)</f>
        <v>0</v>
      </c>
      <c r="AO43" s="1164">
        <f>SUMIFS(Table91517[Count of EnergyRating],Table91517[MainSpaceHeatingFuel],AL43,Table91517[EnergyRating (group)],AM43,Table91517[CountyName (group)],AO$4)</f>
        <v>0</v>
      </c>
      <c r="AP43" s="1164">
        <f>SUMIFS(Table91517[Count of EnergyRating],Table91517[MainSpaceHeatingFuel],AL43,Table91517[EnergyRating (group)],AM43,Table91517[CountyName (group)],AP$4)</f>
        <v>0</v>
      </c>
      <c r="AQ43" s="1164">
        <f>SUMIFS(Table91517[Count of EnergyRating],Table91517[MainSpaceHeatingFuel],AL43,Table91517[EnergyRating (group)],AM43,Table91517[CountyName (group)],AQ$4)</f>
        <v>0</v>
      </c>
      <c r="AR43" s="1164">
        <f>SUMIFS(Table91517[Count of EnergyRating],Table91517[MainSpaceHeatingFuel],AL43,Table91517[EnergyRating (group)],AM43,Table91517[CountyName (group)],AR$4)</f>
        <v>0</v>
      </c>
      <c r="AS43" s="1164">
        <f>SUMIFS(Table91517[Count of EnergyRating],Table91517[MainSpaceHeatingFuel],AL43,Table91517[EnergyRating (group)],AM43,Table91517[CountyName (group)],AS$4)</f>
        <v>0</v>
      </c>
      <c r="AT43" s="1164">
        <f>SUMIFS(Table91517[Count of EnergyRating],Table91517[MainSpaceHeatingFuel],AL43,Table91517[EnergyRating (group)],AM43,Table91517[CountyName (group)],AT$4)</f>
        <v>0</v>
      </c>
      <c r="AU43" s="1164">
        <f>SUMIFS(Table91517[Count of EnergyRating],Table91517[MainSpaceHeatingFuel],AL43,Table91517[EnergyRating (group)],AM43,Table91517[CountyName (group)],AU$4)</f>
        <v>0</v>
      </c>
      <c r="AV43" s="1164">
        <f>SUMIFS(Table91517[Count of EnergyRating],Table91517[MainSpaceHeatingFuel],AL43,Table91517[EnergyRating (group)],AM43,Table91517[CountyName (group)],AV$4)</f>
        <v>0</v>
      </c>
      <c r="AW43" s="1164">
        <f>SUMIFS(Table91517[Count of EnergyRating],Table91517[MainSpaceHeatingFuel],AL43,Table91517[EnergyRating (group)],AM43,Table91517[CountyName (group)],AW$4)</f>
        <v>0</v>
      </c>
      <c r="AX43" s="1164">
        <f>SUMIFS(Table91517[Count of EnergyRating],Table91517[MainSpaceHeatingFuel],AL43,Table91517[EnergyRating (group)],AM43,Table91517[CountyName (group)],AX$4)</f>
        <v>0</v>
      </c>
      <c r="AY43" s="1164">
        <f>SUMIFS(Table91517[Count of EnergyRating],Table91517[MainSpaceHeatingFuel],AL43,Table91517[EnergyRating (group)],AM43,Table91517[CountyName (group)],AY$4)</f>
        <v>0</v>
      </c>
      <c r="AZ43" s="1164">
        <f>SUMIFS(Table91517[Count of EnergyRating],Table91517[MainSpaceHeatingFuel],AL43,Table91517[EnergyRating (group)],AM43,Table91517[CountyName (group)],AZ$4)</f>
        <v>0</v>
      </c>
      <c r="BA43" s="1164">
        <f>SUMIFS(Table91517[Count of EnergyRating],Table91517[MainSpaceHeatingFuel],AL43,Table91517[EnergyRating (group)],AM43,Table91517[CountyName (group)],BA$4)</f>
        <v>0</v>
      </c>
      <c r="BB43" s="1164">
        <f>SUMIFS(Table91517[Count of EnergyRating],Table91517[MainSpaceHeatingFuel],AL43,Table91517[EnergyRating (group)],AM43,Table91517[CountyName (group)],BB$4)</f>
        <v>0</v>
      </c>
      <c r="BC43" s="1164">
        <f>SUMIFS(Table91517[Count of EnergyRating],Table91517[MainSpaceHeatingFuel],AL43,Table91517[EnergyRating (group)],AM43,Table91517[CountyName (group)],BC$4)</f>
        <v>0</v>
      </c>
      <c r="BD43" s="1164">
        <f>SUMIFS(Table91517[Count of EnergyRating],Table91517[MainSpaceHeatingFuel],AL43,Table91517[EnergyRating (group)],AM43,Table91517[CountyName (group)],BD$4)</f>
        <v>0</v>
      </c>
      <c r="BE43" s="1164">
        <f>SUMIFS(Table91517[Count of EnergyRating],Table91517[MainSpaceHeatingFuel],AL43,Table91517[EnergyRating (group)],AM43,Table91517[CountyName (group)],BE$4)</f>
        <v>0</v>
      </c>
      <c r="BF43" s="1164">
        <f>SUMIFS(Table91517[Count of EnergyRating],Table91517[MainSpaceHeatingFuel],AL43,Table91517[EnergyRating (group)],AM43,Table91517[CountyName (group)],BF$4)</f>
        <v>0</v>
      </c>
      <c r="BG43" s="1164">
        <f>SUMIFS(Table91517[Count of EnergyRating],Table91517[MainSpaceHeatingFuel],AL43,Table91517[EnergyRating (group)],AM43,Table91517[CountyName (group)],BG$4)</f>
        <v>0</v>
      </c>
      <c r="BH43" s="1164">
        <f>SUMIFS(Table91517[Count of EnergyRating],Table91517[MainSpaceHeatingFuel],AL43,Table91517[EnergyRating (group)],AM43,Table91517[CountyName (group)],BH$4)</f>
        <v>0</v>
      </c>
      <c r="BI43" s="1164">
        <f>SUMIFS(Table91517[Count of EnergyRating],Table91517[MainSpaceHeatingFuel],AL43,Table91517[EnergyRating (group)],AM43,Table91517[CountyName (group)],BI$4)</f>
        <v>0</v>
      </c>
      <c r="BJ43" s="1164">
        <f>SUMIFS(Table91517[Count of EnergyRating],Table91517[MainSpaceHeatingFuel],AL43,Table91517[EnergyRating (group)],AM43,Table91517[CountyName (group)],BJ$4)</f>
        <v>0</v>
      </c>
      <c r="BK43" s="1135">
        <f>SUMIFS(Table91517[Count of EnergyRating],Table91517[MainSpaceHeatingFuel],AL43,Table91517[EnergyRating (group)],AM43,Table91517[CountyName (group)],BK$4)</f>
        <v>0</v>
      </c>
      <c r="BL43" s="1164">
        <f>SUMIFS(Table91517[Count of EnergyRating],Table91517[MainSpaceHeatingFuel],AL43,Table91517[EnergyRating (group)],AM43,Table91517[CountyName (group)],BL$4)</f>
        <v>0</v>
      </c>
      <c r="BM43" s="1164">
        <f>SUMIFS(Table91517[Count of EnergyRating],Table91517[MainSpaceHeatingFuel],AL43,Table91517[EnergyRating (group)],AM43,Table91517[CountyName (group)],BM$4)</f>
        <v>0</v>
      </c>
    </row>
    <row r="44" spans="2:65" ht="15">
      <c r="B44" s="1136" t="s">
        <v>56</v>
      </c>
      <c r="C44" s="1136" t="s">
        <v>1237</v>
      </c>
      <c r="D44" s="1136" t="s">
        <v>1094</v>
      </c>
      <c r="E44" s="1146">
        <f t="shared" ref="E44:AD44" si="107">IFERROR(G163*((SUM(AN$49)/SUM(AN$45:AN$53))/(SUM(G$163)/SUM(G$162:G$167))),G163)</f>
        <v>0</v>
      </c>
      <c r="F44" s="1146">
        <f t="shared" si="107"/>
        <v>0</v>
      </c>
      <c r="G44" s="1146">
        <f t="shared" si="107"/>
        <v>0</v>
      </c>
      <c r="H44" s="1146">
        <f t="shared" si="107"/>
        <v>0</v>
      </c>
      <c r="I44" s="1146">
        <f t="shared" si="107"/>
        <v>0</v>
      </c>
      <c r="J44" s="1146">
        <f t="shared" si="107"/>
        <v>0</v>
      </c>
      <c r="K44" s="1146">
        <f t="shared" si="107"/>
        <v>0</v>
      </c>
      <c r="L44" s="1146">
        <f t="shared" si="107"/>
        <v>0</v>
      </c>
      <c r="M44" s="1146">
        <f t="shared" si="107"/>
        <v>0</v>
      </c>
      <c r="N44" s="1146">
        <f t="shared" si="107"/>
        <v>0</v>
      </c>
      <c r="O44" s="1146">
        <f t="shared" si="107"/>
        <v>0</v>
      </c>
      <c r="P44" s="1146">
        <f t="shared" si="107"/>
        <v>0</v>
      </c>
      <c r="Q44" s="1146">
        <f t="shared" si="107"/>
        <v>0</v>
      </c>
      <c r="R44" s="1146">
        <f t="shared" si="107"/>
        <v>0</v>
      </c>
      <c r="S44" s="1146">
        <f t="shared" si="107"/>
        <v>0</v>
      </c>
      <c r="T44" s="1146">
        <f t="shared" si="107"/>
        <v>0</v>
      </c>
      <c r="U44" s="1146">
        <f t="shared" si="107"/>
        <v>0</v>
      </c>
      <c r="V44" s="1146">
        <f t="shared" si="107"/>
        <v>0</v>
      </c>
      <c r="W44" s="1146">
        <f t="shared" si="107"/>
        <v>0</v>
      </c>
      <c r="X44" s="1146">
        <f t="shared" si="107"/>
        <v>0</v>
      </c>
      <c r="Y44" s="1146">
        <f t="shared" si="107"/>
        <v>0</v>
      </c>
      <c r="Z44" s="1146">
        <f t="shared" si="107"/>
        <v>0</v>
      </c>
      <c r="AA44" s="1146">
        <f t="shared" si="107"/>
        <v>0</v>
      </c>
      <c r="AB44" s="1146">
        <f t="shared" si="107"/>
        <v>0</v>
      </c>
      <c r="AC44" s="1146">
        <f t="shared" si="107"/>
        <v>0</v>
      </c>
      <c r="AD44" s="1146">
        <f t="shared" si="107"/>
        <v>0</v>
      </c>
      <c r="AE44" s="1173">
        <f t="shared" si="4"/>
        <v>0</v>
      </c>
      <c r="AG44" s="58" t="s">
        <v>1163</v>
      </c>
      <c r="AH44" s="1158">
        <f>SUM(E43:AD48)</f>
        <v>0</v>
      </c>
      <c r="AI44" s="1140">
        <f>'SHWLP-Det'!S9</f>
        <v>0</v>
      </c>
      <c r="AJ44" s="1160" t="str">
        <f>IFERROR((AI44-AH44)/AI44,"N/A")</f>
        <v>N/A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</row>
    <row r="45" spans="2:65" ht="15">
      <c r="B45" s="1134" t="s">
        <v>58</v>
      </c>
      <c r="C45" s="1134" t="s">
        <v>1237</v>
      </c>
      <c r="D45" s="1134" t="s">
        <v>1094</v>
      </c>
      <c r="E45" s="1145">
        <f t="shared" ref="E45:AD45" si="108">IFERROR(G164*((SUM(AN$50)/SUM(AN$45:AN$53))/(SUM(G$164)/SUM(G$162:G$167))),G164)</f>
        <v>0</v>
      </c>
      <c r="F45" s="1145">
        <f t="shared" si="108"/>
        <v>0</v>
      </c>
      <c r="G45" s="1145">
        <f t="shared" si="108"/>
        <v>0</v>
      </c>
      <c r="H45" s="1145">
        <f t="shared" si="108"/>
        <v>0</v>
      </c>
      <c r="I45" s="1145">
        <f t="shared" si="108"/>
        <v>0</v>
      </c>
      <c r="J45" s="1145">
        <f t="shared" si="108"/>
        <v>0</v>
      </c>
      <c r="K45" s="1145">
        <f t="shared" si="108"/>
        <v>0</v>
      </c>
      <c r="L45" s="1145">
        <f t="shared" si="108"/>
        <v>0</v>
      </c>
      <c r="M45" s="1145">
        <f t="shared" si="108"/>
        <v>0</v>
      </c>
      <c r="N45" s="1145">
        <f t="shared" si="108"/>
        <v>0</v>
      </c>
      <c r="O45" s="1145">
        <f t="shared" si="108"/>
        <v>0</v>
      </c>
      <c r="P45" s="1145">
        <f t="shared" si="108"/>
        <v>0</v>
      </c>
      <c r="Q45" s="1145">
        <f t="shared" si="108"/>
        <v>0</v>
      </c>
      <c r="R45" s="1145">
        <f t="shared" si="108"/>
        <v>0</v>
      </c>
      <c r="S45" s="1145">
        <f t="shared" si="108"/>
        <v>0</v>
      </c>
      <c r="T45" s="1145">
        <f t="shared" si="108"/>
        <v>0</v>
      </c>
      <c r="U45" s="1145">
        <f t="shared" si="108"/>
        <v>0</v>
      </c>
      <c r="V45" s="1145">
        <f t="shared" si="108"/>
        <v>0</v>
      </c>
      <c r="W45" s="1145">
        <f t="shared" si="108"/>
        <v>0</v>
      </c>
      <c r="X45" s="1145">
        <f t="shared" si="108"/>
        <v>0</v>
      </c>
      <c r="Y45" s="1145">
        <f t="shared" si="108"/>
        <v>0</v>
      </c>
      <c r="Z45" s="1145">
        <f t="shared" si="108"/>
        <v>0</v>
      </c>
      <c r="AA45" s="1145">
        <f t="shared" si="108"/>
        <v>0</v>
      </c>
      <c r="AB45" s="1145">
        <f t="shared" si="108"/>
        <v>0</v>
      </c>
      <c r="AC45" s="1145">
        <f t="shared" si="108"/>
        <v>0</v>
      </c>
      <c r="AD45" s="1145">
        <f t="shared" si="108"/>
        <v>0</v>
      </c>
      <c r="AE45" s="1172">
        <f t="shared" si="4"/>
        <v>0</v>
      </c>
      <c r="AG45" s="58" t="s">
        <v>1107</v>
      </c>
      <c r="AH45" s="1158">
        <f>SUM(E50:AD50)</f>
        <v>5.5514291969740448E-3</v>
      </c>
      <c r="AI45" s="1140">
        <f>'SHWLP-Det'!S35</f>
        <v>5.5514291969740457E-3</v>
      </c>
      <c r="AJ45" s="1160">
        <f>(AI45-AH45)/AI45</f>
        <v>1.5624116010723547E-16</v>
      </c>
      <c r="AL45" s="1144" t="s">
        <v>399</v>
      </c>
      <c r="AM45" s="1144" t="s">
        <v>48</v>
      </c>
      <c r="AN45" s="1135">
        <f>SUMIFS(Table91517[Count of EnergyRating],Table91517[MainSpaceHeatingFuel],AL45,Table91517[EnergyRating (group)],AM45,Table91517[CountyName (group)],AN$4)</f>
        <v>0</v>
      </c>
      <c r="AO45" s="1164">
        <f>SUMIFS(Table91517[Count of EnergyRating],Table91517[MainSpaceHeatingFuel],AL45,Table91517[EnergyRating (group)],AM45,Table91517[CountyName (group)],AO$4)</f>
        <v>0</v>
      </c>
      <c r="AP45" s="1164">
        <f>SUMIFS(Table91517[Count of EnergyRating],Table91517[MainSpaceHeatingFuel],AL45,Table91517[EnergyRating (group)],AM45,Table91517[CountyName (group)],AP$4)</f>
        <v>0</v>
      </c>
      <c r="AQ45" s="1164">
        <f>SUMIFS(Table91517[Count of EnergyRating],Table91517[MainSpaceHeatingFuel],AL45,Table91517[EnergyRating (group)],AM45,Table91517[CountyName (group)],AQ$4)</f>
        <v>0</v>
      </c>
      <c r="AR45" s="1164">
        <f>SUMIFS(Table91517[Count of EnergyRating],Table91517[MainSpaceHeatingFuel],AL45,Table91517[EnergyRating (group)],AM45,Table91517[CountyName (group)],AR$4)</f>
        <v>0</v>
      </c>
      <c r="AS45" s="1164">
        <f>SUMIFS(Table91517[Count of EnergyRating],Table91517[MainSpaceHeatingFuel],AL45,Table91517[EnergyRating (group)],AM45,Table91517[CountyName (group)],AS$4)</f>
        <v>0</v>
      </c>
      <c r="AT45" s="1164">
        <f>SUMIFS(Table91517[Count of EnergyRating],Table91517[MainSpaceHeatingFuel],AL45,Table91517[EnergyRating (group)],AM45,Table91517[CountyName (group)],AT$4)</f>
        <v>0</v>
      </c>
      <c r="AU45" s="1164">
        <f>SUMIFS(Table91517[Count of EnergyRating],Table91517[MainSpaceHeatingFuel],AL45,Table91517[EnergyRating (group)],AM45,Table91517[CountyName (group)],AU$4)</f>
        <v>0</v>
      </c>
      <c r="AV45" s="1164">
        <f>SUMIFS(Table91517[Count of EnergyRating],Table91517[MainSpaceHeatingFuel],AL45,Table91517[EnergyRating (group)],AM45,Table91517[CountyName (group)],AV$4)</f>
        <v>0</v>
      </c>
      <c r="AW45" s="1164">
        <f>SUMIFS(Table91517[Count of EnergyRating],Table91517[MainSpaceHeatingFuel],AL45,Table91517[EnergyRating (group)],AM45,Table91517[CountyName (group)],AW$4)</f>
        <v>0</v>
      </c>
      <c r="AX45" s="1164">
        <f>SUMIFS(Table91517[Count of EnergyRating],Table91517[MainSpaceHeatingFuel],AL45,Table91517[EnergyRating (group)],AM45,Table91517[CountyName (group)],AX$4)</f>
        <v>0</v>
      </c>
      <c r="AY45" s="1164">
        <f>SUMIFS(Table91517[Count of EnergyRating],Table91517[MainSpaceHeatingFuel],AL45,Table91517[EnergyRating (group)],AM45,Table91517[CountyName (group)],AY$4)</f>
        <v>0</v>
      </c>
      <c r="AZ45" s="1164">
        <f>SUMIFS(Table91517[Count of EnergyRating],Table91517[MainSpaceHeatingFuel],AL45,Table91517[EnergyRating (group)],AM45,Table91517[CountyName (group)],AZ$4)</f>
        <v>0</v>
      </c>
      <c r="BA45" s="1164">
        <f>SUMIFS(Table91517[Count of EnergyRating],Table91517[MainSpaceHeatingFuel],AL45,Table91517[EnergyRating (group)],AM45,Table91517[CountyName (group)],BA$4)</f>
        <v>0</v>
      </c>
      <c r="BB45" s="1164">
        <f>SUMIFS(Table91517[Count of EnergyRating],Table91517[MainSpaceHeatingFuel],AL45,Table91517[EnergyRating (group)],AM45,Table91517[CountyName (group)],BB$4)</f>
        <v>0</v>
      </c>
      <c r="BC45" s="1164">
        <f>SUMIFS(Table91517[Count of EnergyRating],Table91517[MainSpaceHeatingFuel],AL45,Table91517[EnergyRating (group)],AM45,Table91517[CountyName (group)],BC$4)</f>
        <v>0</v>
      </c>
      <c r="BD45" s="1164">
        <f>SUMIFS(Table91517[Count of EnergyRating],Table91517[MainSpaceHeatingFuel],AL45,Table91517[EnergyRating (group)],AM45,Table91517[CountyName (group)],BD$4)</f>
        <v>0</v>
      </c>
      <c r="BE45" s="1164">
        <f>SUMIFS(Table91517[Count of EnergyRating],Table91517[MainSpaceHeatingFuel],AL45,Table91517[EnergyRating (group)],AM45,Table91517[CountyName (group)],BE$4)</f>
        <v>0</v>
      </c>
      <c r="BF45" s="1164">
        <f>SUMIFS(Table91517[Count of EnergyRating],Table91517[MainSpaceHeatingFuel],AL45,Table91517[EnergyRating (group)],AM45,Table91517[CountyName (group)],BF$4)</f>
        <v>0</v>
      </c>
      <c r="BG45" s="1164">
        <f>SUMIFS(Table91517[Count of EnergyRating],Table91517[MainSpaceHeatingFuel],AL45,Table91517[EnergyRating (group)],AM45,Table91517[CountyName (group)],BG$4)</f>
        <v>0</v>
      </c>
      <c r="BH45" s="1164">
        <f>SUMIFS(Table91517[Count of EnergyRating],Table91517[MainSpaceHeatingFuel],AL45,Table91517[EnergyRating (group)],AM45,Table91517[CountyName (group)],BH$4)</f>
        <v>0</v>
      </c>
      <c r="BI45" s="1164">
        <f>SUMIFS(Table91517[Count of EnergyRating],Table91517[MainSpaceHeatingFuel],AL45,Table91517[EnergyRating (group)],AM45,Table91517[CountyName (group)],BI$4)</f>
        <v>0</v>
      </c>
      <c r="BJ45" s="1164">
        <f>SUMIFS(Table91517[Count of EnergyRating],Table91517[MainSpaceHeatingFuel],AL45,Table91517[EnergyRating (group)],AM45,Table91517[CountyName (group)],BJ$4)</f>
        <v>0</v>
      </c>
      <c r="BK45" s="1135">
        <f>SUMIFS(Table91517[Count of EnergyRating],Table91517[MainSpaceHeatingFuel],AL45,Table91517[EnergyRating (group)],AM45,Table91517[CountyName (group)],BK$4)</f>
        <v>0</v>
      </c>
      <c r="BL45" s="1164">
        <f>SUMIFS(Table91517[Count of EnergyRating],Table91517[MainSpaceHeatingFuel],AL45,Table91517[EnergyRating (group)],AM45,Table91517[CountyName (group)],BL$4)</f>
        <v>0</v>
      </c>
      <c r="BM45" s="1164">
        <f>SUMIFS(Table91517[Count of EnergyRating],Table91517[MainSpaceHeatingFuel],AL45,Table91517[EnergyRating (group)],AM45,Table91517[CountyName (group)],BM$4)</f>
        <v>0</v>
      </c>
    </row>
    <row r="46" spans="2:65">
      <c r="B46" s="1136" t="s">
        <v>60</v>
      </c>
      <c r="C46" s="1136" t="s">
        <v>1237</v>
      </c>
      <c r="D46" s="1136" t="s">
        <v>1094</v>
      </c>
      <c r="E46" s="1146">
        <f t="shared" ref="E46:AD46" si="109">IFERROR(G165*((SUM(AN$51)/SUM(AN$45:AN$53))/(SUM(G$165)/SUM(G$162:G$167))),G165)</f>
        <v>0</v>
      </c>
      <c r="F46" s="1146">
        <f t="shared" si="109"/>
        <v>0</v>
      </c>
      <c r="G46" s="1146">
        <f t="shared" si="109"/>
        <v>0</v>
      </c>
      <c r="H46" s="1146">
        <f t="shared" si="109"/>
        <v>0</v>
      </c>
      <c r="I46" s="1146">
        <f t="shared" si="109"/>
        <v>0</v>
      </c>
      <c r="J46" s="1146">
        <f t="shared" si="109"/>
        <v>0</v>
      </c>
      <c r="K46" s="1146">
        <f t="shared" si="109"/>
        <v>0</v>
      </c>
      <c r="L46" s="1146">
        <f t="shared" si="109"/>
        <v>0</v>
      </c>
      <c r="M46" s="1146">
        <f t="shared" si="109"/>
        <v>0</v>
      </c>
      <c r="N46" s="1146">
        <f t="shared" si="109"/>
        <v>0</v>
      </c>
      <c r="O46" s="1146">
        <f t="shared" si="109"/>
        <v>0</v>
      </c>
      <c r="P46" s="1146">
        <f t="shared" si="109"/>
        <v>0</v>
      </c>
      <c r="Q46" s="1146">
        <f t="shared" si="109"/>
        <v>0</v>
      </c>
      <c r="R46" s="1146">
        <f t="shared" si="109"/>
        <v>0</v>
      </c>
      <c r="S46" s="1146">
        <f t="shared" si="109"/>
        <v>0</v>
      </c>
      <c r="T46" s="1146">
        <f t="shared" si="109"/>
        <v>0</v>
      </c>
      <c r="U46" s="1146">
        <f t="shared" si="109"/>
        <v>0</v>
      </c>
      <c r="V46" s="1146">
        <f t="shared" si="109"/>
        <v>0</v>
      </c>
      <c r="W46" s="1146">
        <f t="shared" si="109"/>
        <v>0</v>
      </c>
      <c r="X46" s="1146">
        <f t="shared" si="109"/>
        <v>0</v>
      </c>
      <c r="Y46" s="1146">
        <f t="shared" si="109"/>
        <v>0</v>
      </c>
      <c r="Z46" s="1146">
        <f t="shared" si="109"/>
        <v>0</v>
      </c>
      <c r="AA46" s="1146">
        <f t="shared" si="109"/>
        <v>0</v>
      </c>
      <c r="AB46" s="1146">
        <f t="shared" si="109"/>
        <v>0</v>
      </c>
      <c r="AC46" s="1146">
        <f t="shared" si="109"/>
        <v>0</v>
      </c>
      <c r="AD46" s="1146">
        <f t="shared" si="109"/>
        <v>0</v>
      </c>
      <c r="AE46" s="1173">
        <f t="shared" si="4"/>
        <v>0</v>
      </c>
      <c r="AG46" s="1164"/>
      <c r="AL46" s="1144" t="s">
        <v>399</v>
      </c>
      <c r="AM46" s="1144" t="s">
        <v>50</v>
      </c>
      <c r="AN46" s="1135">
        <f>SUMIFS(Table91517[Count of EnergyRating],Table91517[MainSpaceHeatingFuel],AL46,Table91517[EnergyRating (group)],AM46,Table91517[CountyName (group)],AN$4)</f>
        <v>0</v>
      </c>
      <c r="AO46" s="1164">
        <f>SUMIFS(Table91517[Count of EnergyRating],Table91517[MainSpaceHeatingFuel],AL46,Table91517[EnergyRating (group)],AM46,Table91517[CountyName (group)],AO$4)</f>
        <v>0</v>
      </c>
      <c r="AP46" s="1164">
        <f>SUMIFS(Table91517[Count of EnergyRating],Table91517[MainSpaceHeatingFuel],AL46,Table91517[EnergyRating (group)],AM46,Table91517[CountyName (group)],AP$4)</f>
        <v>0</v>
      </c>
      <c r="AQ46" s="1164">
        <f>SUMIFS(Table91517[Count of EnergyRating],Table91517[MainSpaceHeatingFuel],AL46,Table91517[EnergyRating (group)],AM46,Table91517[CountyName (group)],AQ$4)</f>
        <v>0</v>
      </c>
      <c r="AR46" s="1164">
        <f>SUMIFS(Table91517[Count of EnergyRating],Table91517[MainSpaceHeatingFuel],AL46,Table91517[EnergyRating (group)],AM46,Table91517[CountyName (group)],AR$4)</f>
        <v>0</v>
      </c>
      <c r="AS46" s="1164">
        <f>SUMIFS(Table91517[Count of EnergyRating],Table91517[MainSpaceHeatingFuel],AL46,Table91517[EnergyRating (group)],AM46,Table91517[CountyName (group)],AS$4)</f>
        <v>0</v>
      </c>
      <c r="AT46" s="1164">
        <f>SUMIFS(Table91517[Count of EnergyRating],Table91517[MainSpaceHeatingFuel],AL46,Table91517[EnergyRating (group)],AM46,Table91517[CountyName (group)],AT$4)</f>
        <v>0</v>
      </c>
      <c r="AU46" s="1164">
        <f>SUMIFS(Table91517[Count of EnergyRating],Table91517[MainSpaceHeatingFuel],AL46,Table91517[EnergyRating (group)],AM46,Table91517[CountyName (group)],AU$4)</f>
        <v>0</v>
      </c>
      <c r="AV46" s="1164">
        <f>SUMIFS(Table91517[Count of EnergyRating],Table91517[MainSpaceHeatingFuel],AL46,Table91517[EnergyRating (group)],AM46,Table91517[CountyName (group)],AV$4)</f>
        <v>0</v>
      </c>
      <c r="AW46" s="1164">
        <f>SUMIFS(Table91517[Count of EnergyRating],Table91517[MainSpaceHeatingFuel],AL46,Table91517[EnergyRating (group)],AM46,Table91517[CountyName (group)],AW$4)</f>
        <v>0</v>
      </c>
      <c r="AX46" s="1164">
        <f>SUMIFS(Table91517[Count of EnergyRating],Table91517[MainSpaceHeatingFuel],AL46,Table91517[EnergyRating (group)],AM46,Table91517[CountyName (group)],AX$4)</f>
        <v>0</v>
      </c>
      <c r="AY46" s="1164">
        <f>SUMIFS(Table91517[Count of EnergyRating],Table91517[MainSpaceHeatingFuel],AL46,Table91517[EnergyRating (group)],AM46,Table91517[CountyName (group)],AY$4)</f>
        <v>0</v>
      </c>
      <c r="AZ46" s="1164">
        <f>SUMIFS(Table91517[Count of EnergyRating],Table91517[MainSpaceHeatingFuel],AL46,Table91517[EnergyRating (group)],AM46,Table91517[CountyName (group)],AZ$4)</f>
        <v>0</v>
      </c>
      <c r="BA46" s="1164">
        <f>SUMIFS(Table91517[Count of EnergyRating],Table91517[MainSpaceHeatingFuel],AL46,Table91517[EnergyRating (group)],AM46,Table91517[CountyName (group)],BA$4)</f>
        <v>0</v>
      </c>
      <c r="BB46" s="1164">
        <f>SUMIFS(Table91517[Count of EnergyRating],Table91517[MainSpaceHeatingFuel],AL46,Table91517[EnergyRating (group)],AM46,Table91517[CountyName (group)],BB$4)</f>
        <v>0</v>
      </c>
      <c r="BC46" s="1164">
        <f>SUMIFS(Table91517[Count of EnergyRating],Table91517[MainSpaceHeatingFuel],AL46,Table91517[EnergyRating (group)],AM46,Table91517[CountyName (group)],BC$4)</f>
        <v>0</v>
      </c>
      <c r="BD46" s="1164">
        <f>SUMIFS(Table91517[Count of EnergyRating],Table91517[MainSpaceHeatingFuel],AL46,Table91517[EnergyRating (group)],AM46,Table91517[CountyName (group)],BD$4)</f>
        <v>0</v>
      </c>
      <c r="BE46" s="1164">
        <f>SUMIFS(Table91517[Count of EnergyRating],Table91517[MainSpaceHeatingFuel],AL46,Table91517[EnergyRating (group)],AM46,Table91517[CountyName (group)],BE$4)</f>
        <v>0</v>
      </c>
      <c r="BF46" s="1164">
        <f>SUMIFS(Table91517[Count of EnergyRating],Table91517[MainSpaceHeatingFuel],AL46,Table91517[EnergyRating (group)],AM46,Table91517[CountyName (group)],BF$4)</f>
        <v>0</v>
      </c>
      <c r="BG46" s="1164">
        <f>SUMIFS(Table91517[Count of EnergyRating],Table91517[MainSpaceHeatingFuel],AL46,Table91517[EnergyRating (group)],AM46,Table91517[CountyName (group)],BG$4)</f>
        <v>0</v>
      </c>
      <c r="BH46" s="1164">
        <f>SUMIFS(Table91517[Count of EnergyRating],Table91517[MainSpaceHeatingFuel],AL46,Table91517[EnergyRating (group)],AM46,Table91517[CountyName (group)],BH$4)</f>
        <v>0</v>
      </c>
      <c r="BI46" s="1164">
        <f>SUMIFS(Table91517[Count of EnergyRating],Table91517[MainSpaceHeatingFuel],AL46,Table91517[EnergyRating (group)],AM46,Table91517[CountyName (group)],BI$4)</f>
        <v>0</v>
      </c>
      <c r="BJ46" s="1164">
        <f>SUMIFS(Table91517[Count of EnergyRating],Table91517[MainSpaceHeatingFuel],AL46,Table91517[EnergyRating (group)],AM46,Table91517[CountyName (group)],BJ$4)</f>
        <v>0</v>
      </c>
      <c r="BK46" s="1135">
        <f>SUMIFS(Table91517[Count of EnergyRating],Table91517[MainSpaceHeatingFuel],AL46,Table91517[EnergyRating (group)],AM46,Table91517[CountyName (group)],BK$4)</f>
        <v>0</v>
      </c>
      <c r="BL46" s="1164">
        <f>SUMIFS(Table91517[Count of EnergyRating],Table91517[MainSpaceHeatingFuel],AL46,Table91517[EnergyRating (group)],AM46,Table91517[CountyName (group)],BL$4)</f>
        <v>0</v>
      </c>
      <c r="BM46" s="1164">
        <f>SUMIFS(Table91517[Count of EnergyRating],Table91517[MainSpaceHeatingFuel],AL46,Table91517[EnergyRating (group)],AM46,Table91517[CountyName (group)],BM$4)</f>
        <v>0</v>
      </c>
    </row>
    <row r="47" spans="2:65">
      <c r="B47" s="1134" t="s">
        <v>62</v>
      </c>
      <c r="C47" s="1134" t="s">
        <v>1237</v>
      </c>
      <c r="D47" s="1134" t="s">
        <v>1094</v>
      </c>
      <c r="E47" s="1145">
        <f t="shared" ref="E47:AD47" si="110">IFERROR(G166*((SUM(AN$52)/SUM(AN$45:AN$53))/(SUM(G$166)/SUM(G$162:G$167))),G166)</f>
        <v>0</v>
      </c>
      <c r="F47" s="1145">
        <f t="shared" si="110"/>
        <v>0</v>
      </c>
      <c r="G47" s="1145">
        <f t="shared" si="110"/>
        <v>0</v>
      </c>
      <c r="H47" s="1145">
        <f t="shared" si="110"/>
        <v>0</v>
      </c>
      <c r="I47" s="1145">
        <f t="shared" si="110"/>
        <v>0</v>
      </c>
      <c r="J47" s="1145">
        <f t="shared" si="110"/>
        <v>0</v>
      </c>
      <c r="K47" s="1145">
        <f t="shared" si="110"/>
        <v>0</v>
      </c>
      <c r="L47" s="1145">
        <f t="shared" si="110"/>
        <v>0</v>
      </c>
      <c r="M47" s="1145">
        <f t="shared" si="110"/>
        <v>0</v>
      </c>
      <c r="N47" s="1145">
        <f t="shared" si="110"/>
        <v>0</v>
      </c>
      <c r="O47" s="1145">
        <f t="shared" si="110"/>
        <v>0</v>
      </c>
      <c r="P47" s="1145">
        <f t="shared" si="110"/>
        <v>0</v>
      </c>
      <c r="Q47" s="1145">
        <f t="shared" si="110"/>
        <v>0</v>
      </c>
      <c r="R47" s="1145">
        <f t="shared" si="110"/>
        <v>0</v>
      </c>
      <c r="S47" s="1145">
        <f t="shared" si="110"/>
        <v>0</v>
      </c>
      <c r="T47" s="1145">
        <f t="shared" si="110"/>
        <v>0</v>
      </c>
      <c r="U47" s="1145">
        <f t="shared" si="110"/>
        <v>0</v>
      </c>
      <c r="V47" s="1145">
        <f t="shared" si="110"/>
        <v>0</v>
      </c>
      <c r="W47" s="1145">
        <f t="shared" si="110"/>
        <v>0</v>
      </c>
      <c r="X47" s="1145">
        <f t="shared" si="110"/>
        <v>0</v>
      </c>
      <c r="Y47" s="1145">
        <f t="shared" si="110"/>
        <v>0</v>
      </c>
      <c r="Z47" s="1145">
        <f t="shared" si="110"/>
        <v>0</v>
      </c>
      <c r="AA47" s="1145">
        <f t="shared" si="110"/>
        <v>0</v>
      </c>
      <c r="AB47" s="1145">
        <f t="shared" si="110"/>
        <v>0</v>
      </c>
      <c r="AC47" s="1145">
        <f t="shared" si="110"/>
        <v>0</v>
      </c>
      <c r="AD47" s="1145">
        <f t="shared" si="110"/>
        <v>0</v>
      </c>
      <c r="AE47" s="1172">
        <f t="shared" si="4"/>
        <v>0</v>
      </c>
      <c r="AG47" s="1164"/>
      <c r="AL47" s="1144" t="s">
        <v>399</v>
      </c>
      <c r="AM47" s="1144" t="s">
        <v>52</v>
      </c>
      <c r="AN47" s="1135">
        <f>SUMIFS(Table91517[Count of EnergyRating],Table91517[MainSpaceHeatingFuel],AL47,Table91517[EnergyRating (group)],AM47,Table91517[CountyName (group)],AN$4)</f>
        <v>0</v>
      </c>
      <c r="AO47" s="1164">
        <f>SUMIFS(Table91517[Count of EnergyRating],Table91517[MainSpaceHeatingFuel],AL47,Table91517[EnergyRating (group)],AM47,Table91517[CountyName (group)],AO$4)</f>
        <v>0</v>
      </c>
      <c r="AP47" s="1164">
        <f>SUMIFS(Table91517[Count of EnergyRating],Table91517[MainSpaceHeatingFuel],AL47,Table91517[EnergyRating (group)],AM47,Table91517[CountyName (group)],AP$4)</f>
        <v>0</v>
      </c>
      <c r="AQ47" s="1164">
        <f>SUMIFS(Table91517[Count of EnergyRating],Table91517[MainSpaceHeatingFuel],AL47,Table91517[EnergyRating (group)],AM47,Table91517[CountyName (group)],AQ$4)</f>
        <v>0</v>
      </c>
      <c r="AR47" s="1164">
        <f>SUMIFS(Table91517[Count of EnergyRating],Table91517[MainSpaceHeatingFuel],AL47,Table91517[EnergyRating (group)],AM47,Table91517[CountyName (group)],AR$4)</f>
        <v>0</v>
      </c>
      <c r="AS47" s="1164">
        <f>SUMIFS(Table91517[Count of EnergyRating],Table91517[MainSpaceHeatingFuel],AL47,Table91517[EnergyRating (group)],AM47,Table91517[CountyName (group)],AS$4)</f>
        <v>0</v>
      </c>
      <c r="AT47" s="1164">
        <f>SUMIFS(Table91517[Count of EnergyRating],Table91517[MainSpaceHeatingFuel],AL47,Table91517[EnergyRating (group)],AM47,Table91517[CountyName (group)],AT$4)</f>
        <v>0</v>
      </c>
      <c r="AU47" s="1164">
        <f>SUMIFS(Table91517[Count of EnergyRating],Table91517[MainSpaceHeatingFuel],AL47,Table91517[EnergyRating (group)],AM47,Table91517[CountyName (group)],AU$4)</f>
        <v>0</v>
      </c>
      <c r="AV47" s="1164">
        <f>SUMIFS(Table91517[Count of EnergyRating],Table91517[MainSpaceHeatingFuel],AL47,Table91517[EnergyRating (group)],AM47,Table91517[CountyName (group)],AV$4)</f>
        <v>0</v>
      </c>
      <c r="AW47" s="1164">
        <f>SUMIFS(Table91517[Count of EnergyRating],Table91517[MainSpaceHeatingFuel],AL47,Table91517[EnergyRating (group)],AM47,Table91517[CountyName (group)],AW$4)</f>
        <v>0</v>
      </c>
      <c r="AX47" s="1164">
        <f>SUMIFS(Table91517[Count of EnergyRating],Table91517[MainSpaceHeatingFuel],AL47,Table91517[EnergyRating (group)],AM47,Table91517[CountyName (group)],AX$4)</f>
        <v>0</v>
      </c>
      <c r="AY47" s="1164">
        <f>SUMIFS(Table91517[Count of EnergyRating],Table91517[MainSpaceHeatingFuel],AL47,Table91517[EnergyRating (group)],AM47,Table91517[CountyName (group)],AY$4)</f>
        <v>0</v>
      </c>
      <c r="AZ47" s="1164">
        <f>SUMIFS(Table91517[Count of EnergyRating],Table91517[MainSpaceHeatingFuel],AL47,Table91517[EnergyRating (group)],AM47,Table91517[CountyName (group)],AZ$4)</f>
        <v>0</v>
      </c>
      <c r="BA47" s="1164">
        <f>SUMIFS(Table91517[Count of EnergyRating],Table91517[MainSpaceHeatingFuel],AL47,Table91517[EnergyRating (group)],AM47,Table91517[CountyName (group)],BA$4)</f>
        <v>0</v>
      </c>
      <c r="BB47" s="1164">
        <f>SUMIFS(Table91517[Count of EnergyRating],Table91517[MainSpaceHeatingFuel],AL47,Table91517[EnergyRating (group)],AM47,Table91517[CountyName (group)],BB$4)</f>
        <v>0</v>
      </c>
      <c r="BC47" s="1164">
        <f>SUMIFS(Table91517[Count of EnergyRating],Table91517[MainSpaceHeatingFuel],AL47,Table91517[EnergyRating (group)],AM47,Table91517[CountyName (group)],BC$4)</f>
        <v>0</v>
      </c>
      <c r="BD47" s="1164">
        <f>SUMIFS(Table91517[Count of EnergyRating],Table91517[MainSpaceHeatingFuel],AL47,Table91517[EnergyRating (group)],AM47,Table91517[CountyName (group)],BD$4)</f>
        <v>0</v>
      </c>
      <c r="BE47" s="1164">
        <f>SUMIFS(Table91517[Count of EnergyRating],Table91517[MainSpaceHeatingFuel],AL47,Table91517[EnergyRating (group)],AM47,Table91517[CountyName (group)],BE$4)</f>
        <v>0</v>
      </c>
      <c r="BF47" s="1164">
        <f>SUMIFS(Table91517[Count of EnergyRating],Table91517[MainSpaceHeatingFuel],AL47,Table91517[EnergyRating (group)],AM47,Table91517[CountyName (group)],BF$4)</f>
        <v>0</v>
      </c>
      <c r="BG47" s="1164">
        <f>SUMIFS(Table91517[Count of EnergyRating],Table91517[MainSpaceHeatingFuel],AL47,Table91517[EnergyRating (group)],AM47,Table91517[CountyName (group)],BG$4)</f>
        <v>0</v>
      </c>
      <c r="BH47" s="1164">
        <f>SUMIFS(Table91517[Count of EnergyRating],Table91517[MainSpaceHeatingFuel],AL47,Table91517[EnergyRating (group)],AM47,Table91517[CountyName (group)],BH$4)</f>
        <v>0</v>
      </c>
      <c r="BI47" s="1164">
        <f>SUMIFS(Table91517[Count of EnergyRating],Table91517[MainSpaceHeatingFuel],AL47,Table91517[EnergyRating (group)],AM47,Table91517[CountyName (group)],BI$4)</f>
        <v>0</v>
      </c>
      <c r="BJ47" s="1164">
        <f>SUMIFS(Table91517[Count of EnergyRating],Table91517[MainSpaceHeatingFuel],AL47,Table91517[EnergyRating (group)],AM47,Table91517[CountyName (group)],BJ$4)</f>
        <v>0</v>
      </c>
      <c r="BK47" s="1135">
        <f>SUMIFS(Table91517[Count of EnergyRating],Table91517[MainSpaceHeatingFuel],AL47,Table91517[EnergyRating (group)],AM47,Table91517[CountyName (group)],BK$4)</f>
        <v>0</v>
      </c>
      <c r="BL47" s="1164">
        <f>SUMIFS(Table91517[Count of EnergyRating],Table91517[MainSpaceHeatingFuel],AL47,Table91517[EnergyRating (group)],AM47,Table91517[CountyName (group)],BL$4)</f>
        <v>0</v>
      </c>
      <c r="BM47" s="1164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38" t="s">
        <v>64</v>
      </c>
      <c r="C48" s="1138" t="s">
        <v>1237</v>
      </c>
      <c r="D48" s="1138" t="s">
        <v>1094</v>
      </c>
      <c r="E48" s="1147">
        <f t="shared" ref="E48:AD48" si="111">IFERROR(G167*((SUM(AN$53)/SUM(AN$45:AN$53))/(SUM(G$167)/SUM(G$162:G$167))),G167)</f>
        <v>0</v>
      </c>
      <c r="F48" s="1147">
        <f t="shared" si="111"/>
        <v>0</v>
      </c>
      <c r="G48" s="1147">
        <f t="shared" si="111"/>
        <v>0</v>
      </c>
      <c r="H48" s="1147">
        <f t="shared" si="111"/>
        <v>0</v>
      </c>
      <c r="I48" s="1147">
        <f t="shared" si="111"/>
        <v>0</v>
      </c>
      <c r="J48" s="1147">
        <f t="shared" si="111"/>
        <v>0</v>
      </c>
      <c r="K48" s="1147">
        <f t="shared" si="111"/>
        <v>0</v>
      </c>
      <c r="L48" s="1147">
        <f t="shared" si="111"/>
        <v>0</v>
      </c>
      <c r="M48" s="1147">
        <f t="shared" si="111"/>
        <v>0</v>
      </c>
      <c r="N48" s="1147">
        <f t="shared" si="111"/>
        <v>0</v>
      </c>
      <c r="O48" s="1147">
        <f t="shared" si="111"/>
        <v>0</v>
      </c>
      <c r="P48" s="1147">
        <f t="shared" si="111"/>
        <v>0</v>
      </c>
      <c r="Q48" s="1147">
        <f t="shared" si="111"/>
        <v>0</v>
      </c>
      <c r="R48" s="1147">
        <f t="shared" si="111"/>
        <v>0</v>
      </c>
      <c r="S48" s="1147">
        <f t="shared" si="111"/>
        <v>0</v>
      </c>
      <c r="T48" s="1147">
        <f t="shared" si="111"/>
        <v>0</v>
      </c>
      <c r="U48" s="1147">
        <f t="shared" si="111"/>
        <v>0</v>
      </c>
      <c r="V48" s="1147">
        <f t="shared" si="111"/>
        <v>0</v>
      </c>
      <c r="W48" s="1147">
        <f t="shared" si="111"/>
        <v>0</v>
      </c>
      <c r="X48" s="1147">
        <f t="shared" si="111"/>
        <v>0</v>
      </c>
      <c r="Y48" s="1147">
        <f t="shared" si="111"/>
        <v>0</v>
      </c>
      <c r="Z48" s="1147">
        <f t="shared" si="111"/>
        <v>0</v>
      </c>
      <c r="AA48" s="1147">
        <f t="shared" si="111"/>
        <v>0</v>
      </c>
      <c r="AB48" s="1147">
        <f t="shared" si="111"/>
        <v>0</v>
      </c>
      <c r="AC48" s="1147">
        <f t="shared" si="111"/>
        <v>0</v>
      </c>
      <c r="AD48" s="1147">
        <f t="shared" si="111"/>
        <v>0</v>
      </c>
      <c r="AE48" s="1174">
        <f t="shared" si="4"/>
        <v>0</v>
      </c>
      <c r="AG48" s="1164"/>
      <c r="AL48" s="1144" t="s">
        <v>399</v>
      </c>
      <c r="AM48" s="1144" t="s">
        <v>54</v>
      </c>
      <c r="AN48" s="1135">
        <f>SUMIFS(Table91517[Count of EnergyRating],Table91517[MainSpaceHeatingFuel],AL48,Table91517[EnergyRating (group)],AM48,Table91517[CountyName (group)],AN$4)</f>
        <v>0</v>
      </c>
      <c r="AO48" s="1164">
        <f>SUMIFS(Table91517[Count of EnergyRating],Table91517[MainSpaceHeatingFuel],AL48,Table91517[EnergyRating (group)],AM48,Table91517[CountyName (group)],AO$4)</f>
        <v>0</v>
      </c>
      <c r="AP48" s="1164">
        <f>SUMIFS(Table91517[Count of EnergyRating],Table91517[MainSpaceHeatingFuel],AL48,Table91517[EnergyRating (group)],AM48,Table91517[CountyName (group)],AP$4)</f>
        <v>0</v>
      </c>
      <c r="AQ48" s="1164">
        <f>SUMIFS(Table91517[Count of EnergyRating],Table91517[MainSpaceHeatingFuel],AL48,Table91517[EnergyRating (group)],AM48,Table91517[CountyName (group)],AQ$4)</f>
        <v>0</v>
      </c>
      <c r="AR48" s="1164">
        <f>SUMIFS(Table91517[Count of EnergyRating],Table91517[MainSpaceHeatingFuel],AL48,Table91517[EnergyRating (group)],AM48,Table91517[CountyName (group)],AR$4)</f>
        <v>0</v>
      </c>
      <c r="AS48" s="1164">
        <f>SUMIFS(Table91517[Count of EnergyRating],Table91517[MainSpaceHeatingFuel],AL48,Table91517[EnergyRating (group)],AM48,Table91517[CountyName (group)],AS$4)</f>
        <v>0</v>
      </c>
      <c r="AT48" s="1164">
        <f>SUMIFS(Table91517[Count of EnergyRating],Table91517[MainSpaceHeatingFuel],AL48,Table91517[EnergyRating (group)],AM48,Table91517[CountyName (group)],AT$4)</f>
        <v>0</v>
      </c>
      <c r="AU48" s="1164">
        <f>SUMIFS(Table91517[Count of EnergyRating],Table91517[MainSpaceHeatingFuel],AL48,Table91517[EnergyRating (group)],AM48,Table91517[CountyName (group)],AU$4)</f>
        <v>0</v>
      </c>
      <c r="AV48" s="1164">
        <f>SUMIFS(Table91517[Count of EnergyRating],Table91517[MainSpaceHeatingFuel],AL48,Table91517[EnergyRating (group)],AM48,Table91517[CountyName (group)],AV$4)</f>
        <v>0</v>
      </c>
      <c r="AW48" s="1164">
        <f>SUMIFS(Table91517[Count of EnergyRating],Table91517[MainSpaceHeatingFuel],AL48,Table91517[EnergyRating (group)],AM48,Table91517[CountyName (group)],AW$4)</f>
        <v>0</v>
      </c>
      <c r="AX48" s="1164">
        <f>SUMIFS(Table91517[Count of EnergyRating],Table91517[MainSpaceHeatingFuel],AL48,Table91517[EnergyRating (group)],AM48,Table91517[CountyName (group)],AX$4)</f>
        <v>0</v>
      </c>
      <c r="AY48" s="1164">
        <f>SUMIFS(Table91517[Count of EnergyRating],Table91517[MainSpaceHeatingFuel],AL48,Table91517[EnergyRating (group)],AM48,Table91517[CountyName (group)],AY$4)</f>
        <v>0</v>
      </c>
      <c r="AZ48" s="1164">
        <f>SUMIFS(Table91517[Count of EnergyRating],Table91517[MainSpaceHeatingFuel],AL48,Table91517[EnergyRating (group)],AM48,Table91517[CountyName (group)],AZ$4)</f>
        <v>0</v>
      </c>
      <c r="BA48" s="1164">
        <f>SUMIFS(Table91517[Count of EnergyRating],Table91517[MainSpaceHeatingFuel],AL48,Table91517[EnergyRating (group)],AM48,Table91517[CountyName (group)],BA$4)</f>
        <v>0</v>
      </c>
      <c r="BB48" s="1164">
        <f>SUMIFS(Table91517[Count of EnergyRating],Table91517[MainSpaceHeatingFuel],AL48,Table91517[EnergyRating (group)],AM48,Table91517[CountyName (group)],BB$4)</f>
        <v>0</v>
      </c>
      <c r="BC48" s="1164">
        <f>SUMIFS(Table91517[Count of EnergyRating],Table91517[MainSpaceHeatingFuel],AL48,Table91517[EnergyRating (group)],AM48,Table91517[CountyName (group)],BC$4)</f>
        <v>0</v>
      </c>
      <c r="BD48" s="1164">
        <f>SUMIFS(Table91517[Count of EnergyRating],Table91517[MainSpaceHeatingFuel],AL48,Table91517[EnergyRating (group)],AM48,Table91517[CountyName (group)],BD$4)</f>
        <v>0</v>
      </c>
      <c r="BE48" s="1164">
        <f>SUMIFS(Table91517[Count of EnergyRating],Table91517[MainSpaceHeatingFuel],AL48,Table91517[EnergyRating (group)],AM48,Table91517[CountyName (group)],BE$4)</f>
        <v>0</v>
      </c>
      <c r="BF48" s="1164">
        <f>SUMIFS(Table91517[Count of EnergyRating],Table91517[MainSpaceHeatingFuel],AL48,Table91517[EnergyRating (group)],AM48,Table91517[CountyName (group)],BF$4)</f>
        <v>0</v>
      </c>
      <c r="BG48" s="1164">
        <f>SUMIFS(Table91517[Count of EnergyRating],Table91517[MainSpaceHeatingFuel],AL48,Table91517[EnergyRating (group)],AM48,Table91517[CountyName (group)],BG$4)</f>
        <v>0</v>
      </c>
      <c r="BH48" s="1164">
        <f>SUMIFS(Table91517[Count of EnergyRating],Table91517[MainSpaceHeatingFuel],AL48,Table91517[EnergyRating (group)],AM48,Table91517[CountyName (group)],BH$4)</f>
        <v>0</v>
      </c>
      <c r="BI48" s="1164">
        <f>SUMIFS(Table91517[Count of EnergyRating],Table91517[MainSpaceHeatingFuel],AL48,Table91517[EnergyRating (group)],AM48,Table91517[CountyName (group)],BI$4)</f>
        <v>0</v>
      </c>
      <c r="BJ48" s="1164">
        <f>SUMIFS(Table91517[Count of EnergyRating],Table91517[MainSpaceHeatingFuel],AL48,Table91517[EnergyRating (group)],AM48,Table91517[CountyName (group)],BJ$4)</f>
        <v>0</v>
      </c>
      <c r="BK48" s="1135">
        <f>SUMIFS(Table91517[Count of EnergyRating],Table91517[MainSpaceHeatingFuel],AL48,Table91517[EnergyRating (group)],AM48,Table91517[CountyName (group)],BK$4)</f>
        <v>0</v>
      </c>
      <c r="BL48" s="1164">
        <f>SUMIFS(Table91517[Count of EnergyRating],Table91517[MainSpaceHeatingFuel],AL48,Table91517[EnergyRating (group)],AM48,Table91517[CountyName (group)],BL$4)</f>
        <v>0</v>
      </c>
      <c r="BM48" s="1164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38" t="s">
        <v>1075</v>
      </c>
      <c r="C49" s="1138" t="s">
        <v>1237</v>
      </c>
      <c r="D49" s="1138" t="s">
        <v>1094</v>
      </c>
      <c r="E49" s="1147">
        <f>SUM(E43:E48)</f>
        <v>0</v>
      </c>
      <c r="F49" s="1147">
        <f t="shared" ref="F49" si="112">SUM(F43:F48)</f>
        <v>0</v>
      </c>
      <c r="G49" s="1147">
        <f t="shared" ref="G49" si="113">SUM(G43:G48)</f>
        <v>0</v>
      </c>
      <c r="H49" s="1147">
        <f t="shared" ref="H49" si="114">SUM(H43:H48)</f>
        <v>0</v>
      </c>
      <c r="I49" s="1147">
        <f t="shared" ref="I49" si="115">SUM(I43:I48)</f>
        <v>0</v>
      </c>
      <c r="J49" s="1147">
        <f t="shared" ref="J49" si="116">SUM(J43:J48)</f>
        <v>0</v>
      </c>
      <c r="K49" s="1147">
        <f t="shared" ref="K49" si="117">SUM(K43:K48)</f>
        <v>0</v>
      </c>
      <c r="L49" s="1147">
        <f t="shared" ref="L49" si="118">SUM(L43:L48)</f>
        <v>0</v>
      </c>
      <c r="M49" s="1147">
        <f t="shared" ref="M49" si="119">SUM(M43:M48)</f>
        <v>0</v>
      </c>
      <c r="N49" s="1147">
        <f t="shared" ref="N49" si="120">SUM(N43:N48)</f>
        <v>0</v>
      </c>
      <c r="O49" s="1147">
        <f t="shared" ref="O49" si="121">SUM(O43:O48)</f>
        <v>0</v>
      </c>
      <c r="P49" s="1147">
        <f t="shared" ref="P49" si="122">SUM(P43:P48)</f>
        <v>0</v>
      </c>
      <c r="Q49" s="1147">
        <f t="shared" ref="Q49" si="123">SUM(Q43:Q48)</f>
        <v>0</v>
      </c>
      <c r="R49" s="1147">
        <f t="shared" ref="R49" si="124">SUM(R43:R48)</f>
        <v>0</v>
      </c>
      <c r="S49" s="1147">
        <f t="shared" ref="S49" si="125">SUM(S43:S48)</f>
        <v>0</v>
      </c>
      <c r="T49" s="1147">
        <f t="shared" ref="T49" si="126">SUM(T43:T48)</f>
        <v>0</v>
      </c>
      <c r="U49" s="1147">
        <f t="shared" ref="U49" si="127">SUM(U43:U48)</f>
        <v>0</v>
      </c>
      <c r="V49" s="1147">
        <f t="shared" ref="V49" si="128">SUM(V43:V48)</f>
        <v>0</v>
      </c>
      <c r="W49" s="1147">
        <f t="shared" ref="W49" si="129">SUM(W43:W48)</f>
        <v>0</v>
      </c>
      <c r="X49" s="1147">
        <f t="shared" ref="X49" si="130">SUM(X43:X48)</f>
        <v>0</v>
      </c>
      <c r="Y49" s="1147">
        <f t="shared" ref="Y49" si="131">SUM(Y43:Y48)</f>
        <v>0</v>
      </c>
      <c r="Z49" s="1147">
        <f t="shared" ref="Z49" si="132">SUM(Z43:Z48)</f>
        <v>0</v>
      </c>
      <c r="AA49" s="1147">
        <f t="shared" ref="AA49" si="133">SUM(AA43:AA48)</f>
        <v>0</v>
      </c>
      <c r="AB49" s="1147">
        <f t="shared" ref="AB49" si="134">SUM(AB43:AB48)</f>
        <v>0</v>
      </c>
      <c r="AC49" s="1147">
        <f t="shared" ref="AC49" si="135">SUM(AC43:AC48)</f>
        <v>0</v>
      </c>
      <c r="AD49" s="1147">
        <f t="shared" ref="AD49" si="136">SUM(AD43:AD48)</f>
        <v>0</v>
      </c>
      <c r="AE49" s="1147">
        <f t="shared" ref="AE49" si="137">SUM(AE43:AE48)</f>
        <v>0</v>
      </c>
      <c r="AG49" s="1164"/>
      <c r="AL49" s="1144" t="s">
        <v>399</v>
      </c>
      <c r="AM49" s="1144" t="s">
        <v>56</v>
      </c>
      <c r="AN49" s="1135">
        <f>SUMIFS(Table91517[Count of EnergyRating],Table91517[MainSpaceHeatingFuel],AL49,Table91517[EnergyRating (group)],AM49,Table91517[CountyName (group)],AN$4)</f>
        <v>0</v>
      </c>
      <c r="AO49" s="1164">
        <f>SUMIFS(Table91517[Count of EnergyRating],Table91517[MainSpaceHeatingFuel],AL49,Table91517[EnergyRating (group)],AM49,Table91517[CountyName (group)],AO$4)</f>
        <v>0</v>
      </c>
      <c r="AP49" s="1164">
        <f>SUMIFS(Table91517[Count of EnergyRating],Table91517[MainSpaceHeatingFuel],AL49,Table91517[EnergyRating (group)],AM49,Table91517[CountyName (group)],AP$4)</f>
        <v>0</v>
      </c>
      <c r="AQ49" s="1164">
        <f>SUMIFS(Table91517[Count of EnergyRating],Table91517[MainSpaceHeatingFuel],AL49,Table91517[EnergyRating (group)],AM49,Table91517[CountyName (group)],AQ$4)</f>
        <v>0</v>
      </c>
      <c r="AR49" s="1164">
        <f>SUMIFS(Table91517[Count of EnergyRating],Table91517[MainSpaceHeatingFuel],AL49,Table91517[EnergyRating (group)],AM49,Table91517[CountyName (group)],AR$4)</f>
        <v>0</v>
      </c>
      <c r="AS49" s="1164">
        <f>SUMIFS(Table91517[Count of EnergyRating],Table91517[MainSpaceHeatingFuel],AL49,Table91517[EnergyRating (group)],AM49,Table91517[CountyName (group)],AS$4)</f>
        <v>0</v>
      </c>
      <c r="AT49" s="1164">
        <f>SUMIFS(Table91517[Count of EnergyRating],Table91517[MainSpaceHeatingFuel],AL49,Table91517[EnergyRating (group)],AM49,Table91517[CountyName (group)],AT$4)</f>
        <v>0</v>
      </c>
      <c r="AU49" s="1164">
        <f>SUMIFS(Table91517[Count of EnergyRating],Table91517[MainSpaceHeatingFuel],AL49,Table91517[EnergyRating (group)],AM49,Table91517[CountyName (group)],AU$4)</f>
        <v>0</v>
      </c>
      <c r="AV49" s="1164">
        <f>SUMIFS(Table91517[Count of EnergyRating],Table91517[MainSpaceHeatingFuel],AL49,Table91517[EnergyRating (group)],AM49,Table91517[CountyName (group)],AV$4)</f>
        <v>0</v>
      </c>
      <c r="AW49" s="1164">
        <f>SUMIFS(Table91517[Count of EnergyRating],Table91517[MainSpaceHeatingFuel],AL49,Table91517[EnergyRating (group)],AM49,Table91517[CountyName (group)],AW$4)</f>
        <v>0</v>
      </c>
      <c r="AX49" s="1164">
        <f>SUMIFS(Table91517[Count of EnergyRating],Table91517[MainSpaceHeatingFuel],AL49,Table91517[EnergyRating (group)],AM49,Table91517[CountyName (group)],AX$4)</f>
        <v>0</v>
      </c>
      <c r="AY49" s="1164">
        <f>SUMIFS(Table91517[Count of EnergyRating],Table91517[MainSpaceHeatingFuel],AL49,Table91517[EnergyRating (group)],AM49,Table91517[CountyName (group)],AY$4)</f>
        <v>0</v>
      </c>
      <c r="AZ49" s="1164">
        <f>SUMIFS(Table91517[Count of EnergyRating],Table91517[MainSpaceHeatingFuel],AL49,Table91517[EnergyRating (group)],AM49,Table91517[CountyName (group)],AZ$4)</f>
        <v>0</v>
      </c>
      <c r="BA49" s="1164">
        <f>SUMIFS(Table91517[Count of EnergyRating],Table91517[MainSpaceHeatingFuel],AL49,Table91517[EnergyRating (group)],AM49,Table91517[CountyName (group)],BA$4)</f>
        <v>0</v>
      </c>
      <c r="BB49" s="1164">
        <f>SUMIFS(Table91517[Count of EnergyRating],Table91517[MainSpaceHeatingFuel],AL49,Table91517[EnergyRating (group)],AM49,Table91517[CountyName (group)],BB$4)</f>
        <v>0</v>
      </c>
      <c r="BC49" s="1164">
        <f>SUMIFS(Table91517[Count of EnergyRating],Table91517[MainSpaceHeatingFuel],AL49,Table91517[EnergyRating (group)],AM49,Table91517[CountyName (group)],BC$4)</f>
        <v>0</v>
      </c>
      <c r="BD49" s="1164">
        <f>SUMIFS(Table91517[Count of EnergyRating],Table91517[MainSpaceHeatingFuel],AL49,Table91517[EnergyRating (group)],AM49,Table91517[CountyName (group)],BD$4)</f>
        <v>0</v>
      </c>
      <c r="BE49" s="1164">
        <f>SUMIFS(Table91517[Count of EnergyRating],Table91517[MainSpaceHeatingFuel],AL49,Table91517[EnergyRating (group)],AM49,Table91517[CountyName (group)],BE$4)</f>
        <v>0</v>
      </c>
      <c r="BF49" s="1164">
        <f>SUMIFS(Table91517[Count of EnergyRating],Table91517[MainSpaceHeatingFuel],AL49,Table91517[EnergyRating (group)],AM49,Table91517[CountyName (group)],BF$4)</f>
        <v>0</v>
      </c>
      <c r="BG49" s="1164">
        <f>SUMIFS(Table91517[Count of EnergyRating],Table91517[MainSpaceHeatingFuel],AL49,Table91517[EnergyRating (group)],AM49,Table91517[CountyName (group)],BG$4)</f>
        <v>0</v>
      </c>
      <c r="BH49" s="1164">
        <f>SUMIFS(Table91517[Count of EnergyRating],Table91517[MainSpaceHeatingFuel],AL49,Table91517[EnergyRating (group)],AM49,Table91517[CountyName (group)],BH$4)</f>
        <v>0</v>
      </c>
      <c r="BI49" s="1164">
        <f>SUMIFS(Table91517[Count of EnergyRating],Table91517[MainSpaceHeatingFuel],AL49,Table91517[EnergyRating (group)],AM49,Table91517[CountyName (group)],BI$4)</f>
        <v>0</v>
      </c>
      <c r="BJ49" s="1164">
        <f>SUMIFS(Table91517[Count of EnergyRating],Table91517[MainSpaceHeatingFuel],AL49,Table91517[EnergyRating (group)],AM49,Table91517[CountyName (group)],BJ$4)</f>
        <v>0</v>
      </c>
      <c r="BK49" s="1135">
        <f>SUMIFS(Table91517[Count of EnergyRating],Table91517[MainSpaceHeatingFuel],AL49,Table91517[EnergyRating (group)],AM49,Table91517[CountyName (group)],BK$4)</f>
        <v>0</v>
      </c>
      <c r="BL49" s="1164">
        <f>SUMIFS(Table91517[Count of EnergyRating],Table91517[MainSpaceHeatingFuel],AL49,Table91517[EnergyRating (group)],AM49,Table91517[CountyName (group)],BL$4)</f>
        <v>0</v>
      </c>
      <c r="BM49" s="1164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65"/>
      <c r="C50" s="1165" t="s">
        <v>1238</v>
      </c>
      <c r="D50" s="1165" t="s">
        <v>1094</v>
      </c>
      <c r="E50" s="1166">
        <f t="shared" ref="E50:AD50" si="138">G168</f>
        <v>8.2316497623164425E-5</v>
      </c>
      <c r="F50" s="1166">
        <f t="shared" si="138"/>
        <v>4.2736658429397295E-4</v>
      </c>
      <c r="G50" s="1166">
        <f t="shared" si="138"/>
        <v>2.306148242264622E-4</v>
      </c>
      <c r="H50" s="1166">
        <f t="shared" si="138"/>
        <v>1.5898165638330542E-4</v>
      </c>
      <c r="I50" s="1166">
        <f t="shared" si="138"/>
        <v>1.2400825079627486E-4</v>
      </c>
      <c r="J50" s="1166">
        <f t="shared" si="138"/>
        <v>7.3960076420522908E-5</v>
      </c>
      <c r="K50" s="1166">
        <f t="shared" si="138"/>
        <v>1.4357432567411256E-4</v>
      </c>
      <c r="L50" s="1166">
        <f t="shared" si="138"/>
        <v>2.612034944995046E-4</v>
      </c>
      <c r="M50" s="1166">
        <f t="shared" si="138"/>
        <v>1.2150145179013921E-4</v>
      </c>
      <c r="N50" s="1166">
        <f t="shared" si="138"/>
        <v>1.2802109977767383E-4</v>
      </c>
      <c r="O50" s="1166">
        <f t="shared" si="138"/>
        <v>2.578109155505351E-4</v>
      </c>
      <c r="P50" s="1166">
        <f t="shared" si="138"/>
        <v>1.7144821082863026E-4</v>
      </c>
      <c r="Q50" s="1166">
        <f t="shared" si="138"/>
        <v>1.9954340094275325E-4</v>
      </c>
      <c r="R50" s="1166">
        <f t="shared" si="138"/>
        <v>6.7504989188655652E-4</v>
      </c>
      <c r="S50" s="1166">
        <f t="shared" si="138"/>
        <v>2.7682271400181289E-4</v>
      </c>
      <c r="T50" s="1166">
        <f t="shared" si="138"/>
        <v>2.4923103598777487E-4</v>
      </c>
      <c r="U50" s="1166">
        <f t="shared" si="138"/>
        <v>2.660810089598977E-4</v>
      </c>
      <c r="V50" s="1166">
        <f t="shared" si="138"/>
        <v>1.4567435841794459E-4</v>
      </c>
      <c r="W50" s="1166">
        <f t="shared" si="138"/>
        <v>4.2138070572818906E-4</v>
      </c>
      <c r="X50" s="1166">
        <f t="shared" si="138"/>
        <v>6.9259067082879936E-5</v>
      </c>
      <c r="Y50" s="1166">
        <f t="shared" si="138"/>
        <v>2.6405881660425141E-4</v>
      </c>
      <c r="Z50" s="1166">
        <f t="shared" si="138"/>
        <v>1.3759483638205443E-4</v>
      </c>
      <c r="AA50" s="1166">
        <f t="shared" si="138"/>
        <v>1.1029975468288492E-4</v>
      </c>
      <c r="AB50" s="1166">
        <f t="shared" si="138"/>
        <v>1.3789072426251137E-4</v>
      </c>
      <c r="AC50" s="1166">
        <f t="shared" si="138"/>
        <v>3.1001630735479909E-4</v>
      </c>
      <c r="AD50" s="1166">
        <f t="shared" si="138"/>
        <v>1.0771918681543732E-4</v>
      </c>
      <c r="AE50" s="1175">
        <f t="shared" si="4"/>
        <v>5.5514291969740448E-3</v>
      </c>
      <c r="AG50" s="1164"/>
      <c r="AL50" s="1144" t="s">
        <v>399</v>
      </c>
      <c r="AM50" s="1144" t="s">
        <v>58</v>
      </c>
      <c r="AN50" s="1135">
        <f>SUMIFS(Table91517[Count of EnergyRating],Table91517[MainSpaceHeatingFuel],AL50,Table91517[EnergyRating (group)],AM50,Table91517[CountyName (group)],AN$4)</f>
        <v>0</v>
      </c>
      <c r="AO50" s="1164">
        <f>SUMIFS(Table91517[Count of EnergyRating],Table91517[MainSpaceHeatingFuel],AL50,Table91517[EnergyRating (group)],AM50,Table91517[CountyName (group)],AO$4)</f>
        <v>0</v>
      </c>
      <c r="AP50" s="1164">
        <f>SUMIFS(Table91517[Count of EnergyRating],Table91517[MainSpaceHeatingFuel],AL50,Table91517[EnergyRating (group)],AM50,Table91517[CountyName (group)],AP$4)</f>
        <v>0</v>
      </c>
      <c r="AQ50" s="1164">
        <f>SUMIFS(Table91517[Count of EnergyRating],Table91517[MainSpaceHeatingFuel],AL50,Table91517[EnergyRating (group)],AM50,Table91517[CountyName (group)],AQ$4)</f>
        <v>0</v>
      </c>
      <c r="AR50" s="1164">
        <f>SUMIFS(Table91517[Count of EnergyRating],Table91517[MainSpaceHeatingFuel],AL50,Table91517[EnergyRating (group)],AM50,Table91517[CountyName (group)],AR$4)</f>
        <v>0</v>
      </c>
      <c r="AS50" s="1164">
        <f>SUMIFS(Table91517[Count of EnergyRating],Table91517[MainSpaceHeatingFuel],AL50,Table91517[EnergyRating (group)],AM50,Table91517[CountyName (group)],AS$4)</f>
        <v>0</v>
      </c>
      <c r="AT50" s="1164">
        <f>SUMIFS(Table91517[Count of EnergyRating],Table91517[MainSpaceHeatingFuel],AL50,Table91517[EnergyRating (group)],AM50,Table91517[CountyName (group)],AT$4)</f>
        <v>0</v>
      </c>
      <c r="AU50" s="1164">
        <f>SUMIFS(Table91517[Count of EnergyRating],Table91517[MainSpaceHeatingFuel],AL50,Table91517[EnergyRating (group)],AM50,Table91517[CountyName (group)],AU$4)</f>
        <v>0</v>
      </c>
      <c r="AV50" s="1164">
        <f>SUMIFS(Table91517[Count of EnergyRating],Table91517[MainSpaceHeatingFuel],AL50,Table91517[EnergyRating (group)],AM50,Table91517[CountyName (group)],AV$4)</f>
        <v>0</v>
      </c>
      <c r="AW50" s="1164">
        <f>SUMIFS(Table91517[Count of EnergyRating],Table91517[MainSpaceHeatingFuel],AL50,Table91517[EnergyRating (group)],AM50,Table91517[CountyName (group)],AW$4)</f>
        <v>0</v>
      </c>
      <c r="AX50" s="1164">
        <f>SUMIFS(Table91517[Count of EnergyRating],Table91517[MainSpaceHeatingFuel],AL50,Table91517[EnergyRating (group)],AM50,Table91517[CountyName (group)],AX$4)</f>
        <v>0</v>
      </c>
      <c r="AY50" s="1164">
        <f>SUMIFS(Table91517[Count of EnergyRating],Table91517[MainSpaceHeatingFuel],AL50,Table91517[EnergyRating (group)],AM50,Table91517[CountyName (group)],AY$4)</f>
        <v>0</v>
      </c>
      <c r="AZ50" s="1164">
        <f>SUMIFS(Table91517[Count of EnergyRating],Table91517[MainSpaceHeatingFuel],AL50,Table91517[EnergyRating (group)],AM50,Table91517[CountyName (group)],AZ$4)</f>
        <v>0</v>
      </c>
      <c r="BA50" s="1164">
        <f>SUMIFS(Table91517[Count of EnergyRating],Table91517[MainSpaceHeatingFuel],AL50,Table91517[EnergyRating (group)],AM50,Table91517[CountyName (group)],BA$4)</f>
        <v>0</v>
      </c>
      <c r="BB50" s="1164">
        <f>SUMIFS(Table91517[Count of EnergyRating],Table91517[MainSpaceHeatingFuel],AL50,Table91517[EnergyRating (group)],AM50,Table91517[CountyName (group)],BB$4)</f>
        <v>0</v>
      </c>
      <c r="BC50" s="1164">
        <f>SUMIFS(Table91517[Count of EnergyRating],Table91517[MainSpaceHeatingFuel],AL50,Table91517[EnergyRating (group)],AM50,Table91517[CountyName (group)],BC$4)</f>
        <v>0</v>
      </c>
      <c r="BD50" s="1164">
        <f>SUMIFS(Table91517[Count of EnergyRating],Table91517[MainSpaceHeatingFuel],AL50,Table91517[EnergyRating (group)],AM50,Table91517[CountyName (group)],BD$4)</f>
        <v>0</v>
      </c>
      <c r="BE50" s="1164">
        <f>SUMIFS(Table91517[Count of EnergyRating],Table91517[MainSpaceHeatingFuel],AL50,Table91517[EnergyRating (group)],AM50,Table91517[CountyName (group)],BE$4)</f>
        <v>0</v>
      </c>
      <c r="BF50" s="1164">
        <f>SUMIFS(Table91517[Count of EnergyRating],Table91517[MainSpaceHeatingFuel],AL50,Table91517[EnergyRating (group)],AM50,Table91517[CountyName (group)],BF$4)</f>
        <v>0</v>
      </c>
      <c r="BG50" s="1164">
        <f>SUMIFS(Table91517[Count of EnergyRating],Table91517[MainSpaceHeatingFuel],AL50,Table91517[EnergyRating (group)],AM50,Table91517[CountyName (group)],BG$4)</f>
        <v>0</v>
      </c>
      <c r="BH50" s="1164">
        <f>SUMIFS(Table91517[Count of EnergyRating],Table91517[MainSpaceHeatingFuel],AL50,Table91517[EnergyRating (group)],AM50,Table91517[CountyName (group)],BH$4)</f>
        <v>0</v>
      </c>
      <c r="BI50" s="1164">
        <f>SUMIFS(Table91517[Count of EnergyRating],Table91517[MainSpaceHeatingFuel],AL50,Table91517[EnergyRating (group)],AM50,Table91517[CountyName (group)],BI$4)</f>
        <v>0</v>
      </c>
      <c r="BJ50" s="1164">
        <f>SUMIFS(Table91517[Count of EnergyRating],Table91517[MainSpaceHeatingFuel],AL50,Table91517[EnergyRating (group)],AM50,Table91517[CountyName (group)],BJ$4)</f>
        <v>0</v>
      </c>
      <c r="BK50" s="1135">
        <f>SUMIFS(Table91517[Count of EnergyRating],Table91517[MainSpaceHeatingFuel],AL50,Table91517[EnergyRating (group)],AM50,Table91517[CountyName (group)],BK$4)</f>
        <v>0</v>
      </c>
      <c r="BL50" s="1164">
        <f>SUMIFS(Table91517[Count of EnergyRating],Table91517[MainSpaceHeatingFuel],AL50,Table91517[EnergyRating (group)],AM50,Table91517[CountyName (group)],BL$4)</f>
        <v>0</v>
      </c>
      <c r="BM50" s="1164">
        <f>SUMIFS(Table91517[Count of EnergyRating],Table91517[MainSpaceHeatingFuel],AL50,Table91517[EnergyRating (group)],AM50,Table91517[CountyName (group)],BM$4)</f>
        <v>0</v>
      </c>
    </row>
    <row r="51" spans="2:65" ht="15">
      <c r="B51" s="1137"/>
      <c r="C51" s="1137" t="s">
        <v>1215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G51" s="1164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SUMIFS(Table91517[Count of EnergyRating],Table91517[MainSpaceHeatingFuel],AL51,Table91517[EnergyRating (group)],AM51,Table91517[CountyName (group)],AN$4)</f>
        <v>0</v>
      </c>
      <c r="AO51" s="1164">
        <f>SUMIFS(Table91517[Count of EnergyRating],Table91517[MainSpaceHeatingFuel],AL51,Table91517[EnergyRating (group)],AM51,Table91517[CountyName (group)],AO$4)</f>
        <v>0</v>
      </c>
      <c r="AP51" s="1164">
        <f>SUMIFS(Table91517[Count of EnergyRating],Table91517[MainSpaceHeatingFuel],AL51,Table91517[EnergyRating (group)],AM51,Table91517[CountyName (group)],AP$4)</f>
        <v>0</v>
      </c>
      <c r="AQ51" s="1164">
        <f>SUMIFS(Table91517[Count of EnergyRating],Table91517[MainSpaceHeatingFuel],AL51,Table91517[EnergyRating (group)],AM51,Table91517[CountyName (group)],AQ$4)</f>
        <v>0</v>
      </c>
      <c r="AR51" s="1164">
        <f>SUMIFS(Table91517[Count of EnergyRating],Table91517[MainSpaceHeatingFuel],AL51,Table91517[EnergyRating (group)],AM51,Table91517[CountyName (group)],AR$4)</f>
        <v>0</v>
      </c>
      <c r="AS51" s="1164">
        <f>SUMIFS(Table91517[Count of EnergyRating],Table91517[MainSpaceHeatingFuel],AL51,Table91517[EnergyRating (group)],AM51,Table91517[CountyName (group)],AS$4)</f>
        <v>0</v>
      </c>
      <c r="AT51" s="1164">
        <f>SUMIFS(Table91517[Count of EnergyRating],Table91517[MainSpaceHeatingFuel],AL51,Table91517[EnergyRating (group)],AM51,Table91517[CountyName (group)],AT$4)</f>
        <v>0</v>
      </c>
      <c r="AU51" s="1164">
        <f>SUMIFS(Table91517[Count of EnergyRating],Table91517[MainSpaceHeatingFuel],AL51,Table91517[EnergyRating (group)],AM51,Table91517[CountyName (group)],AU$4)</f>
        <v>0</v>
      </c>
      <c r="AV51" s="1164">
        <f>SUMIFS(Table91517[Count of EnergyRating],Table91517[MainSpaceHeatingFuel],AL51,Table91517[EnergyRating (group)],AM51,Table91517[CountyName (group)],AV$4)</f>
        <v>0</v>
      </c>
      <c r="AW51" s="1164">
        <f>SUMIFS(Table91517[Count of EnergyRating],Table91517[MainSpaceHeatingFuel],AL51,Table91517[EnergyRating (group)],AM51,Table91517[CountyName (group)],AW$4)</f>
        <v>0</v>
      </c>
      <c r="AX51" s="1164">
        <f>SUMIFS(Table91517[Count of EnergyRating],Table91517[MainSpaceHeatingFuel],AL51,Table91517[EnergyRating (group)],AM51,Table91517[CountyName (group)],AX$4)</f>
        <v>0</v>
      </c>
      <c r="AY51" s="1164">
        <f>SUMIFS(Table91517[Count of EnergyRating],Table91517[MainSpaceHeatingFuel],AL51,Table91517[EnergyRating (group)],AM51,Table91517[CountyName (group)],AY$4)</f>
        <v>0</v>
      </c>
      <c r="AZ51" s="1164">
        <f>SUMIFS(Table91517[Count of EnergyRating],Table91517[MainSpaceHeatingFuel],AL51,Table91517[EnergyRating (group)],AM51,Table91517[CountyName (group)],AZ$4)</f>
        <v>0</v>
      </c>
      <c r="BA51" s="1164">
        <f>SUMIFS(Table91517[Count of EnergyRating],Table91517[MainSpaceHeatingFuel],AL51,Table91517[EnergyRating (group)],AM51,Table91517[CountyName (group)],BA$4)</f>
        <v>0</v>
      </c>
      <c r="BB51" s="1164">
        <f>SUMIFS(Table91517[Count of EnergyRating],Table91517[MainSpaceHeatingFuel],AL51,Table91517[EnergyRating (group)],AM51,Table91517[CountyName (group)],BB$4)</f>
        <v>0</v>
      </c>
      <c r="BC51" s="1164">
        <f>SUMIFS(Table91517[Count of EnergyRating],Table91517[MainSpaceHeatingFuel],AL51,Table91517[EnergyRating (group)],AM51,Table91517[CountyName (group)],BC$4)</f>
        <v>0</v>
      </c>
      <c r="BD51" s="1164">
        <f>SUMIFS(Table91517[Count of EnergyRating],Table91517[MainSpaceHeatingFuel],AL51,Table91517[EnergyRating (group)],AM51,Table91517[CountyName (group)],BD$4)</f>
        <v>0</v>
      </c>
      <c r="BE51" s="1164">
        <f>SUMIFS(Table91517[Count of EnergyRating],Table91517[MainSpaceHeatingFuel],AL51,Table91517[EnergyRating (group)],AM51,Table91517[CountyName (group)],BE$4)</f>
        <v>0</v>
      </c>
      <c r="BF51" s="1164">
        <f>SUMIFS(Table91517[Count of EnergyRating],Table91517[MainSpaceHeatingFuel],AL51,Table91517[EnergyRating (group)],AM51,Table91517[CountyName (group)],BF$4)</f>
        <v>0</v>
      </c>
      <c r="BG51" s="1164">
        <f>SUMIFS(Table91517[Count of EnergyRating],Table91517[MainSpaceHeatingFuel],AL51,Table91517[EnergyRating (group)],AM51,Table91517[CountyName (group)],BG$4)</f>
        <v>0</v>
      </c>
      <c r="BH51" s="1164">
        <f>SUMIFS(Table91517[Count of EnergyRating],Table91517[MainSpaceHeatingFuel],AL51,Table91517[EnergyRating (group)],AM51,Table91517[CountyName (group)],BH$4)</f>
        <v>0</v>
      </c>
      <c r="BI51" s="1164">
        <f>SUMIFS(Table91517[Count of EnergyRating],Table91517[MainSpaceHeatingFuel],AL51,Table91517[EnergyRating (group)],AM51,Table91517[CountyName (group)],BI$4)</f>
        <v>0</v>
      </c>
      <c r="BJ51" s="1164">
        <f>SUMIFS(Table91517[Count of EnergyRating],Table91517[MainSpaceHeatingFuel],AL51,Table91517[EnergyRating (group)],AM51,Table91517[CountyName (group)],BJ$4)</f>
        <v>0</v>
      </c>
      <c r="BK51" s="1135">
        <f>SUMIFS(Table91517[Count of EnergyRating],Table91517[MainSpaceHeatingFuel],AL51,Table91517[EnergyRating (group)],AM51,Table91517[CountyName (group)],BK$4)</f>
        <v>0</v>
      </c>
      <c r="BL51" s="1164">
        <f>SUMIFS(Table91517[Count of EnergyRating],Table91517[MainSpaceHeatingFuel],AL51,Table91517[EnergyRating (group)],AM51,Table91517[CountyName (group)],BL$4)</f>
        <v>0</v>
      </c>
      <c r="BM51" s="1164">
        <f>SUMIFS(Table91517[Count of EnergyRating],Table91517[MainSpaceHeatingFuel],AL51,Table91517[EnergyRating (group)],AM51,Table91517[CountyName (group)],BM$4)</f>
        <v>0</v>
      </c>
    </row>
    <row r="52" spans="2:65" ht="15">
      <c r="B52" s="1134" t="s">
        <v>1259</v>
      </c>
      <c r="C52" s="1134" t="s">
        <v>1239</v>
      </c>
      <c r="D52" s="1134" t="s">
        <v>1094</v>
      </c>
      <c r="E52" s="1145">
        <f t="shared" ref="E52:AD52" si="139">IFERROR(G170*((SUM(AN$55:AN$58)/SUM(AN$55:AN$63))/(SUM(G$170)/SUM(G$170:G$175))),G170)</f>
        <v>3.6708463876915183E-2</v>
      </c>
      <c r="F52" s="1145">
        <f t="shared" si="139"/>
        <v>0.48899104748352668</v>
      </c>
      <c r="G52" s="1145">
        <f t="shared" si="139"/>
        <v>0.13609505663143326</v>
      </c>
      <c r="H52" s="1145">
        <f t="shared" si="139"/>
        <v>4.7023356506086605E-2</v>
      </c>
      <c r="I52" s="1145">
        <f t="shared" si="139"/>
        <v>8.3351641552560793E-2</v>
      </c>
      <c r="J52" s="1145">
        <f t="shared" si="139"/>
        <v>8.245494135469154E-3</v>
      </c>
      <c r="K52" s="1145">
        <f t="shared" si="139"/>
        <v>8.9555301259225548E-2</v>
      </c>
      <c r="L52" s="1145">
        <f t="shared" si="139"/>
        <v>0.15142642258821151</v>
      </c>
      <c r="M52" s="1145">
        <f t="shared" si="139"/>
        <v>4.250540881590114E-2</v>
      </c>
      <c r="N52" s="1145">
        <f t="shared" si="139"/>
        <v>7.7808295288442048E-2</v>
      </c>
      <c r="O52" s="1145">
        <f t="shared" si="139"/>
        <v>0.12423117254200085</v>
      </c>
      <c r="P52" s="1145">
        <f t="shared" si="139"/>
        <v>0.10103130839089783</v>
      </c>
      <c r="Q52" s="1145">
        <f t="shared" si="139"/>
        <v>0.12835778325275432</v>
      </c>
      <c r="R52" s="1145">
        <f t="shared" si="139"/>
        <v>0.41121140171724563</v>
      </c>
      <c r="S52" s="1145">
        <f t="shared" si="139"/>
        <v>0.21129197815822667</v>
      </c>
      <c r="T52" s="1145">
        <f t="shared" si="139"/>
        <v>0.1104890484059655</v>
      </c>
      <c r="U52" s="1145">
        <f t="shared" si="139"/>
        <v>0.12636630714375593</v>
      </c>
      <c r="V52" s="1145">
        <f t="shared" si="139"/>
        <v>3.1782707377004692E-2</v>
      </c>
      <c r="W52" s="1145">
        <f t="shared" si="139"/>
        <v>0.39572162159795915</v>
      </c>
      <c r="X52" s="1145">
        <f t="shared" si="139"/>
        <v>3.7350021195749858E-2</v>
      </c>
      <c r="Y52" s="1145">
        <f t="shared" si="139"/>
        <v>0.1381987810251098</v>
      </c>
      <c r="Z52" s="1145">
        <f t="shared" si="139"/>
        <v>7.9239025789796635E-2</v>
      </c>
      <c r="AA52" s="1145">
        <f t="shared" si="139"/>
        <v>7.5461416122353811E-2</v>
      </c>
      <c r="AB52" s="1145">
        <f t="shared" si="139"/>
        <v>0.10941346846881639</v>
      </c>
      <c r="AC52" s="1145">
        <f t="shared" si="139"/>
        <v>5.9577173334710791E-2</v>
      </c>
      <c r="AD52" s="1145">
        <f t="shared" si="139"/>
        <v>6.2447599082958861E-2</v>
      </c>
      <c r="AE52" s="1172">
        <f t="shared" si="4"/>
        <v>3.3638813017430791</v>
      </c>
      <c r="AG52" s="58" t="s">
        <v>1163</v>
      </c>
      <c r="AH52" s="1158">
        <f>SUM(E52:AD57)</f>
        <v>16.09153555085997</v>
      </c>
      <c r="AI52" s="1140">
        <f>'SHWLP-Det'!S10</f>
        <v>16.091535550859977</v>
      </c>
      <c r="AJ52" s="1160">
        <f>IFERROR((AI52-AH52)/AI52,"N/A")</f>
        <v>4.4156304009291817E-16</v>
      </c>
      <c r="AL52" s="1144" t="s">
        <v>399</v>
      </c>
      <c r="AM52" s="1144" t="s">
        <v>62</v>
      </c>
      <c r="AN52" s="1135">
        <f>SUMIFS(Table91517[Count of EnergyRating],Table91517[MainSpaceHeatingFuel],AL52,Table91517[EnergyRating (group)],AM52,Table91517[CountyName (group)],AN$4)</f>
        <v>0</v>
      </c>
      <c r="AO52" s="1164">
        <f>SUMIFS(Table91517[Count of EnergyRating],Table91517[MainSpaceHeatingFuel],AL52,Table91517[EnergyRating (group)],AM52,Table91517[CountyName (group)],AO$4)</f>
        <v>0</v>
      </c>
      <c r="AP52" s="1164">
        <f>SUMIFS(Table91517[Count of EnergyRating],Table91517[MainSpaceHeatingFuel],AL52,Table91517[EnergyRating (group)],AM52,Table91517[CountyName (group)],AP$4)</f>
        <v>0</v>
      </c>
      <c r="AQ52" s="1164">
        <f>SUMIFS(Table91517[Count of EnergyRating],Table91517[MainSpaceHeatingFuel],AL52,Table91517[EnergyRating (group)],AM52,Table91517[CountyName (group)],AQ$4)</f>
        <v>0</v>
      </c>
      <c r="AR52" s="1164">
        <f>SUMIFS(Table91517[Count of EnergyRating],Table91517[MainSpaceHeatingFuel],AL52,Table91517[EnergyRating (group)],AM52,Table91517[CountyName (group)],AR$4)</f>
        <v>0</v>
      </c>
      <c r="AS52" s="1164">
        <f>SUMIFS(Table91517[Count of EnergyRating],Table91517[MainSpaceHeatingFuel],AL52,Table91517[EnergyRating (group)],AM52,Table91517[CountyName (group)],AS$4)</f>
        <v>0</v>
      </c>
      <c r="AT52" s="1164">
        <f>SUMIFS(Table91517[Count of EnergyRating],Table91517[MainSpaceHeatingFuel],AL52,Table91517[EnergyRating (group)],AM52,Table91517[CountyName (group)],AT$4)</f>
        <v>0</v>
      </c>
      <c r="AU52" s="1164">
        <f>SUMIFS(Table91517[Count of EnergyRating],Table91517[MainSpaceHeatingFuel],AL52,Table91517[EnergyRating (group)],AM52,Table91517[CountyName (group)],AU$4)</f>
        <v>0</v>
      </c>
      <c r="AV52" s="1164">
        <f>SUMIFS(Table91517[Count of EnergyRating],Table91517[MainSpaceHeatingFuel],AL52,Table91517[EnergyRating (group)],AM52,Table91517[CountyName (group)],AV$4)</f>
        <v>0</v>
      </c>
      <c r="AW52" s="1164">
        <f>SUMIFS(Table91517[Count of EnergyRating],Table91517[MainSpaceHeatingFuel],AL52,Table91517[EnergyRating (group)],AM52,Table91517[CountyName (group)],AW$4)</f>
        <v>0</v>
      </c>
      <c r="AX52" s="1164">
        <f>SUMIFS(Table91517[Count of EnergyRating],Table91517[MainSpaceHeatingFuel],AL52,Table91517[EnergyRating (group)],AM52,Table91517[CountyName (group)],AX$4)</f>
        <v>0</v>
      </c>
      <c r="AY52" s="1164">
        <f>SUMIFS(Table91517[Count of EnergyRating],Table91517[MainSpaceHeatingFuel],AL52,Table91517[EnergyRating (group)],AM52,Table91517[CountyName (group)],AY$4)</f>
        <v>0</v>
      </c>
      <c r="AZ52" s="1164">
        <f>SUMIFS(Table91517[Count of EnergyRating],Table91517[MainSpaceHeatingFuel],AL52,Table91517[EnergyRating (group)],AM52,Table91517[CountyName (group)],AZ$4)</f>
        <v>0</v>
      </c>
      <c r="BA52" s="1164">
        <f>SUMIFS(Table91517[Count of EnergyRating],Table91517[MainSpaceHeatingFuel],AL52,Table91517[EnergyRating (group)],AM52,Table91517[CountyName (group)],BA$4)</f>
        <v>0</v>
      </c>
      <c r="BB52" s="1164">
        <f>SUMIFS(Table91517[Count of EnergyRating],Table91517[MainSpaceHeatingFuel],AL52,Table91517[EnergyRating (group)],AM52,Table91517[CountyName (group)],BB$4)</f>
        <v>0</v>
      </c>
      <c r="BC52" s="1164">
        <f>SUMIFS(Table91517[Count of EnergyRating],Table91517[MainSpaceHeatingFuel],AL52,Table91517[EnergyRating (group)],AM52,Table91517[CountyName (group)],BC$4)</f>
        <v>0</v>
      </c>
      <c r="BD52" s="1164">
        <f>SUMIFS(Table91517[Count of EnergyRating],Table91517[MainSpaceHeatingFuel],AL52,Table91517[EnergyRating (group)],AM52,Table91517[CountyName (group)],BD$4)</f>
        <v>0</v>
      </c>
      <c r="BE52" s="1164">
        <f>SUMIFS(Table91517[Count of EnergyRating],Table91517[MainSpaceHeatingFuel],AL52,Table91517[EnergyRating (group)],AM52,Table91517[CountyName (group)],BE$4)</f>
        <v>0</v>
      </c>
      <c r="BF52" s="1152">
        <f>SUMIFS(Table91517[Count of EnergyRating],Table91517[MainSpaceHeatingFuel],AL52,Table91517[EnergyRating (group)],AM52,Table91517[CountyName (group)],BF$4)</f>
        <v>0</v>
      </c>
      <c r="BG52" s="1164">
        <f>SUMIFS(Table91517[Count of EnergyRating],Table91517[MainSpaceHeatingFuel],AL52,Table91517[EnergyRating (group)],AM52,Table91517[CountyName (group)],BG$4)</f>
        <v>0</v>
      </c>
      <c r="BH52" s="1164">
        <f>SUMIFS(Table91517[Count of EnergyRating],Table91517[MainSpaceHeatingFuel],AL52,Table91517[EnergyRating (group)],AM52,Table91517[CountyName (group)],BH$4)</f>
        <v>0</v>
      </c>
      <c r="BI52" s="1164">
        <f>SUMIFS(Table91517[Count of EnergyRating],Table91517[MainSpaceHeatingFuel],AL52,Table91517[EnergyRating (group)],AM52,Table91517[CountyName (group)],BI$4)</f>
        <v>0</v>
      </c>
      <c r="BJ52" s="1164">
        <f>SUMIFS(Table91517[Count of EnergyRating],Table91517[MainSpaceHeatingFuel],AL52,Table91517[EnergyRating (group)],AM52,Table91517[CountyName (group)],BJ$4)</f>
        <v>0</v>
      </c>
      <c r="BK52" s="1135">
        <f>SUMIFS(Table91517[Count of EnergyRating],Table91517[MainSpaceHeatingFuel],AL52,Table91517[EnergyRating (group)],AM52,Table91517[CountyName (group)],BK$4)</f>
        <v>0</v>
      </c>
      <c r="BL52" s="1164">
        <f>SUMIFS(Table91517[Count of EnergyRating],Table91517[MainSpaceHeatingFuel],AL52,Table91517[EnergyRating (group)],AM52,Table91517[CountyName (group)],BL$4)</f>
        <v>0</v>
      </c>
      <c r="BM52" s="1164">
        <f>SUMIFS(Table91517[Count of EnergyRating],Table91517[MainSpaceHeatingFuel],AL52,Table91517[EnergyRating (group)],AM52,Table91517[CountyName (group)],BM$4)</f>
        <v>0</v>
      </c>
    </row>
    <row r="53" spans="2:65" ht="15">
      <c r="B53" s="1136" t="s">
        <v>56</v>
      </c>
      <c r="C53" s="1136" t="s">
        <v>1239</v>
      </c>
      <c r="D53" s="1136" t="s">
        <v>1094</v>
      </c>
      <c r="E53" s="1146">
        <f t="shared" ref="E53:AD53" si="140">IFERROR(G171*((SUM(AN$59)/SUM(AN$55:AN$63))/(SUM(G$171)/SUM(G$170:G$175))),G171)</f>
        <v>0.13459770088202233</v>
      </c>
      <c r="F53" s="1146">
        <f t="shared" si="140"/>
        <v>0.4129257734305336</v>
      </c>
      <c r="G53" s="1146">
        <f t="shared" si="140"/>
        <v>0.4042823741110223</v>
      </c>
      <c r="H53" s="1146">
        <f t="shared" si="140"/>
        <v>0.22100977557860702</v>
      </c>
      <c r="I53" s="1146">
        <f t="shared" si="140"/>
        <v>0.14065589511994633</v>
      </c>
      <c r="J53" s="1146">
        <f t="shared" si="140"/>
        <v>0.14182249913006945</v>
      </c>
      <c r="K53" s="1146">
        <f t="shared" si="140"/>
        <v>0.21598631480166156</v>
      </c>
      <c r="L53" s="1146">
        <f t="shared" si="140"/>
        <v>0.3919272114047827</v>
      </c>
      <c r="M53" s="1146">
        <f t="shared" si="140"/>
        <v>0.15787723274477564</v>
      </c>
      <c r="N53" s="1146">
        <f t="shared" si="140"/>
        <v>0.18554285799551568</v>
      </c>
      <c r="O53" s="1146">
        <f t="shared" si="140"/>
        <v>0.35740352715929474</v>
      </c>
      <c r="P53" s="1146">
        <f t="shared" si="140"/>
        <v>0.21298492039162242</v>
      </c>
      <c r="Q53" s="1146">
        <f t="shared" si="140"/>
        <v>0.26939287843170656</v>
      </c>
      <c r="R53" s="1146">
        <f t="shared" si="140"/>
        <v>0.82935333267691658</v>
      </c>
      <c r="S53" s="1146">
        <f t="shared" si="140"/>
        <v>0.37101865212307661</v>
      </c>
      <c r="T53" s="1146">
        <f t="shared" si="140"/>
        <v>0.27622262101491374</v>
      </c>
      <c r="U53" s="1146">
        <f t="shared" si="140"/>
        <v>0.42267351010152848</v>
      </c>
      <c r="V53" s="1146">
        <f t="shared" si="140"/>
        <v>0.23837030532753517</v>
      </c>
      <c r="W53" s="1146">
        <f t="shared" si="140"/>
        <v>0.51906342573238795</v>
      </c>
      <c r="X53" s="1146">
        <f t="shared" si="140"/>
        <v>0.11049381270409335</v>
      </c>
      <c r="Y53" s="1146">
        <f t="shared" si="140"/>
        <v>0.38270431668491944</v>
      </c>
      <c r="Z53" s="1146">
        <f t="shared" si="140"/>
        <v>0.21922797135177072</v>
      </c>
      <c r="AA53" s="1146">
        <f t="shared" si="140"/>
        <v>0.14695117876458375</v>
      </c>
      <c r="AB53" s="1146">
        <f t="shared" si="140"/>
        <v>0.20319644144208754</v>
      </c>
      <c r="AC53" s="1146">
        <f t="shared" si="140"/>
        <v>0.28795633778443552</v>
      </c>
      <c r="AD53" s="1146">
        <f t="shared" si="140"/>
        <v>0.14987423779910125</v>
      </c>
      <c r="AE53" s="1173">
        <f t="shared" si="4"/>
        <v>7.4035151046889114</v>
      </c>
      <c r="AG53" s="58" t="s">
        <v>1107</v>
      </c>
      <c r="AH53" s="1158">
        <f>SUM(E59:AD59)</f>
        <v>15.154152636169824</v>
      </c>
      <c r="AI53" s="1140">
        <f>'SHWLP-Det'!S36</f>
        <v>15.154152636169824</v>
      </c>
      <c r="AJ53" s="1160">
        <f>(AI53-AH53)/AI53</f>
        <v>0</v>
      </c>
      <c r="AL53" s="1144" t="s">
        <v>399</v>
      </c>
      <c r="AM53" s="1144" t="s">
        <v>64</v>
      </c>
      <c r="AN53" s="1135">
        <f>SUMIFS(Table91517[Count of EnergyRating],Table91517[MainSpaceHeatingFuel],AL53,Table91517[EnergyRating (group)],AM53,Table91517[CountyName (group)],AN$4)</f>
        <v>0</v>
      </c>
      <c r="AO53" s="1164">
        <f>SUMIFS(Table91517[Count of EnergyRating],Table91517[MainSpaceHeatingFuel],AL53,Table91517[EnergyRating (group)],AM53,Table91517[CountyName (group)],AO$4)</f>
        <v>0</v>
      </c>
      <c r="AP53" s="1164">
        <f>SUMIFS(Table91517[Count of EnergyRating],Table91517[MainSpaceHeatingFuel],AL53,Table91517[EnergyRating (group)],AM53,Table91517[CountyName (group)],AP$4)</f>
        <v>0</v>
      </c>
      <c r="AQ53" s="1164">
        <f>SUMIFS(Table91517[Count of EnergyRating],Table91517[MainSpaceHeatingFuel],AL53,Table91517[EnergyRating (group)],AM53,Table91517[CountyName (group)],AQ$4)</f>
        <v>0</v>
      </c>
      <c r="AR53" s="1164">
        <f>SUMIFS(Table91517[Count of EnergyRating],Table91517[MainSpaceHeatingFuel],AL53,Table91517[EnergyRating (group)],AM53,Table91517[CountyName (group)],AR$4)</f>
        <v>0</v>
      </c>
      <c r="AS53" s="1164">
        <f>SUMIFS(Table91517[Count of EnergyRating],Table91517[MainSpaceHeatingFuel],AL53,Table91517[EnergyRating (group)],AM53,Table91517[CountyName (group)],AS$4)</f>
        <v>0</v>
      </c>
      <c r="AT53" s="1164">
        <f>SUMIFS(Table91517[Count of EnergyRating],Table91517[MainSpaceHeatingFuel],AL53,Table91517[EnergyRating (group)],AM53,Table91517[CountyName (group)],AT$4)</f>
        <v>0</v>
      </c>
      <c r="AU53" s="1164">
        <f>SUMIFS(Table91517[Count of EnergyRating],Table91517[MainSpaceHeatingFuel],AL53,Table91517[EnergyRating (group)],AM53,Table91517[CountyName (group)],AU$4)</f>
        <v>0</v>
      </c>
      <c r="AV53" s="1164">
        <f>SUMIFS(Table91517[Count of EnergyRating],Table91517[MainSpaceHeatingFuel],AL53,Table91517[EnergyRating (group)],AM53,Table91517[CountyName (group)],AV$4)</f>
        <v>0</v>
      </c>
      <c r="AW53" s="1164">
        <f>SUMIFS(Table91517[Count of EnergyRating],Table91517[MainSpaceHeatingFuel],AL53,Table91517[EnergyRating (group)],AM53,Table91517[CountyName (group)],AW$4)</f>
        <v>0</v>
      </c>
      <c r="AX53" s="1164">
        <f>SUMIFS(Table91517[Count of EnergyRating],Table91517[MainSpaceHeatingFuel],AL53,Table91517[EnergyRating (group)],AM53,Table91517[CountyName (group)],AX$4)</f>
        <v>0</v>
      </c>
      <c r="AY53" s="1164">
        <f>SUMIFS(Table91517[Count of EnergyRating],Table91517[MainSpaceHeatingFuel],AL53,Table91517[EnergyRating (group)],AM53,Table91517[CountyName (group)],AY$4)</f>
        <v>0</v>
      </c>
      <c r="AZ53" s="1164">
        <f>SUMIFS(Table91517[Count of EnergyRating],Table91517[MainSpaceHeatingFuel],AL53,Table91517[EnergyRating (group)],AM53,Table91517[CountyName (group)],AZ$4)</f>
        <v>0</v>
      </c>
      <c r="BA53" s="1164">
        <f>SUMIFS(Table91517[Count of EnergyRating],Table91517[MainSpaceHeatingFuel],AL53,Table91517[EnergyRating (group)],AM53,Table91517[CountyName (group)],BA$4)</f>
        <v>0</v>
      </c>
      <c r="BB53" s="1164">
        <f>SUMIFS(Table91517[Count of EnergyRating],Table91517[MainSpaceHeatingFuel],AL53,Table91517[EnergyRating (group)],AM53,Table91517[CountyName (group)],BB$4)</f>
        <v>0</v>
      </c>
      <c r="BC53" s="1164">
        <f>SUMIFS(Table91517[Count of EnergyRating],Table91517[MainSpaceHeatingFuel],AL53,Table91517[EnergyRating (group)],AM53,Table91517[CountyName (group)],BC$4)</f>
        <v>0</v>
      </c>
      <c r="BD53" s="1164">
        <f>SUMIFS(Table91517[Count of EnergyRating],Table91517[MainSpaceHeatingFuel],AL53,Table91517[EnergyRating (group)],AM53,Table91517[CountyName (group)],BD$4)</f>
        <v>0</v>
      </c>
      <c r="BE53" s="1164">
        <f>SUMIFS(Table91517[Count of EnergyRating],Table91517[MainSpaceHeatingFuel],AL53,Table91517[EnergyRating (group)],AM53,Table91517[CountyName (group)],BE$4)</f>
        <v>0</v>
      </c>
      <c r="BF53" s="1164">
        <f>SUMIFS(Table91517[Count of EnergyRating],Table91517[MainSpaceHeatingFuel],AL53,Table91517[EnergyRating (group)],AM53,Table91517[CountyName (group)],BF$4)</f>
        <v>0</v>
      </c>
      <c r="BG53" s="1164">
        <f>SUMIFS(Table91517[Count of EnergyRating],Table91517[MainSpaceHeatingFuel],AL53,Table91517[EnergyRating (group)],AM53,Table91517[CountyName (group)],BG$4)</f>
        <v>0</v>
      </c>
      <c r="BH53" s="1164">
        <f>SUMIFS(Table91517[Count of EnergyRating],Table91517[MainSpaceHeatingFuel],AL53,Table91517[EnergyRating (group)],AM53,Table91517[CountyName (group)],BH$4)</f>
        <v>0</v>
      </c>
      <c r="BI53" s="1164">
        <f>SUMIFS(Table91517[Count of EnergyRating],Table91517[MainSpaceHeatingFuel],AL53,Table91517[EnergyRating (group)],AM53,Table91517[CountyName (group)],BI$4)</f>
        <v>0</v>
      </c>
      <c r="BJ53" s="1164">
        <f>SUMIFS(Table91517[Count of EnergyRating],Table91517[MainSpaceHeatingFuel],AL53,Table91517[EnergyRating (group)],AM53,Table91517[CountyName (group)],BJ$4)</f>
        <v>0</v>
      </c>
      <c r="BK53" s="1135">
        <f>SUMIFS(Table91517[Count of EnergyRating],Table91517[MainSpaceHeatingFuel],AL53,Table91517[EnergyRating (group)],AM53,Table91517[CountyName (group)],BK$4)</f>
        <v>0</v>
      </c>
      <c r="BL53" s="1164">
        <f>SUMIFS(Table91517[Count of EnergyRating],Table91517[MainSpaceHeatingFuel],AL53,Table91517[EnergyRating (group)],AM53,Table91517[CountyName (group)],BL$4)</f>
        <v>0</v>
      </c>
      <c r="BM53" s="1164">
        <f>SUMIFS(Table91517[Count of EnergyRating],Table91517[MainSpaceHeatingFuel],AL53,Table91517[EnergyRating (group)],AM53,Table91517[CountyName (group)],BM$4)</f>
        <v>0</v>
      </c>
    </row>
    <row r="54" spans="2:65">
      <c r="B54" s="1134" t="s">
        <v>58</v>
      </c>
      <c r="C54" s="1134" t="s">
        <v>1239</v>
      </c>
      <c r="D54" s="1134" t="s">
        <v>1094</v>
      </c>
      <c r="E54" s="1145">
        <f t="shared" ref="E54:AD54" si="141">IFERROR(G172*((SUM(AN$60)/SUM(AN$55:AN$63))/(SUM(G$172)/SUM(G$170:G$175))),G172)</f>
        <v>3.0590386564095982E-2</v>
      </c>
      <c r="F54" s="1145">
        <f t="shared" si="141"/>
        <v>0.15213054810598606</v>
      </c>
      <c r="G54" s="1145">
        <f t="shared" si="141"/>
        <v>0.1000698945819362</v>
      </c>
      <c r="H54" s="1145">
        <f t="shared" si="141"/>
        <v>0.13166539821704248</v>
      </c>
      <c r="I54" s="1145">
        <f t="shared" si="141"/>
        <v>7.8142163955525729E-2</v>
      </c>
      <c r="J54" s="1145">
        <f t="shared" si="141"/>
        <v>4.2876569504439604E-2</v>
      </c>
      <c r="K54" s="1145">
        <f t="shared" si="141"/>
        <v>5.7947547873616508E-2</v>
      </c>
      <c r="L54" s="1145">
        <f t="shared" si="141"/>
        <v>0.13361154934253955</v>
      </c>
      <c r="M54" s="1145">
        <f t="shared" si="141"/>
        <v>0.10929962266946006</v>
      </c>
      <c r="N54" s="1145">
        <f t="shared" si="141"/>
        <v>6.5837788320989438E-2</v>
      </c>
      <c r="O54" s="1145">
        <f t="shared" si="141"/>
        <v>0.1777461391754781</v>
      </c>
      <c r="P54" s="1145">
        <f t="shared" si="141"/>
        <v>7.9186701171244239E-2</v>
      </c>
      <c r="Q54" s="1145">
        <f t="shared" si="141"/>
        <v>0.11251114334500689</v>
      </c>
      <c r="R54" s="1145">
        <f t="shared" si="141"/>
        <v>0.41352157813138746</v>
      </c>
      <c r="S54" s="1145">
        <f t="shared" si="141"/>
        <v>0.13331517669507159</v>
      </c>
      <c r="T54" s="1145">
        <f t="shared" si="141"/>
        <v>0.19548062410286207</v>
      </c>
      <c r="U54" s="1145">
        <f t="shared" si="141"/>
        <v>0.13943868374483412</v>
      </c>
      <c r="V54" s="1145">
        <f t="shared" si="141"/>
        <v>0.11577986258765992</v>
      </c>
      <c r="W54" s="1145">
        <f t="shared" si="141"/>
        <v>0.17816038374973051</v>
      </c>
      <c r="X54" s="1145">
        <f t="shared" si="141"/>
        <v>2.3343763247343663E-2</v>
      </c>
      <c r="Y54" s="1145">
        <f t="shared" si="141"/>
        <v>0.14351411875684481</v>
      </c>
      <c r="Z54" s="1145">
        <f t="shared" si="141"/>
        <v>4.2260813754558209E-2</v>
      </c>
      <c r="AA54" s="1145">
        <f t="shared" si="141"/>
        <v>5.3617321981672454E-2</v>
      </c>
      <c r="AB54" s="1145">
        <f t="shared" si="141"/>
        <v>5.5823198198375702E-2</v>
      </c>
      <c r="AC54" s="1145">
        <f t="shared" si="141"/>
        <v>0.34753351111914632</v>
      </c>
      <c r="AD54" s="1145">
        <f t="shared" si="141"/>
        <v>6.2447599082958868E-2</v>
      </c>
      <c r="AE54" s="1172">
        <f t="shared" si="4"/>
        <v>3.1758520879798064</v>
      </c>
      <c r="AG54" s="1164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</row>
    <row r="55" spans="2:65">
      <c r="B55" s="1136" t="s">
        <v>60</v>
      </c>
      <c r="C55" s="1136" t="s">
        <v>1239</v>
      </c>
      <c r="D55" s="1136" t="s">
        <v>1094</v>
      </c>
      <c r="E55" s="1146">
        <f t="shared" ref="E55:AD55" si="142">IFERROR(G173*((SUM(AN$61)/SUM(AN$55:AN$63))/(SUM(G$173)/SUM(G$170:G$175))),G173)</f>
        <v>2.4472309251276785E-2</v>
      </c>
      <c r="F55" s="1146">
        <f t="shared" si="142"/>
        <v>9.7798209496705341E-2</v>
      </c>
      <c r="G55" s="1146">
        <f t="shared" si="142"/>
        <v>1.6011183133109799E-2</v>
      </c>
      <c r="H55" s="1146">
        <f t="shared" si="142"/>
        <v>4.7023356506086605E-2</v>
      </c>
      <c r="I55" s="1146">
        <f t="shared" si="142"/>
        <v>3.1256865582210289E-2</v>
      </c>
      <c r="J55" s="1146">
        <f t="shared" si="142"/>
        <v>1.3192790616750648E-2</v>
      </c>
      <c r="K55" s="1146">
        <f t="shared" si="142"/>
        <v>3.6875712283210516E-2</v>
      </c>
      <c r="L55" s="1146">
        <f t="shared" si="142"/>
        <v>3.5629746491343879E-2</v>
      </c>
      <c r="M55" s="1146">
        <f t="shared" si="142"/>
        <v>1.2144402518828895E-2</v>
      </c>
      <c r="N55" s="1146">
        <f t="shared" si="142"/>
        <v>2.3941013934905244E-2</v>
      </c>
      <c r="O55" s="1146">
        <f t="shared" si="142"/>
        <v>6.4982459483508129E-2</v>
      </c>
      <c r="P55" s="1146">
        <f t="shared" si="142"/>
        <v>5.4611518049133959E-2</v>
      </c>
      <c r="Q55" s="1146">
        <f t="shared" si="142"/>
        <v>3.6447271787819133E-2</v>
      </c>
      <c r="R55" s="1146">
        <f t="shared" si="142"/>
        <v>0.17326323106063718</v>
      </c>
      <c r="S55" s="1146">
        <f t="shared" si="142"/>
        <v>4.4019162116297215E-2</v>
      </c>
      <c r="T55" s="1146">
        <f t="shared" si="142"/>
        <v>0.1104890484059655</v>
      </c>
      <c r="U55" s="1146">
        <f t="shared" si="142"/>
        <v>4.3574588670260671E-2</v>
      </c>
      <c r="V55" s="1146">
        <f t="shared" si="142"/>
        <v>2.2701933840717635E-2</v>
      </c>
      <c r="W55" s="1146">
        <f t="shared" si="142"/>
        <v>7.7088627584018007E-2</v>
      </c>
      <c r="X55" s="1146">
        <f t="shared" si="142"/>
        <v>1.4006257948406198E-2</v>
      </c>
      <c r="Y55" s="1146">
        <f t="shared" si="142"/>
        <v>5.0495708451482428E-2</v>
      </c>
      <c r="Z55" s="1146">
        <f t="shared" si="142"/>
        <v>2.1130406877279104E-2</v>
      </c>
      <c r="AA55" s="1146">
        <f t="shared" si="142"/>
        <v>2.1844094140681367E-2</v>
      </c>
      <c r="AB55" s="1146">
        <f t="shared" si="142"/>
        <v>1.3397567567610168E-2</v>
      </c>
      <c r="AC55" s="1146">
        <f t="shared" si="142"/>
        <v>0.12411911111398083</v>
      </c>
      <c r="AD55" s="1146">
        <f t="shared" si="142"/>
        <v>1.8734279724887656E-2</v>
      </c>
      <c r="AE55" s="1173">
        <f t="shared" si="4"/>
        <v>1.229250856637113</v>
      </c>
      <c r="AG55" s="1164"/>
      <c r="AL55" s="1144" t="s">
        <v>1132</v>
      </c>
      <c r="AM55" s="1144" t="s">
        <v>48</v>
      </c>
      <c r="AN55" s="1135">
        <f>SUMIFS(Table91517[Count of EnergyRating],Table91517[MainSpaceHeatingFuel],AL55,Table91517[EnergyRating (group)],AM55,Table91517[CountyName (group)],AN$4)</f>
        <v>0</v>
      </c>
      <c r="AO55" s="1164">
        <f>SUMIFS(Table91517[Count of EnergyRating],Table91517[MainSpaceHeatingFuel],AL55,Table91517[EnergyRating (group)],AM55,Table91517[CountyName (group)],AO$4)</f>
        <v>8</v>
      </c>
      <c r="AP55" s="1164">
        <f>SUMIFS(Table91517[Count of EnergyRating],Table91517[MainSpaceHeatingFuel],AL55,Table91517[EnergyRating (group)],AM55,Table91517[CountyName (group)],AP$4)</f>
        <v>0</v>
      </c>
      <c r="AQ55" s="1164">
        <f>SUMIFS(Table91517[Count of EnergyRating],Table91517[MainSpaceHeatingFuel],AL55,Table91517[EnergyRating (group)],AM55,Table91517[CountyName (group)],AQ$4)</f>
        <v>2</v>
      </c>
      <c r="AR55" s="1164">
        <f>SUMIFS(Table91517[Count of EnergyRating],Table91517[MainSpaceHeatingFuel],AL55,Table91517[EnergyRating (group)],AM55,Table91517[CountyName (group)],AR$4)</f>
        <v>4</v>
      </c>
      <c r="AS55" s="1164">
        <f>SUMIFS(Table91517[Count of EnergyRating],Table91517[MainSpaceHeatingFuel],AL55,Table91517[EnergyRating (group)],AM55,Table91517[CountyName (group)],AS$4)</f>
        <v>0</v>
      </c>
      <c r="AT55" s="1164">
        <f>SUMIFS(Table91517[Count of EnergyRating],Table91517[MainSpaceHeatingFuel],AL55,Table91517[EnergyRating (group)],AM55,Table91517[CountyName (group)],AT$4)</f>
        <v>1</v>
      </c>
      <c r="AU55" s="1164">
        <f>SUMIFS(Table91517[Count of EnergyRating],Table91517[MainSpaceHeatingFuel],AL55,Table91517[EnergyRating (group)],AM55,Table91517[CountyName (group)],AU$4)</f>
        <v>1</v>
      </c>
      <c r="AV55" s="1164">
        <f>SUMIFS(Table91517[Count of EnergyRating],Table91517[MainSpaceHeatingFuel],AL55,Table91517[EnergyRating (group)],AM55,Table91517[CountyName (group)],AV$4)</f>
        <v>0</v>
      </c>
      <c r="AW55" s="1164">
        <f>SUMIFS(Table91517[Count of EnergyRating],Table91517[MainSpaceHeatingFuel],AL55,Table91517[EnergyRating (group)],AM55,Table91517[CountyName (group)],AW$4)</f>
        <v>1</v>
      </c>
      <c r="AX55" s="1164">
        <f>SUMIFS(Table91517[Count of EnergyRating],Table91517[MainSpaceHeatingFuel],AL55,Table91517[EnergyRating (group)],AM55,Table91517[CountyName (group)],AX$4)</f>
        <v>8</v>
      </c>
      <c r="AY55" s="1164">
        <f>SUMIFS(Table91517[Count of EnergyRating],Table91517[MainSpaceHeatingFuel],AL55,Table91517[EnergyRating (group)],AM55,Table91517[CountyName (group)],AY$4)</f>
        <v>2</v>
      </c>
      <c r="AZ55" s="1164">
        <f>SUMIFS(Table91517[Count of EnergyRating],Table91517[MainSpaceHeatingFuel],AL55,Table91517[EnergyRating (group)],AM55,Table91517[CountyName (group)],AZ$4)</f>
        <v>3</v>
      </c>
      <c r="BA55" s="1164">
        <f>SUMIFS(Table91517[Count of EnergyRating],Table91517[MainSpaceHeatingFuel],AL55,Table91517[EnergyRating (group)],AM55,Table91517[CountyName (group)],BA$4)</f>
        <v>6</v>
      </c>
      <c r="BB55" s="1164">
        <f>SUMIFS(Table91517[Count of EnergyRating],Table91517[MainSpaceHeatingFuel],AL55,Table91517[EnergyRating (group)],AM55,Table91517[CountyName (group)],BB$4)</f>
        <v>2</v>
      </c>
      <c r="BC55" s="1164">
        <f>SUMIFS(Table91517[Count of EnergyRating],Table91517[MainSpaceHeatingFuel],AL55,Table91517[EnergyRating (group)],AM55,Table91517[CountyName (group)],BC$4)</f>
        <v>2</v>
      </c>
      <c r="BD55" s="1164">
        <f>SUMIFS(Table91517[Count of EnergyRating],Table91517[MainSpaceHeatingFuel],AL55,Table91517[EnergyRating (group)],AM55,Table91517[CountyName (group)],BD$4)</f>
        <v>2</v>
      </c>
      <c r="BE55" s="1164">
        <f>SUMIFS(Table91517[Count of EnergyRating],Table91517[MainSpaceHeatingFuel],AL55,Table91517[EnergyRating (group)],AM55,Table91517[CountyName (group)],BE$4)</f>
        <v>0</v>
      </c>
      <c r="BF55" s="1164">
        <f>SUMIFS(Table91517[Count of EnergyRating],Table91517[MainSpaceHeatingFuel],AL55,Table91517[EnergyRating (group)],AM55,Table91517[CountyName (group)],BF$4)</f>
        <v>13</v>
      </c>
      <c r="BG55" s="1164">
        <f>SUMIFS(Table91517[Count of EnergyRating],Table91517[MainSpaceHeatingFuel],AL55,Table91517[EnergyRating (group)],AM55,Table91517[CountyName (group)],BG$4)</f>
        <v>0</v>
      </c>
      <c r="BH55" s="1164">
        <f>SUMIFS(Table91517[Count of EnergyRating],Table91517[MainSpaceHeatingFuel],AL55,Table91517[EnergyRating (group)],AM55,Table91517[CountyName (group)],BH$4)</f>
        <v>5</v>
      </c>
      <c r="BI55" s="1164">
        <f>SUMIFS(Table91517[Count of EnergyRating],Table91517[MainSpaceHeatingFuel],AL55,Table91517[EnergyRating (group)],AM55,Table91517[CountyName (group)],BI$4)</f>
        <v>2</v>
      </c>
      <c r="BJ55" s="1164">
        <f>SUMIFS(Table91517[Count of EnergyRating],Table91517[MainSpaceHeatingFuel],AL55,Table91517[EnergyRating (group)],AM55,Table91517[CountyName (group)],BJ$4)</f>
        <v>2</v>
      </c>
      <c r="BK55" s="1135">
        <f>SUMIFS(Table91517[Count of EnergyRating],Table91517[MainSpaceHeatingFuel],AL55,Table91517[EnergyRating (group)],AM55,Table91517[CountyName (group)],BK$4)</f>
        <v>1</v>
      </c>
      <c r="BL55" s="1164">
        <f>SUMIFS(Table91517[Count of EnergyRating],Table91517[MainSpaceHeatingFuel],AL55,Table91517[EnergyRating (group)],AM55,Table91517[CountyName (group)],BL$4)</f>
        <v>1</v>
      </c>
      <c r="BM55" s="1164">
        <f>SUMIFS(Table91517[Count of EnergyRating],Table91517[MainSpaceHeatingFuel],AL55,Table91517[EnergyRating (group)],AM55,Table91517[CountyName (group)],BM$4)</f>
        <v>2</v>
      </c>
    </row>
    <row r="56" spans="2:65">
      <c r="B56" s="1134" t="s">
        <v>62</v>
      </c>
      <c r="C56" s="1134" t="s">
        <v>1239</v>
      </c>
      <c r="D56" s="1134" t="s">
        <v>1094</v>
      </c>
      <c r="E56" s="1145">
        <f t="shared" ref="E56:AD56" si="143">IFERROR(G174*((SUM(AN$62)/SUM(AN$55:AN$63))/(SUM(G$174)/SUM(G$170:G$175))),G174)</f>
        <v>1.2236154625638394E-2</v>
      </c>
      <c r="F56" s="1145">
        <f t="shared" si="143"/>
        <v>5.4332338609280738E-2</v>
      </c>
      <c r="G56" s="1145">
        <f t="shared" si="143"/>
        <v>8.0055915665548979E-3</v>
      </c>
      <c r="H56" s="1145">
        <f t="shared" si="143"/>
        <v>1.4107006951825981E-2</v>
      </c>
      <c r="I56" s="1145">
        <f t="shared" si="143"/>
        <v>1.0418955194070097E-2</v>
      </c>
      <c r="J56" s="1145">
        <f t="shared" si="143"/>
        <v>4.9472964812814924E-3</v>
      </c>
      <c r="K56" s="1145">
        <f t="shared" si="143"/>
        <v>5.2679588976015015E-3</v>
      </c>
      <c r="L56" s="1145">
        <f t="shared" si="143"/>
        <v>2.6722309868507904E-2</v>
      </c>
      <c r="M56" s="1145">
        <f t="shared" si="143"/>
        <v>1.2144402518828899E-2</v>
      </c>
      <c r="N56" s="1145">
        <f t="shared" si="143"/>
        <v>1.1970506967452624E-2</v>
      </c>
      <c r="O56" s="1145">
        <f t="shared" si="143"/>
        <v>1.3378741658369319E-2</v>
      </c>
      <c r="P56" s="1145">
        <f t="shared" si="143"/>
        <v>1.9114031317196887E-2</v>
      </c>
      <c r="Q56" s="1145">
        <f t="shared" si="143"/>
        <v>1.9015967889296936E-2</v>
      </c>
      <c r="R56" s="1145">
        <f t="shared" si="143"/>
        <v>6.6995116010113057E-2</v>
      </c>
      <c r="S56" s="1145">
        <f t="shared" si="143"/>
        <v>1.7607664846518888E-2</v>
      </c>
      <c r="T56" s="1145">
        <f t="shared" si="143"/>
        <v>1.6998315139379307E-2</v>
      </c>
      <c r="U56" s="1145">
        <f t="shared" si="143"/>
        <v>1.7429835468104268E-2</v>
      </c>
      <c r="V56" s="1145">
        <f t="shared" si="143"/>
        <v>6.81058015221529E-3</v>
      </c>
      <c r="W56" s="1145">
        <f t="shared" si="143"/>
        <v>1.7130806129781777E-2</v>
      </c>
      <c r="X56" s="1145">
        <f t="shared" si="143"/>
        <v>7.7812544157812198E-3</v>
      </c>
      <c r="Y56" s="1145">
        <f t="shared" si="143"/>
        <v>1.8603682061072473E-2</v>
      </c>
      <c r="Z56" s="1145">
        <f t="shared" si="143"/>
        <v>1.5847805157959329E-2</v>
      </c>
      <c r="AA56" s="1145">
        <f t="shared" si="143"/>
        <v>5.9574802201858281E-3</v>
      </c>
      <c r="AB56" s="1145">
        <f t="shared" si="143"/>
        <v>1.1164639639675141E-2</v>
      </c>
      <c r="AC56" s="1145">
        <f t="shared" si="143"/>
        <v>3.9718115556473872E-2</v>
      </c>
      <c r="AD56" s="1145">
        <f t="shared" si="143"/>
        <v>1.2489519816591773E-2</v>
      </c>
      <c r="AE56" s="1172">
        <f t="shared" si="4"/>
        <v>0.46619607715975797</v>
      </c>
      <c r="AG56" s="1164"/>
      <c r="AL56" s="1144" t="s">
        <v>1132</v>
      </c>
      <c r="AM56" s="1144" t="s">
        <v>50</v>
      </c>
      <c r="AN56" s="1135">
        <f>SUMIFS(Table91517[Count of EnergyRating],Table91517[MainSpaceHeatingFuel],AL56,Table91517[EnergyRating (group)],AM56,Table91517[CountyName (group)],AN$4)</f>
        <v>1</v>
      </c>
      <c r="AO56" s="1164">
        <f>SUMIFS(Table91517[Count of EnergyRating],Table91517[MainSpaceHeatingFuel],AL56,Table91517[EnergyRating (group)],AM56,Table91517[CountyName (group)],AO$4)</f>
        <v>13</v>
      </c>
      <c r="AP56" s="1164">
        <f>SUMIFS(Table91517[Count of EnergyRating],Table91517[MainSpaceHeatingFuel],AL56,Table91517[EnergyRating (group)],AM56,Table91517[CountyName (group)],AP$4)</f>
        <v>0</v>
      </c>
      <c r="AQ56" s="1164">
        <f>SUMIFS(Table91517[Count of EnergyRating],Table91517[MainSpaceHeatingFuel],AL56,Table91517[EnergyRating (group)],AM56,Table91517[CountyName (group)],AQ$4)</f>
        <v>0</v>
      </c>
      <c r="AR56" s="1164">
        <f>SUMIFS(Table91517[Count of EnergyRating],Table91517[MainSpaceHeatingFuel],AL56,Table91517[EnergyRating (group)],AM56,Table91517[CountyName (group)],AR$4)</f>
        <v>1</v>
      </c>
      <c r="AS56" s="1164">
        <f>SUMIFS(Table91517[Count of EnergyRating],Table91517[MainSpaceHeatingFuel],AL56,Table91517[EnergyRating (group)],AM56,Table91517[CountyName (group)],AS$4)</f>
        <v>0</v>
      </c>
      <c r="AT56" s="1164">
        <f>SUMIFS(Table91517[Count of EnergyRating],Table91517[MainSpaceHeatingFuel],AL56,Table91517[EnergyRating (group)],AM56,Table91517[CountyName (group)],AT$4)</f>
        <v>0</v>
      </c>
      <c r="AU56" s="1164">
        <f>SUMIFS(Table91517[Count of EnergyRating],Table91517[MainSpaceHeatingFuel],AL56,Table91517[EnergyRating (group)],AM56,Table91517[CountyName (group)],AU$4)</f>
        <v>5</v>
      </c>
      <c r="AV56" s="1164">
        <f>SUMIFS(Table91517[Count of EnergyRating],Table91517[MainSpaceHeatingFuel],AL56,Table91517[EnergyRating (group)],AM56,Table91517[CountyName (group)],AV$4)</f>
        <v>0</v>
      </c>
      <c r="AW56" s="1164">
        <f>SUMIFS(Table91517[Count of EnergyRating],Table91517[MainSpaceHeatingFuel],AL56,Table91517[EnergyRating (group)],AM56,Table91517[CountyName (group)],AW$4)</f>
        <v>0</v>
      </c>
      <c r="AX56" s="1164">
        <f>SUMIFS(Table91517[Count of EnergyRating],Table91517[MainSpaceHeatingFuel],AL56,Table91517[EnergyRating (group)],AM56,Table91517[CountyName (group)],AX$4)</f>
        <v>7</v>
      </c>
      <c r="AY56" s="1164">
        <f>SUMIFS(Table91517[Count of EnergyRating],Table91517[MainSpaceHeatingFuel],AL56,Table91517[EnergyRating (group)],AM56,Table91517[CountyName (group)],AY$4)</f>
        <v>3</v>
      </c>
      <c r="AZ56" s="1164">
        <f>SUMIFS(Table91517[Count of EnergyRating],Table91517[MainSpaceHeatingFuel],AL56,Table91517[EnergyRating (group)],AM56,Table91517[CountyName (group)],AZ$4)</f>
        <v>3</v>
      </c>
      <c r="BA56" s="1164">
        <f>SUMIFS(Table91517[Count of EnergyRating],Table91517[MainSpaceHeatingFuel],AL56,Table91517[EnergyRating (group)],AM56,Table91517[CountyName (group)],BA$4)</f>
        <v>12</v>
      </c>
      <c r="BB56" s="1164">
        <f>SUMIFS(Table91517[Count of EnergyRating],Table91517[MainSpaceHeatingFuel],AL56,Table91517[EnergyRating (group)],AM56,Table91517[CountyName (group)],BB$4)</f>
        <v>20</v>
      </c>
      <c r="BC56" s="1164">
        <f>SUMIFS(Table91517[Count of EnergyRating],Table91517[MainSpaceHeatingFuel],AL56,Table91517[EnergyRating (group)],AM56,Table91517[CountyName (group)],BC$4)</f>
        <v>0</v>
      </c>
      <c r="BD56" s="1164">
        <f>SUMIFS(Table91517[Count of EnergyRating],Table91517[MainSpaceHeatingFuel],AL56,Table91517[EnergyRating (group)],AM56,Table91517[CountyName (group)],BD$4)</f>
        <v>1</v>
      </c>
      <c r="BE56" s="1164">
        <f>SUMIFS(Table91517[Count of EnergyRating],Table91517[MainSpaceHeatingFuel],AL56,Table91517[EnergyRating (group)],AM56,Table91517[CountyName (group)],BE$4)</f>
        <v>3</v>
      </c>
      <c r="BF56" s="1164">
        <f>SUMIFS(Table91517[Count of EnergyRating],Table91517[MainSpaceHeatingFuel],AL56,Table91517[EnergyRating (group)],AM56,Table91517[CountyName (group)],BF$4)</f>
        <v>7</v>
      </c>
      <c r="BG56" s="1164">
        <f>SUMIFS(Table91517[Count of EnergyRating],Table91517[MainSpaceHeatingFuel],AL56,Table91517[EnergyRating (group)],AM56,Table91517[CountyName (group)],BG$4)</f>
        <v>0</v>
      </c>
      <c r="BH56" s="1164">
        <f>SUMIFS(Table91517[Count of EnergyRating],Table91517[MainSpaceHeatingFuel],AL56,Table91517[EnergyRating (group)],AM56,Table91517[CountyName (group)],BH$4)</f>
        <v>5</v>
      </c>
      <c r="BI56" s="1164">
        <f>SUMIFS(Table91517[Count of EnergyRating],Table91517[MainSpaceHeatingFuel],AL56,Table91517[EnergyRating (group)],AM56,Table91517[CountyName (group)],BI$4)</f>
        <v>0</v>
      </c>
      <c r="BJ56" s="1164">
        <f>SUMIFS(Table91517[Count of EnergyRating],Table91517[MainSpaceHeatingFuel],AL56,Table91517[EnergyRating (group)],AM56,Table91517[CountyName (group)],BJ$4)</f>
        <v>1</v>
      </c>
      <c r="BK56" s="1135">
        <f>SUMIFS(Table91517[Count of EnergyRating],Table91517[MainSpaceHeatingFuel],AL56,Table91517[EnergyRating (group)],AM56,Table91517[CountyName (group)],BK$4)</f>
        <v>0</v>
      </c>
      <c r="BL56" s="1164">
        <f>SUMIFS(Table91517[Count of EnergyRating],Table91517[MainSpaceHeatingFuel],AL56,Table91517[EnergyRating (group)],AM56,Table91517[CountyName (group)],BL$4)</f>
        <v>1</v>
      </c>
      <c r="BM56" s="1164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38" t="s">
        <v>64</v>
      </c>
      <c r="C57" s="1138" t="s">
        <v>1239</v>
      </c>
      <c r="D57" s="1138" t="s">
        <v>1094</v>
      </c>
      <c r="E57" s="1147">
        <f t="shared" ref="E57:AD57" si="144">IFERROR(G175*((SUM(AN$63)/SUM(AN$55:AN$63))/(SUM(G$175)/SUM(G$170:G$175))),G175)</f>
        <v>0</v>
      </c>
      <c r="F57" s="1147">
        <f t="shared" si="144"/>
        <v>3.2599403165568447E-2</v>
      </c>
      <c r="G57" s="1147">
        <f t="shared" si="144"/>
        <v>4.0027957832774489E-3</v>
      </c>
      <c r="H57" s="1147">
        <f t="shared" si="144"/>
        <v>0</v>
      </c>
      <c r="I57" s="1147">
        <f t="shared" si="144"/>
        <v>1.5628432791105148E-2</v>
      </c>
      <c r="J57" s="1147">
        <f t="shared" si="144"/>
        <v>3.2981976541876616E-3</v>
      </c>
      <c r="K57" s="1147">
        <f t="shared" si="144"/>
        <v>1.0535917795203005E-2</v>
      </c>
      <c r="L57" s="1147">
        <f t="shared" si="144"/>
        <v>1.7814873245671936E-2</v>
      </c>
      <c r="M57" s="1147">
        <f t="shared" si="144"/>
        <v>1.8216603778243343E-2</v>
      </c>
      <c r="N57" s="1147">
        <f t="shared" si="144"/>
        <v>5.9852534837263119E-3</v>
      </c>
      <c r="O57" s="1147">
        <f t="shared" si="144"/>
        <v>9.556244041692372E-3</v>
      </c>
      <c r="P57" s="1147">
        <f t="shared" si="144"/>
        <v>3.0036334927023674E-2</v>
      </c>
      <c r="Q57" s="1147">
        <f t="shared" si="144"/>
        <v>1.2677311926197959E-2</v>
      </c>
      <c r="R57" s="1147">
        <f t="shared" si="144"/>
        <v>6.2374763181829385E-2</v>
      </c>
      <c r="S57" s="1147">
        <f t="shared" si="144"/>
        <v>2.5153806923598407E-2</v>
      </c>
      <c r="T57" s="1147">
        <f t="shared" si="144"/>
        <v>1.2748736354534482E-2</v>
      </c>
      <c r="U57" s="1147">
        <f t="shared" si="144"/>
        <v>2.1787294335130335E-2</v>
      </c>
      <c r="V57" s="1147">
        <f t="shared" si="144"/>
        <v>6.81058015221529E-3</v>
      </c>
      <c r="W57" s="1147">
        <f t="shared" si="144"/>
        <v>3.4261612259563555E-2</v>
      </c>
      <c r="X57" s="1147">
        <f t="shared" si="144"/>
        <v>7.7812544157812216E-3</v>
      </c>
      <c r="Y57" s="1147">
        <f t="shared" si="144"/>
        <v>3.1892026390409951E-2</v>
      </c>
      <c r="Z57" s="1147">
        <f t="shared" si="144"/>
        <v>2.1130406877279101E-2</v>
      </c>
      <c r="AA57" s="1147">
        <f t="shared" si="144"/>
        <v>1.5886613920495538E-2</v>
      </c>
      <c r="AB57" s="1147">
        <f t="shared" si="144"/>
        <v>6.6987837838050849E-3</v>
      </c>
      <c r="AC57" s="1147">
        <f t="shared" si="144"/>
        <v>3.9718115556473865E-2</v>
      </c>
      <c r="AD57" s="1147">
        <f t="shared" si="144"/>
        <v>6.2447599082958863E-3</v>
      </c>
      <c r="AE57" s="1174">
        <f t="shared" si="4"/>
        <v>0.45284012265130941</v>
      </c>
      <c r="AG57" s="1164"/>
      <c r="AL57" s="1144" t="s">
        <v>1132</v>
      </c>
      <c r="AM57" s="1144" t="s">
        <v>52</v>
      </c>
      <c r="AN57" s="1135">
        <f>SUMIFS(Table91517[Count of EnergyRating],Table91517[MainSpaceHeatingFuel],AL57,Table91517[EnergyRating (group)],AM57,Table91517[CountyName (group)],AN$4)</f>
        <v>2</v>
      </c>
      <c r="AO57" s="1164">
        <f>SUMIFS(Table91517[Count of EnergyRating],Table91517[MainSpaceHeatingFuel],AL57,Table91517[EnergyRating (group)],AM57,Table91517[CountyName (group)],AO$4)</f>
        <v>7</v>
      </c>
      <c r="AP57" s="1164">
        <f>SUMIFS(Table91517[Count of EnergyRating],Table91517[MainSpaceHeatingFuel],AL57,Table91517[EnergyRating (group)],AM57,Table91517[CountyName (group)],AP$4)</f>
        <v>7</v>
      </c>
      <c r="AQ57" s="1164">
        <f>SUMIFS(Table91517[Count of EnergyRating],Table91517[MainSpaceHeatingFuel],AL57,Table91517[EnergyRating (group)],AM57,Table91517[CountyName (group)],AQ$4)</f>
        <v>2</v>
      </c>
      <c r="AR57" s="1164">
        <f>SUMIFS(Table91517[Count of EnergyRating],Table91517[MainSpaceHeatingFuel],AL57,Table91517[EnergyRating (group)],AM57,Table91517[CountyName (group)],AR$4)</f>
        <v>2</v>
      </c>
      <c r="AS57" s="1164">
        <f>SUMIFS(Table91517[Count of EnergyRating],Table91517[MainSpaceHeatingFuel],AL57,Table91517[EnergyRating (group)],AM57,Table91517[CountyName (group)],AS$4)</f>
        <v>0</v>
      </c>
      <c r="AT57" s="1164">
        <f>SUMIFS(Table91517[Count of EnergyRating],Table91517[MainSpaceHeatingFuel],AL57,Table91517[EnergyRating (group)],AM57,Table91517[CountyName (group)],AT$4)</f>
        <v>5</v>
      </c>
      <c r="AU57" s="1164">
        <f>SUMIFS(Table91517[Count of EnergyRating],Table91517[MainSpaceHeatingFuel],AL57,Table91517[EnergyRating (group)],AM57,Table91517[CountyName (group)],AU$4)</f>
        <v>10</v>
      </c>
      <c r="AV57" s="1164">
        <f>SUMIFS(Table91517[Count of EnergyRating],Table91517[MainSpaceHeatingFuel],AL57,Table91517[EnergyRating (group)],AM57,Table91517[CountyName (group)],AV$4)</f>
        <v>3</v>
      </c>
      <c r="AW57" s="1164">
        <f>SUMIFS(Table91517[Count of EnergyRating],Table91517[MainSpaceHeatingFuel],AL57,Table91517[EnergyRating (group)],AM57,Table91517[CountyName (group)],AW$4)</f>
        <v>4</v>
      </c>
      <c r="AX57" s="1164">
        <f>SUMIFS(Table91517[Count of EnergyRating],Table91517[MainSpaceHeatingFuel],AL57,Table91517[EnergyRating (group)],AM57,Table91517[CountyName (group)],AX$4)</f>
        <v>18</v>
      </c>
      <c r="AY57" s="1164">
        <f>SUMIFS(Table91517[Count of EnergyRating],Table91517[MainSpaceHeatingFuel],AL57,Table91517[EnergyRating (group)],AM57,Table91517[CountyName (group)],AY$4)</f>
        <v>7</v>
      </c>
      <c r="AZ57" s="1164">
        <f>SUMIFS(Table91517[Count of EnergyRating],Table91517[MainSpaceHeatingFuel],AL57,Table91517[EnergyRating (group)],AM57,Table91517[CountyName (group)],AZ$4)</f>
        <v>17</v>
      </c>
      <c r="BA57" s="1164">
        <f>SUMIFS(Table91517[Count of EnergyRating],Table91517[MainSpaceHeatingFuel],AL57,Table91517[EnergyRating (group)],AM57,Table91517[CountyName (group)],BA$4)</f>
        <v>46</v>
      </c>
      <c r="BB57" s="1164">
        <f>SUMIFS(Table91517[Count of EnergyRating],Table91517[MainSpaceHeatingFuel],AL57,Table91517[EnergyRating (group)],AM57,Table91517[CountyName (group)],BB$4)</f>
        <v>45</v>
      </c>
      <c r="BC57" s="1164">
        <f>SUMIFS(Table91517[Count of EnergyRating],Table91517[MainSpaceHeatingFuel],AL57,Table91517[EnergyRating (group)],AM57,Table91517[CountyName (group)],BC$4)</f>
        <v>6</v>
      </c>
      <c r="BD57" s="1164">
        <f>SUMIFS(Table91517[Count of EnergyRating],Table91517[MainSpaceHeatingFuel],AL57,Table91517[EnergyRating (group)],AM57,Table91517[CountyName (group)],BD$4)</f>
        <v>2</v>
      </c>
      <c r="BE57" s="1164">
        <f>SUMIFS(Table91517[Count of EnergyRating],Table91517[MainSpaceHeatingFuel],AL57,Table91517[EnergyRating (group)],AM57,Table91517[CountyName (group)],BE$4)</f>
        <v>3</v>
      </c>
      <c r="BF57" s="1164">
        <f>SUMIFS(Table91517[Count of EnergyRating],Table91517[MainSpaceHeatingFuel],AL57,Table91517[EnergyRating (group)],AM57,Table91517[CountyName (group)],BF$4)</f>
        <v>40</v>
      </c>
      <c r="BG57" s="1164">
        <f>SUMIFS(Table91517[Count of EnergyRating],Table91517[MainSpaceHeatingFuel],AL57,Table91517[EnergyRating (group)],AM57,Table91517[CountyName (group)],BG$4)</f>
        <v>15</v>
      </c>
      <c r="BH57" s="1164">
        <f>SUMIFS(Table91517[Count of EnergyRating],Table91517[MainSpaceHeatingFuel],AL57,Table91517[EnergyRating (group)],AM57,Table91517[CountyName (group)],BH$4)</f>
        <v>15</v>
      </c>
      <c r="BI57" s="1164">
        <f>SUMIFS(Table91517[Count of EnergyRating],Table91517[MainSpaceHeatingFuel],AL57,Table91517[EnergyRating (group)],AM57,Table91517[CountyName (group)],BI$4)</f>
        <v>8</v>
      </c>
      <c r="BJ57" s="1164">
        <f>SUMIFS(Table91517[Count of EnergyRating],Table91517[MainSpaceHeatingFuel],AL57,Table91517[EnergyRating (group)],AM57,Table91517[CountyName (group)],BJ$4)</f>
        <v>3</v>
      </c>
      <c r="BK57" s="1135">
        <f>SUMIFS(Table91517[Count of EnergyRating],Table91517[MainSpaceHeatingFuel],AL57,Table91517[EnergyRating (group)],AM57,Table91517[CountyName (group)],BK$4)</f>
        <v>6</v>
      </c>
      <c r="BL57" s="1164">
        <f>SUMIFS(Table91517[Count of EnergyRating],Table91517[MainSpaceHeatingFuel],AL57,Table91517[EnergyRating (group)],AM57,Table91517[CountyName (group)],BL$4)</f>
        <v>1</v>
      </c>
      <c r="BM57" s="1164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38" t="s">
        <v>1075</v>
      </c>
      <c r="C58" s="1138" t="s">
        <v>1239</v>
      </c>
      <c r="D58" s="1138" t="s">
        <v>1094</v>
      </c>
      <c r="E58" s="1147">
        <f>SUM(E52:E57)</f>
        <v>0.23860501519994867</v>
      </c>
      <c r="F58" s="1147">
        <f t="shared" ref="F58" si="145">SUM(F52:F57)</f>
        <v>1.2387773202916008</v>
      </c>
      <c r="G58" s="1147">
        <f t="shared" ref="G58" si="146">SUM(G52:G57)</f>
        <v>0.66846689580733387</v>
      </c>
      <c r="H58" s="1147">
        <f t="shared" ref="H58" si="147">SUM(H52:H57)</f>
        <v>0.46082889375964864</v>
      </c>
      <c r="I58" s="1147">
        <f t="shared" ref="I58" si="148">SUM(I52:I57)</f>
        <v>0.35945395419541837</v>
      </c>
      <c r="J58" s="1147">
        <f t="shared" ref="J58" si="149">SUM(J52:J57)</f>
        <v>0.21438284752219802</v>
      </c>
      <c r="K58" s="1147">
        <f t="shared" ref="K58" si="150">SUM(K52:K57)</f>
        <v>0.41616875291051864</v>
      </c>
      <c r="L58" s="1147">
        <f t="shared" ref="L58" si="151">SUM(L52:L57)</f>
        <v>0.75713211294105731</v>
      </c>
      <c r="M58" s="1147">
        <f t="shared" ref="M58" si="152">SUM(M52:M57)</f>
        <v>0.35218767304603804</v>
      </c>
      <c r="N58" s="1147">
        <f t="shared" ref="N58" si="153">SUM(N52:N57)</f>
        <v>0.3710857159910313</v>
      </c>
      <c r="O58" s="1147">
        <f t="shared" ref="O58" si="154">SUM(O52:O57)</f>
        <v>0.74729828406034349</v>
      </c>
      <c r="P58" s="1147">
        <f t="shared" ref="P58" si="155">SUM(P52:P57)</f>
        <v>0.49696481424711902</v>
      </c>
      <c r="Q58" s="1147">
        <f t="shared" ref="Q58" si="156">SUM(Q52:Q57)</f>
        <v>0.57840235663278183</v>
      </c>
      <c r="R58" s="1147">
        <f t="shared" ref="R58" si="157">SUM(R52:R57)</f>
        <v>1.9567194227781293</v>
      </c>
      <c r="S58" s="1147">
        <f t="shared" ref="S58" si="158">SUM(S52:S57)</f>
        <v>0.80240644086278923</v>
      </c>
      <c r="T58" s="1147">
        <f t="shared" ref="T58" si="159">SUM(T52:T57)</f>
        <v>0.72242839342362064</v>
      </c>
      <c r="U58" s="1147">
        <f t="shared" ref="U58" si="160">SUM(U52:U57)</f>
        <v>0.77127021946361385</v>
      </c>
      <c r="V58" s="1147">
        <f t="shared" ref="V58" si="161">SUM(V52:V57)</f>
        <v>0.422255969437348</v>
      </c>
      <c r="W58" s="1147">
        <f t="shared" ref="W58" si="162">SUM(W52:W57)</f>
        <v>1.2214264770534409</v>
      </c>
      <c r="X58" s="1147">
        <f t="shared" ref="X58" si="163">SUM(X52:X57)</f>
        <v>0.20075636392715554</v>
      </c>
      <c r="Y58" s="1147">
        <f t="shared" ref="Y58" si="164">SUM(Y52:Y57)</f>
        <v>0.765408633369839</v>
      </c>
      <c r="Z58" s="1147">
        <f t="shared" ref="Z58" si="165">SUM(Z52:Z57)</f>
        <v>0.39883642980864309</v>
      </c>
      <c r="AA58" s="1147">
        <f t="shared" ref="AA58" si="166">SUM(AA52:AA57)</f>
        <v>0.31971810514997279</v>
      </c>
      <c r="AB58" s="1147">
        <f t="shared" ref="AB58" si="167">SUM(AB52:AB57)</f>
        <v>0.39969409910037001</v>
      </c>
      <c r="AC58" s="1147">
        <f t="shared" ref="AC58" si="168">SUM(AC52:AC57)</f>
        <v>0.89862236446522115</v>
      </c>
      <c r="AD58" s="1147">
        <f t="shared" ref="AD58" si="169">SUM(AD52:AD57)</f>
        <v>0.3122379954147943</v>
      </c>
      <c r="AE58" s="1147">
        <f t="shared" ref="AE58" si="170">SUM(AE52:AE57)</f>
        <v>16.091535550859977</v>
      </c>
      <c r="AG58" s="1164"/>
      <c r="AL58" s="1144" t="s">
        <v>1132</v>
      </c>
      <c r="AM58" s="1144" t="s">
        <v>54</v>
      </c>
      <c r="AN58" s="1135">
        <f>SUMIFS(Table91517[Count of EnergyRating],Table91517[MainSpaceHeatingFuel],AL58,Table91517[EnergyRating (group)],AM58,Table91517[CountyName (group)],AN$4)</f>
        <v>3</v>
      </c>
      <c r="AO58" s="1164">
        <f>SUMIFS(Table91517[Count of EnergyRating],Table91517[MainSpaceHeatingFuel],AL58,Table91517[EnergyRating (group)],AM58,Table91517[CountyName (group)],AO$4)</f>
        <v>17</v>
      </c>
      <c r="AP58" s="1164">
        <f>SUMIFS(Table91517[Count of EnergyRating],Table91517[MainSpaceHeatingFuel],AL58,Table91517[EnergyRating (group)],AM58,Table91517[CountyName (group)],AP$4)</f>
        <v>27</v>
      </c>
      <c r="AQ58" s="1164">
        <f>SUMIFS(Table91517[Count of EnergyRating],Table91517[MainSpaceHeatingFuel],AL58,Table91517[EnergyRating (group)],AM58,Table91517[CountyName (group)],AQ$4)</f>
        <v>6</v>
      </c>
      <c r="AR58" s="1164">
        <f>SUMIFS(Table91517[Count of EnergyRating],Table91517[MainSpaceHeatingFuel],AL58,Table91517[EnergyRating (group)],AM58,Table91517[CountyName (group)],AR$4)</f>
        <v>9</v>
      </c>
      <c r="AS58" s="1164">
        <f>SUMIFS(Table91517[Count of EnergyRating],Table91517[MainSpaceHeatingFuel],AL58,Table91517[EnergyRating (group)],AM58,Table91517[CountyName (group)],AS$4)</f>
        <v>5</v>
      </c>
      <c r="AT58" s="1164">
        <f>SUMIFS(Table91517[Count of EnergyRating],Table91517[MainSpaceHeatingFuel],AL58,Table91517[EnergyRating (group)],AM58,Table91517[CountyName (group)],AT$4)</f>
        <v>11</v>
      </c>
      <c r="AU58" s="1164">
        <f>SUMIFS(Table91517[Count of EnergyRating],Table91517[MainSpaceHeatingFuel],AL58,Table91517[EnergyRating (group)],AM58,Table91517[CountyName (group)],AU$4)</f>
        <v>18</v>
      </c>
      <c r="AV58" s="1164">
        <f>SUMIFS(Table91517[Count of EnergyRating],Table91517[MainSpaceHeatingFuel],AL58,Table91517[EnergyRating (group)],AM58,Table91517[CountyName (group)],AV$4)</f>
        <v>4</v>
      </c>
      <c r="AW58" s="1164">
        <f>SUMIFS(Table91517[Count of EnergyRating],Table91517[MainSpaceHeatingFuel],AL58,Table91517[EnergyRating (group)],AM58,Table91517[CountyName (group)],AW$4)</f>
        <v>21</v>
      </c>
      <c r="AX58" s="1164">
        <f>SUMIFS(Table91517[Count of EnergyRating],Table91517[MainSpaceHeatingFuel],AL58,Table91517[EnergyRating (group)],AM58,Table91517[CountyName (group)],AX$4)</f>
        <v>32</v>
      </c>
      <c r="AY58" s="1164">
        <f>SUMIFS(Table91517[Count of EnergyRating],Table91517[MainSpaceHeatingFuel],AL58,Table91517[EnergyRating (group)],AM58,Table91517[CountyName (group)],AY$4)</f>
        <v>25</v>
      </c>
      <c r="AZ58" s="1164">
        <f>SUMIFS(Table91517[Count of EnergyRating],Table91517[MainSpaceHeatingFuel],AL58,Table91517[EnergyRating (group)],AM58,Table91517[CountyName (group)],AZ$4)</f>
        <v>58</v>
      </c>
      <c r="BA58" s="1164">
        <f>SUMIFS(Table91517[Count of EnergyRating],Table91517[MainSpaceHeatingFuel],AL58,Table91517[EnergyRating (group)],AM58,Table91517[CountyName (group)],BA$4)</f>
        <v>114</v>
      </c>
      <c r="BB58" s="1164">
        <f>SUMIFS(Table91517[Count of EnergyRating],Table91517[MainSpaceHeatingFuel],AL58,Table91517[EnergyRating (group)],AM58,Table91517[CountyName (group)],BB$4)</f>
        <v>101</v>
      </c>
      <c r="BC58" s="1164">
        <f>SUMIFS(Table91517[Count of EnergyRating],Table91517[MainSpaceHeatingFuel],AL58,Table91517[EnergyRating (group)],AM58,Table91517[CountyName (group)],BC$4)</f>
        <v>18</v>
      </c>
      <c r="BD58" s="1164">
        <f>SUMIFS(Table91517[Count of EnergyRating],Table91517[MainSpaceHeatingFuel],AL58,Table91517[EnergyRating (group)],AM58,Table91517[CountyName (group)],BD$4)</f>
        <v>24</v>
      </c>
      <c r="BE58" s="1164">
        <f>SUMIFS(Table91517[Count of EnergyRating],Table91517[MainSpaceHeatingFuel],AL58,Table91517[EnergyRating (group)],AM58,Table91517[CountyName (group)],BE$4)</f>
        <v>8</v>
      </c>
      <c r="BF58" s="1164">
        <f>SUMIFS(Table91517[Count of EnergyRating],Table91517[MainSpaceHeatingFuel],AL58,Table91517[EnergyRating (group)],AM58,Table91517[CountyName (group)],BF$4)</f>
        <v>171</v>
      </c>
      <c r="BG58" s="1164">
        <f>SUMIFS(Table91517[Count of EnergyRating],Table91517[MainSpaceHeatingFuel],AL58,Table91517[EnergyRating (group)],AM58,Table91517[CountyName (group)],BG$4)</f>
        <v>9</v>
      </c>
      <c r="BH58" s="1164">
        <f>SUMIFS(Table91517[Count of EnergyRating],Table91517[MainSpaceHeatingFuel],AL58,Table91517[EnergyRating (group)],AM58,Table91517[CountyName (group)],BH$4)</f>
        <v>27</v>
      </c>
      <c r="BI58" s="1164">
        <f>SUMIFS(Table91517[Count of EnergyRating],Table91517[MainSpaceHeatingFuel],AL58,Table91517[EnergyRating (group)],AM58,Table91517[CountyName (group)],BI$4)</f>
        <v>20</v>
      </c>
      <c r="BJ58" s="1164">
        <f>SUMIFS(Table91517[Count of EnergyRating],Table91517[MainSpaceHeatingFuel],AL58,Table91517[EnergyRating (group)],AM58,Table91517[CountyName (group)],BJ$4)</f>
        <v>32</v>
      </c>
      <c r="BK58" s="1135">
        <f>SUMIFS(Table91517[Count of EnergyRating],Table91517[MainSpaceHeatingFuel],AL58,Table91517[EnergyRating (group)],AM58,Table91517[CountyName (group)],BK$4)</f>
        <v>42</v>
      </c>
      <c r="BL58" s="1164">
        <f>SUMIFS(Table91517[Count of EnergyRating],Table91517[MainSpaceHeatingFuel],AL58,Table91517[EnergyRating (group)],AM58,Table91517[CountyName (group)],BL$4)</f>
        <v>9</v>
      </c>
      <c r="BM58" s="1164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65"/>
      <c r="C59" s="1165" t="s">
        <v>1240</v>
      </c>
      <c r="D59" s="1165" t="s">
        <v>1094</v>
      </c>
      <c r="E59" s="1166">
        <f t="shared" ref="E59:AD59" si="171">G176</f>
        <v>0.22470551729927365</v>
      </c>
      <c r="F59" s="1166">
        <f t="shared" si="171"/>
        <v>1.1666146176410801</v>
      </c>
      <c r="G59" s="1166">
        <f t="shared" si="171"/>
        <v>0.62952658180279086</v>
      </c>
      <c r="H59" s="1166">
        <f t="shared" si="171"/>
        <v>0.43398415105373755</v>
      </c>
      <c r="I59" s="1166">
        <f t="shared" si="171"/>
        <v>0.33851462281740119</v>
      </c>
      <c r="J59" s="1166">
        <f t="shared" si="171"/>
        <v>0.2018943676108329</v>
      </c>
      <c r="K59" s="1166">
        <f t="shared" si="171"/>
        <v>0.39192560486705058</v>
      </c>
      <c r="L59" s="1166">
        <f t="shared" si="171"/>
        <v>0.71302676919738517</v>
      </c>
      <c r="M59" s="1166">
        <f t="shared" si="171"/>
        <v>0.33167162556042723</v>
      </c>
      <c r="N59" s="1166">
        <f t="shared" si="171"/>
        <v>0.34946879764559957</v>
      </c>
      <c r="O59" s="1166">
        <f t="shared" si="171"/>
        <v>0.70376579199696199</v>
      </c>
      <c r="P59" s="1166">
        <f t="shared" si="171"/>
        <v>0.46801503971472413</v>
      </c>
      <c r="Q59" s="1166">
        <f t="shared" si="171"/>
        <v>0.54470858730850424</v>
      </c>
      <c r="R59" s="1166">
        <f t="shared" si="171"/>
        <v>1.842734318624625</v>
      </c>
      <c r="S59" s="1166">
        <f t="shared" si="171"/>
        <v>0.75566372411429883</v>
      </c>
      <c r="T59" s="1166">
        <f t="shared" si="171"/>
        <v>0.68034465126352806</v>
      </c>
      <c r="U59" s="1166">
        <f t="shared" si="171"/>
        <v>0.7263412862335048</v>
      </c>
      <c r="V59" s="1166">
        <f t="shared" si="171"/>
        <v>0.39765822175034471</v>
      </c>
      <c r="W59" s="1166">
        <f t="shared" si="171"/>
        <v>1.1502745159791674</v>
      </c>
      <c r="X59" s="1166">
        <f t="shared" si="171"/>
        <v>0.18906166984616857</v>
      </c>
      <c r="Y59" s="1166">
        <f t="shared" si="171"/>
        <v>0.72082115609587039</v>
      </c>
      <c r="Z59" s="1166">
        <f t="shared" si="171"/>
        <v>0.37560294448482262</v>
      </c>
      <c r="AA59" s="1166">
        <f t="shared" si="171"/>
        <v>0.30109351283947217</v>
      </c>
      <c r="AB59" s="1166">
        <f t="shared" si="171"/>
        <v>0.37641065182369693</v>
      </c>
      <c r="AC59" s="1166">
        <f t="shared" si="171"/>
        <v>0.84627476540944657</v>
      </c>
      <c r="AD59" s="1166">
        <f t="shared" si="171"/>
        <v>0.29404914318911041</v>
      </c>
      <c r="AE59" s="1175">
        <f t="shared" si="4"/>
        <v>15.154152636169824</v>
      </c>
      <c r="AG59" s="1164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SUMIFS(Table91517[Count of EnergyRating],Table91517[MainSpaceHeatingFuel],AL59,Table91517[EnergyRating (group)],AM59,Table91517[CountyName (group)],AN$4)</f>
        <v>22</v>
      </c>
      <c r="AO59" s="1164">
        <f>SUMIFS(Table91517[Count of EnergyRating],Table91517[MainSpaceHeatingFuel],AL59,Table91517[EnergyRating (group)],AM59,Table91517[CountyName (group)],AO$4)</f>
        <v>38</v>
      </c>
      <c r="AP59" s="1164">
        <f>SUMIFS(Table91517[Count of EnergyRating],Table91517[MainSpaceHeatingFuel],AL59,Table91517[EnergyRating (group)],AM59,Table91517[CountyName (group)],AP$4)</f>
        <v>101</v>
      </c>
      <c r="AQ59" s="1164">
        <f>SUMIFS(Table91517[Count of EnergyRating],Table91517[MainSpaceHeatingFuel],AL59,Table91517[EnergyRating (group)],AM59,Table91517[CountyName (group)],AQ$4)</f>
        <v>47</v>
      </c>
      <c r="AR59" s="1164">
        <f>SUMIFS(Table91517[Count of EnergyRating],Table91517[MainSpaceHeatingFuel],AL59,Table91517[EnergyRating (group)],AM59,Table91517[CountyName (group)],AR$4)</f>
        <v>27</v>
      </c>
      <c r="AS59" s="1164">
        <f>SUMIFS(Table91517[Count of EnergyRating],Table91517[MainSpaceHeatingFuel],AL59,Table91517[EnergyRating (group)],AM59,Table91517[CountyName (group)],AS$4)</f>
        <v>86</v>
      </c>
      <c r="AT59" s="1164">
        <f>SUMIFS(Table91517[Count of EnergyRating],Table91517[MainSpaceHeatingFuel],AL59,Table91517[EnergyRating (group)],AM59,Table91517[CountyName (group)],AT$4)</f>
        <v>41</v>
      </c>
      <c r="AU59" s="1164">
        <f>SUMIFS(Table91517[Count of EnergyRating],Table91517[MainSpaceHeatingFuel],AL59,Table91517[EnergyRating (group)],AM59,Table91517[CountyName (group)],AU$4)</f>
        <v>88</v>
      </c>
      <c r="AV59" s="1164">
        <f>SUMIFS(Table91517[Count of EnergyRating],Table91517[MainSpaceHeatingFuel],AL59,Table91517[EnergyRating (group)],AM59,Table91517[CountyName (group)],AV$4)</f>
        <v>26</v>
      </c>
      <c r="AW59" s="1164">
        <f>SUMIFS(Table91517[Count of EnergyRating],Table91517[MainSpaceHeatingFuel],AL59,Table91517[EnergyRating (group)],AM59,Table91517[CountyName (group)],AW$4)</f>
        <v>62</v>
      </c>
      <c r="AX59" s="1164">
        <f>SUMIFS(Table91517[Count of EnergyRating],Table91517[MainSpaceHeatingFuel],AL59,Table91517[EnergyRating (group)],AM59,Table91517[CountyName (group)],AX$4)</f>
        <v>187</v>
      </c>
      <c r="AY59" s="1164">
        <f>SUMIFS(Table91517[Count of EnergyRating],Table91517[MainSpaceHeatingFuel],AL59,Table91517[EnergyRating (group)],AM59,Table91517[CountyName (group)],AY$4)</f>
        <v>78</v>
      </c>
      <c r="AZ59" s="1164">
        <f>SUMIFS(Table91517[Count of EnergyRating],Table91517[MainSpaceHeatingFuel],AL59,Table91517[EnergyRating (group)],AM59,Table91517[CountyName (group)],AZ$4)</f>
        <v>170</v>
      </c>
      <c r="BA59" s="1164">
        <f>SUMIFS(Table91517[Count of EnergyRating],Table91517[MainSpaceHeatingFuel],AL59,Table91517[EnergyRating (group)],AM59,Table91517[CountyName (group)],BA$4)</f>
        <v>359</v>
      </c>
      <c r="BB59" s="1164">
        <f>SUMIFS(Table91517[Count of EnergyRating],Table91517[MainSpaceHeatingFuel],AL59,Table91517[EnergyRating (group)],AM59,Table91517[CountyName (group)],BB$4)</f>
        <v>295</v>
      </c>
      <c r="BC59" s="1164">
        <f>SUMIFS(Table91517[Count of EnergyRating],Table91517[MainSpaceHeatingFuel],AL59,Table91517[EnergyRating (group)],AM59,Table91517[CountyName (group)],BC$4)</f>
        <v>65</v>
      </c>
      <c r="BD59" s="1164">
        <f>SUMIFS(Table91517[Count of EnergyRating],Table91517[MainSpaceHeatingFuel],AL59,Table91517[EnergyRating (group)],AM59,Table91517[CountyName (group)],BD$4)</f>
        <v>97</v>
      </c>
      <c r="BE59" s="1164">
        <f>SUMIFS(Table91517[Count of EnergyRating],Table91517[MainSpaceHeatingFuel],AL59,Table91517[EnergyRating (group)],AM59,Table91517[CountyName (group)],BE$4)</f>
        <v>105</v>
      </c>
      <c r="BF59" s="1164">
        <f>SUMIFS(Table91517[Count of EnergyRating],Table91517[MainSpaceHeatingFuel],AL59,Table91517[EnergyRating (group)],AM59,Table91517[CountyName (group)],BF$4)</f>
        <v>303</v>
      </c>
      <c r="BG59" s="1164">
        <f>SUMIFS(Table91517[Count of EnergyRating],Table91517[MainSpaceHeatingFuel],AL59,Table91517[EnergyRating (group)],AM59,Table91517[CountyName (group)],BG$4)</f>
        <v>71</v>
      </c>
      <c r="BH59" s="1164">
        <f>SUMIFS(Table91517[Count of EnergyRating],Table91517[MainSpaceHeatingFuel],AL59,Table91517[EnergyRating (group)],AM59,Table91517[CountyName (group)],BH$4)</f>
        <v>144</v>
      </c>
      <c r="BI59" s="1164">
        <f>SUMIFS(Table91517[Count of EnergyRating],Table91517[MainSpaceHeatingFuel],AL59,Table91517[EnergyRating (group)],AM59,Table91517[CountyName (group)],BI$4)</f>
        <v>83</v>
      </c>
      <c r="BJ59" s="1164">
        <f>SUMIFS(Table91517[Count of EnergyRating],Table91517[MainSpaceHeatingFuel],AL59,Table91517[EnergyRating (group)],AM59,Table91517[CountyName (group)],BJ$4)</f>
        <v>74</v>
      </c>
      <c r="BK59" s="1135">
        <f>SUMIFS(Table91517[Count of EnergyRating],Table91517[MainSpaceHeatingFuel],AL59,Table91517[EnergyRating (group)],AM59,Table91517[CountyName (group)],BK$4)</f>
        <v>91</v>
      </c>
      <c r="BL59" s="1164">
        <f>SUMIFS(Table91517[Count of EnergyRating],Table91517[MainSpaceHeatingFuel],AL59,Table91517[EnergyRating (group)],AM59,Table91517[CountyName (group)],BL$4)</f>
        <v>58</v>
      </c>
      <c r="BM59" s="1164">
        <f>SUMIFS(Table91517[Count of EnergyRating],Table91517[MainSpaceHeatingFuel],AL59,Table91517[EnergyRating (group)],AM59,Table91517[CountyName (group)],BM$4)</f>
        <v>24</v>
      </c>
    </row>
    <row r="60" spans="2:65" ht="15">
      <c r="B60" s="1137"/>
      <c r="C60" s="1137" t="s">
        <v>1216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G60" s="58" t="s">
        <v>1163</v>
      </c>
      <c r="AH60" s="1158">
        <f>SUM(E61:AD66)</f>
        <v>34.42121244498761</v>
      </c>
      <c r="AI60" s="1140">
        <f>'SHWLP-Det'!S11</f>
        <v>34.421212444987617</v>
      </c>
      <c r="AJ60" s="1160">
        <f>IFERROR((AI60-AH60)/AI60,"N/A")</f>
        <v>2.0642583026257365E-16</v>
      </c>
      <c r="AL60" s="1144" t="s">
        <v>1132</v>
      </c>
      <c r="AM60" s="1144" t="s">
        <v>58</v>
      </c>
      <c r="AN60" s="1135">
        <f>SUMIFS(Table91517[Count of EnergyRating],Table91517[MainSpaceHeatingFuel],AL60,Table91517[EnergyRating (group)],AM60,Table91517[CountyName (group)],AN$4)</f>
        <v>5</v>
      </c>
      <c r="AO60" s="1164">
        <f>SUMIFS(Table91517[Count of EnergyRating],Table91517[MainSpaceHeatingFuel],AL60,Table91517[EnergyRating (group)],AM60,Table91517[CountyName (group)],AO$4)</f>
        <v>14</v>
      </c>
      <c r="AP60" s="1164">
        <f>SUMIFS(Table91517[Count of EnergyRating],Table91517[MainSpaceHeatingFuel],AL60,Table91517[EnergyRating (group)],AM60,Table91517[CountyName (group)],AP$4)</f>
        <v>25</v>
      </c>
      <c r="AQ60" s="1164">
        <f>SUMIFS(Table91517[Count of EnergyRating],Table91517[MainSpaceHeatingFuel],AL60,Table91517[EnergyRating (group)],AM60,Table91517[CountyName (group)],AQ$4)</f>
        <v>28</v>
      </c>
      <c r="AR60" s="1164">
        <f>SUMIFS(Table91517[Count of EnergyRating],Table91517[MainSpaceHeatingFuel],AL60,Table91517[EnergyRating (group)],AM60,Table91517[CountyName (group)],AR$4)</f>
        <v>15</v>
      </c>
      <c r="AS60" s="1164">
        <f>SUMIFS(Table91517[Count of EnergyRating],Table91517[MainSpaceHeatingFuel],AL60,Table91517[EnergyRating (group)],AM60,Table91517[CountyName (group)],AS$4)</f>
        <v>26</v>
      </c>
      <c r="AT60" s="1164">
        <f>SUMIFS(Table91517[Count of EnergyRating],Table91517[MainSpaceHeatingFuel],AL60,Table91517[EnergyRating (group)],AM60,Table91517[CountyName (group)],AT$4)</f>
        <v>11</v>
      </c>
      <c r="AU60" s="1164">
        <f>SUMIFS(Table91517[Count of EnergyRating],Table91517[MainSpaceHeatingFuel],AL60,Table91517[EnergyRating (group)],AM60,Table91517[CountyName (group)],AU$4)</f>
        <v>30</v>
      </c>
      <c r="AV60" s="1164">
        <f>SUMIFS(Table91517[Count of EnergyRating],Table91517[MainSpaceHeatingFuel],AL60,Table91517[EnergyRating (group)],AM60,Table91517[CountyName (group)],AV$4)</f>
        <v>18</v>
      </c>
      <c r="AW60" s="1164">
        <f>SUMIFS(Table91517[Count of EnergyRating],Table91517[MainSpaceHeatingFuel],AL60,Table91517[EnergyRating (group)],AM60,Table91517[CountyName (group)],AW$4)</f>
        <v>22</v>
      </c>
      <c r="AX60" s="1164">
        <f>SUMIFS(Table91517[Count of EnergyRating],Table91517[MainSpaceHeatingFuel],AL60,Table91517[EnergyRating (group)],AM60,Table91517[CountyName (group)],AX$4)</f>
        <v>93</v>
      </c>
      <c r="AY60" s="1164">
        <f>SUMIFS(Table91517[Count of EnergyRating],Table91517[MainSpaceHeatingFuel],AL60,Table91517[EnergyRating (group)],AM60,Table91517[CountyName (group)],AY$4)</f>
        <v>29</v>
      </c>
      <c r="AZ60" s="1164">
        <f>SUMIFS(Table91517[Count of EnergyRating],Table91517[MainSpaceHeatingFuel],AL60,Table91517[EnergyRating (group)],AM60,Table91517[CountyName (group)],AZ$4)</f>
        <v>71</v>
      </c>
      <c r="BA60" s="1164">
        <f>SUMIFS(Table91517[Count of EnergyRating],Table91517[MainSpaceHeatingFuel],AL60,Table91517[EnergyRating (group)],AM60,Table91517[CountyName (group)],BA$4)</f>
        <v>179</v>
      </c>
      <c r="BB60" s="1164">
        <f>SUMIFS(Table91517[Count of EnergyRating],Table91517[MainSpaceHeatingFuel],AL60,Table91517[EnergyRating (group)],AM60,Table91517[CountyName (group)],BB$4)</f>
        <v>106</v>
      </c>
      <c r="BC60" s="1164">
        <f>SUMIFS(Table91517[Count of EnergyRating],Table91517[MainSpaceHeatingFuel],AL60,Table91517[EnergyRating (group)],AM60,Table91517[CountyName (group)],BC$4)</f>
        <v>46</v>
      </c>
      <c r="BD60" s="1164">
        <f>SUMIFS(Table91517[Count of EnergyRating],Table91517[MainSpaceHeatingFuel],AL60,Table91517[EnergyRating (group)],AM60,Table91517[CountyName (group)],BD$4)</f>
        <v>32</v>
      </c>
      <c r="BE60" s="1164">
        <f>SUMIFS(Table91517[Count of EnergyRating],Table91517[MainSpaceHeatingFuel],AL60,Table91517[EnergyRating (group)],AM60,Table91517[CountyName (group)],BE$4)</f>
        <v>51</v>
      </c>
      <c r="BF60" s="1164">
        <f>SUMIFS(Table91517[Count of EnergyRating],Table91517[MainSpaceHeatingFuel],AL60,Table91517[EnergyRating (group)],AM60,Table91517[CountyName (group)],BF$4)</f>
        <v>104</v>
      </c>
      <c r="BG60" s="1164">
        <f>SUMIFS(Table91517[Count of EnergyRating],Table91517[MainSpaceHeatingFuel],AL60,Table91517[EnergyRating (group)],AM60,Table91517[CountyName (group)],BG$4)</f>
        <v>15</v>
      </c>
      <c r="BH60" s="1164">
        <f>SUMIFS(Table91517[Count of EnergyRating],Table91517[MainSpaceHeatingFuel],AL60,Table91517[EnergyRating (group)],AM60,Table91517[CountyName (group)],BH$4)</f>
        <v>54</v>
      </c>
      <c r="BI60" s="1164">
        <f>SUMIFS(Table91517[Count of EnergyRating],Table91517[MainSpaceHeatingFuel],AL60,Table91517[EnergyRating (group)],AM60,Table91517[CountyName (group)],BI$4)</f>
        <v>16</v>
      </c>
      <c r="BJ60" s="1164">
        <f>SUMIFS(Table91517[Count of EnergyRating],Table91517[MainSpaceHeatingFuel],AL60,Table91517[EnergyRating (group)],AM60,Table91517[CountyName (group)],BJ$4)</f>
        <v>27</v>
      </c>
      <c r="BK60" s="1135">
        <f>SUMIFS(Table91517[Count of EnergyRating],Table91517[MainSpaceHeatingFuel],AL60,Table91517[EnergyRating (group)],AM60,Table91517[CountyName (group)],BK$4)</f>
        <v>25</v>
      </c>
      <c r="BL60" s="1164">
        <f>SUMIFS(Table91517[Count of EnergyRating],Table91517[MainSpaceHeatingFuel],AL60,Table91517[EnergyRating (group)],AM60,Table91517[CountyName (group)],BL$4)</f>
        <v>70</v>
      </c>
      <c r="BM60" s="1164">
        <f>SUMIFS(Table91517[Count of EnergyRating],Table91517[MainSpaceHeatingFuel],AL60,Table91517[EnergyRating (group)],AM60,Table91517[CountyName (group)],BM$4)</f>
        <v>10</v>
      </c>
    </row>
    <row r="61" spans="2:65" ht="15">
      <c r="B61" s="1134" t="s">
        <v>1259</v>
      </c>
      <c r="C61" s="1134" t="s">
        <v>1241</v>
      </c>
      <c r="D61" s="1134" t="s">
        <v>1094</v>
      </c>
      <c r="E61" s="1145">
        <f t="shared" ref="E61:AD61" si="172">IFERROR(G178*((SUM(AN$65:AN$68)/SUM(AN$65:AN$73))/(SUM(G$178)/SUM(G$178:G$183))),G178)</f>
        <v>0.26374589679699806</v>
      </c>
      <c r="F61" s="1145">
        <f t="shared" si="172"/>
        <v>1.9509326613429365</v>
      </c>
      <c r="G61" s="1145">
        <f t="shared" si="172"/>
        <v>1.1105067097074233</v>
      </c>
      <c r="H61" s="1145">
        <f t="shared" si="172"/>
        <v>0.48496969027295206</v>
      </c>
      <c r="I61" s="1145">
        <f t="shared" si="172"/>
        <v>0.28910778413901461</v>
      </c>
      <c r="J61" s="1145">
        <f t="shared" si="172"/>
        <v>0.10213911934523554</v>
      </c>
      <c r="K61" s="1145">
        <f t="shared" si="172"/>
        <v>0.62839174099971218</v>
      </c>
      <c r="L61" s="1145">
        <f t="shared" si="172"/>
        <v>1.2773230624716705</v>
      </c>
      <c r="M61" s="1145">
        <f t="shared" si="172"/>
        <v>0.38359179669220511</v>
      </c>
      <c r="N61" s="1145">
        <f t="shared" si="172"/>
        <v>0.358972854578545</v>
      </c>
      <c r="O61" s="1145">
        <f t="shared" si="172"/>
        <v>0.46675624591701875</v>
      </c>
      <c r="P61" s="1145">
        <f t="shared" si="172"/>
        <v>0.55361132185627215</v>
      </c>
      <c r="Q61" s="1145">
        <f t="shared" si="172"/>
        <v>0.31245363923498737</v>
      </c>
      <c r="R61" s="1145">
        <f t="shared" si="172"/>
        <v>1.8795564704825265</v>
      </c>
      <c r="S61" s="1145">
        <f t="shared" si="172"/>
        <v>0.58974994903996436</v>
      </c>
      <c r="T61" s="1145">
        <f t="shared" si="172"/>
        <v>0.65002312283387575</v>
      </c>
      <c r="U61" s="1145">
        <f t="shared" si="172"/>
        <v>0.68548649734778666</v>
      </c>
      <c r="V61" s="1145">
        <f t="shared" si="172"/>
        <v>0.55157035293238821</v>
      </c>
      <c r="W61" s="1145">
        <f t="shared" si="172"/>
        <v>1.1456843833081995</v>
      </c>
      <c r="X61" s="1145">
        <f t="shared" si="172"/>
        <v>6.6670359677105523E-2</v>
      </c>
      <c r="Y61" s="1145">
        <f t="shared" si="172"/>
        <v>0.61779900332235027</v>
      </c>
      <c r="Z61" s="1145">
        <f t="shared" si="172"/>
        <v>0.24204430601178989</v>
      </c>
      <c r="AA61" s="1145">
        <f t="shared" si="172"/>
        <v>0.27889121093840835</v>
      </c>
      <c r="AB61" s="1145">
        <f t="shared" si="172"/>
        <v>0.2637254507921532</v>
      </c>
      <c r="AC61" s="1145">
        <f t="shared" si="172"/>
        <v>0.87480592606461838</v>
      </c>
      <c r="AD61" s="1145">
        <f t="shared" si="172"/>
        <v>0.3695738703480918</v>
      </c>
      <c r="AE61" s="1172">
        <f t="shared" si="4"/>
        <v>16.398083426454232</v>
      </c>
      <c r="AG61" s="58" t="s">
        <v>1107</v>
      </c>
      <c r="AH61" s="1158">
        <f>SUM(E68:AD68)</f>
        <v>33.589893856400927</v>
      </c>
      <c r="AI61" s="1140">
        <f>'SHWLP-Det'!S37</f>
        <v>33.589893856400927</v>
      </c>
      <c r="AJ61" s="1160">
        <f>(AI61-AH61)/AI61</f>
        <v>0</v>
      </c>
      <c r="AL61" s="1144" t="s">
        <v>1132</v>
      </c>
      <c r="AM61" s="1144" t="s">
        <v>60</v>
      </c>
      <c r="AN61" s="1135">
        <f>SUMIFS(Table91517[Count of EnergyRating],Table91517[MainSpaceHeatingFuel],AL61,Table91517[EnergyRating (group)],AM61,Table91517[CountyName (group)],AN$4)</f>
        <v>4</v>
      </c>
      <c r="AO61" s="1164">
        <f>SUMIFS(Table91517[Count of EnergyRating],Table91517[MainSpaceHeatingFuel],AL61,Table91517[EnergyRating (group)],AM61,Table91517[CountyName (group)],AO$4)</f>
        <v>9</v>
      </c>
      <c r="AP61" s="1164">
        <f>SUMIFS(Table91517[Count of EnergyRating],Table91517[MainSpaceHeatingFuel],AL61,Table91517[EnergyRating (group)],AM61,Table91517[CountyName (group)],AP$4)</f>
        <v>4</v>
      </c>
      <c r="AQ61" s="1164">
        <f>SUMIFS(Table91517[Count of EnergyRating],Table91517[MainSpaceHeatingFuel],AL61,Table91517[EnergyRating (group)],AM61,Table91517[CountyName (group)],AQ$4)</f>
        <v>10</v>
      </c>
      <c r="AR61" s="1164">
        <f>SUMIFS(Table91517[Count of EnergyRating],Table91517[MainSpaceHeatingFuel],AL61,Table91517[EnergyRating (group)],AM61,Table91517[CountyName (group)],AR$4)</f>
        <v>6</v>
      </c>
      <c r="AS61" s="1164">
        <f>SUMIFS(Table91517[Count of EnergyRating],Table91517[MainSpaceHeatingFuel],AL61,Table91517[EnergyRating (group)],AM61,Table91517[CountyName (group)],AS$4)</f>
        <v>8</v>
      </c>
      <c r="AT61" s="1164">
        <f>SUMIFS(Table91517[Count of EnergyRating],Table91517[MainSpaceHeatingFuel],AL61,Table91517[EnergyRating (group)],AM61,Table91517[CountyName (group)],AT$4)</f>
        <v>7</v>
      </c>
      <c r="AU61" s="1164">
        <f>SUMIFS(Table91517[Count of EnergyRating],Table91517[MainSpaceHeatingFuel],AL61,Table91517[EnergyRating (group)],AM61,Table91517[CountyName (group)],AU$4)</f>
        <v>8</v>
      </c>
      <c r="AV61" s="1164">
        <f>SUMIFS(Table91517[Count of EnergyRating],Table91517[MainSpaceHeatingFuel],AL61,Table91517[EnergyRating (group)],AM61,Table91517[CountyName (group)],AV$4)</f>
        <v>2</v>
      </c>
      <c r="AW61" s="1164">
        <f>SUMIFS(Table91517[Count of EnergyRating],Table91517[MainSpaceHeatingFuel],AL61,Table91517[EnergyRating (group)],AM61,Table91517[CountyName (group)],AW$4)</f>
        <v>8</v>
      </c>
      <c r="AX61" s="1164">
        <f>SUMIFS(Table91517[Count of EnergyRating],Table91517[MainSpaceHeatingFuel],AL61,Table91517[EnergyRating (group)],AM61,Table91517[CountyName (group)],AX$4)</f>
        <v>34</v>
      </c>
      <c r="AY61" s="1164">
        <f>SUMIFS(Table91517[Count of EnergyRating],Table91517[MainSpaceHeatingFuel],AL61,Table91517[EnergyRating (group)],AM61,Table91517[CountyName (group)],AY$4)</f>
        <v>20</v>
      </c>
      <c r="AZ61" s="1164">
        <f>SUMIFS(Table91517[Count of EnergyRating],Table91517[MainSpaceHeatingFuel],AL61,Table91517[EnergyRating (group)],AM61,Table91517[CountyName (group)],AZ$4)</f>
        <v>23</v>
      </c>
      <c r="BA61" s="1164">
        <f>SUMIFS(Table91517[Count of EnergyRating],Table91517[MainSpaceHeatingFuel],AL61,Table91517[EnergyRating (group)],AM61,Table91517[CountyName (group)],BA$4)</f>
        <v>75</v>
      </c>
      <c r="BB61" s="1164">
        <f>SUMIFS(Table91517[Count of EnergyRating],Table91517[MainSpaceHeatingFuel],AL61,Table91517[EnergyRating (group)],AM61,Table91517[CountyName (group)],BB$4)</f>
        <v>35</v>
      </c>
      <c r="BC61" s="1164">
        <f>SUMIFS(Table91517[Count of EnergyRating],Table91517[MainSpaceHeatingFuel],AL61,Table91517[EnergyRating (group)],AM61,Table91517[CountyName (group)],BC$4)</f>
        <v>26</v>
      </c>
      <c r="BD61" s="1164">
        <f>SUMIFS(Table91517[Count of EnergyRating],Table91517[MainSpaceHeatingFuel],AL61,Table91517[EnergyRating (group)],AM61,Table91517[CountyName (group)],BD$4)</f>
        <v>10</v>
      </c>
      <c r="BE61" s="1164">
        <f>SUMIFS(Table91517[Count of EnergyRating],Table91517[MainSpaceHeatingFuel],AL61,Table91517[EnergyRating (group)],AM61,Table91517[CountyName (group)],BE$4)</f>
        <v>10</v>
      </c>
      <c r="BF61" s="1164">
        <f>SUMIFS(Table91517[Count of EnergyRating],Table91517[MainSpaceHeatingFuel],AL61,Table91517[EnergyRating (group)],AM61,Table91517[CountyName (group)],BF$4)</f>
        <v>45</v>
      </c>
      <c r="BG61" s="1164">
        <f>SUMIFS(Table91517[Count of EnergyRating],Table91517[MainSpaceHeatingFuel],AL61,Table91517[EnergyRating (group)],AM61,Table91517[CountyName (group)],BG$4)</f>
        <v>9</v>
      </c>
      <c r="BH61" s="1164">
        <f>SUMIFS(Table91517[Count of EnergyRating],Table91517[MainSpaceHeatingFuel],AL61,Table91517[EnergyRating (group)],AM61,Table91517[CountyName (group)],BH$4)</f>
        <v>19</v>
      </c>
      <c r="BI61" s="1164">
        <f>SUMIFS(Table91517[Count of EnergyRating],Table91517[MainSpaceHeatingFuel],AL61,Table91517[EnergyRating (group)],AM61,Table91517[CountyName (group)],BI$4)</f>
        <v>8</v>
      </c>
      <c r="BJ61" s="1164">
        <f>SUMIFS(Table91517[Count of EnergyRating],Table91517[MainSpaceHeatingFuel],AL61,Table91517[EnergyRating (group)],AM61,Table91517[CountyName (group)],BJ$4)</f>
        <v>11</v>
      </c>
      <c r="BK61" s="1135">
        <f>SUMIFS(Table91517[Count of EnergyRating],Table91517[MainSpaceHeatingFuel],AL61,Table91517[EnergyRating (group)],AM61,Table91517[CountyName (group)],BK$4)</f>
        <v>6</v>
      </c>
      <c r="BL61" s="1164">
        <f>SUMIFS(Table91517[Count of EnergyRating],Table91517[MainSpaceHeatingFuel],AL61,Table91517[EnergyRating (group)],AM61,Table91517[CountyName (group)],BL$4)</f>
        <v>25</v>
      </c>
      <c r="BM61" s="1164">
        <f>SUMIFS(Table91517[Count of EnergyRating],Table91517[MainSpaceHeatingFuel],AL61,Table91517[EnergyRating (group)],AM61,Table91517[CountyName (group)],BM$4)</f>
        <v>3</v>
      </c>
    </row>
    <row r="62" spans="2:65">
      <c r="B62" s="1136" t="s">
        <v>56</v>
      </c>
      <c r="C62" s="1136" t="s">
        <v>1241</v>
      </c>
      <c r="D62" s="1136" t="s">
        <v>1094</v>
      </c>
      <c r="E62" s="1146">
        <f t="shared" ref="E62:AD62" si="173">IFERROR(G179*((SUM(AN$69)/SUM(AN$65:AN$73))/(SUM(G$179)/SUM(G$178:G$183))),G179)</f>
        <v>2.9305099644110894E-2</v>
      </c>
      <c r="F62" s="1146">
        <f t="shared" si="173"/>
        <v>3.9125358750724343E-2</v>
      </c>
      <c r="G62" s="1146">
        <f t="shared" si="173"/>
        <v>3.5959264885764182E-2</v>
      </c>
      <c r="H62" s="1146">
        <f t="shared" si="173"/>
        <v>6.8528325799438877E-2</v>
      </c>
      <c r="I62" s="1146">
        <f t="shared" si="173"/>
        <v>4.6134220873247013E-2</v>
      </c>
      <c r="J62" s="1146">
        <f t="shared" si="173"/>
        <v>3.3351549173954456E-2</v>
      </c>
      <c r="K62" s="1146">
        <f t="shared" si="173"/>
        <v>3.979814359664844E-2</v>
      </c>
      <c r="L62" s="1146">
        <f t="shared" si="173"/>
        <v>4.0743957335619481E-2</v>
      </c>
      <c r="M62" s="1146">
        <f t="shared" si="173"/>
        <v>4.4925165378366369E-2</v>
      </c>
      <c r="N62" s="1146">
        <f t="shared" si="173"/>
        <v>4.8031579133748975E-2</v>
      </c>
      <c r="O62" s="1146">
        <f t="shared" si="173"/>
        <v>4.9567034964639163E-2</v>
      </c>
      <c r="P62" s="1146">
        <f t="shared" si="173"/>
        <v>4.1226375031850046E-2</v>
      </c>
      <c r="Q62" s="1146">
        <f t="shared" si="173"/>
        <v>5.0243801284018071E-2</v>
      </c>
      <c r="R62" s="1146">
        <f t="shared" si="173"/>
        <v>0.12137046266792997</v>
      </c>
      <c r="S62" s="1146">
        <f t="shared" si="173"/>
        <v>4.9145829086663692E-2</v>
      </c>
      <c r="T62" s="1146">
        <f t="shared" si="173"/>
        <v>7.1134605895027916E-2</v>
      </c>
      <c r="U62" s="1146">
        <f t="shared" si="173"/>
        <v>6.9710491255707108E-2</v>
      </c>
      <c r="V62" s="1146">
        <f t="shared" si="173"/>
        <v>3.1465422818290602E-2</v>
      </c>
      <c r="W62" s="1146">
        <f t="shared" si="173"/>
        <v>0.10765898132068634</v>
      </c>
      <c r="X62" s="1146">
        <f t="shared" si="173"/>
        <v>1.3726250521757018E-2</v>
      </c>
      <c r="Y62" s="1146">
        <f t="shared" si="173"/>
        <v>6.5491060422863984E-2</v>
      </c>
      <c r="Z62" s="1146">
        <f t="shared" si="173"/>
        <v>1.4378869664066724E-2</v>
      </c>
      <c r="AA62" s="1146">
        <f t="shared" si="173"/>
        <v>3.3751165654966615E-2</v>
      </c>
      <c r="AB62" s="1146">
        <f t="shared" si="173"/>
        <v>5.5297271940290195E-2</v>
      </c>
      <c r="AC62" s="1146">
        <f t="shared" si="173"/>
        <v>5.8515446559506253E-2</v>
      </c>
      <c r="AD62" s="1146">
        <f t="shared" si="173"/>
        <v>4.8979669564204936E-2</v>
      </c>
      <c r="AE62" s="1173">
        <f t="shared" si="4"/>
        <v>1.307565403224092</v>
      </c>
      <c r="AG62" s="1164"/>
      <c r="AL62" s="1144" t="s">
        <v>1132</v>
      </c>
      <c r="AM62" s="1144" t="s">
        <v>62</v>
      </c>
      <c r="AN62" s="1135">
        <f>SUMIFS(Table91517[Count of EnergyRating],Table91517[MainSpaceHeatingFuel],AL62,Table91517[EnergyRating (group)],AM62,Table91517[CountyName (group)],AN$4)</f>
        <v>2</v>
      </c>
      <c r="AO62" s="1164">
        <f>SUMIFS(Table91517[Count of EnergyRating],Table91517[MainSpaceHeatingFuel],AL62,Table91517[EnergyRating (group)],AM62,Table91517[CountyName (group)],AO$4)</f>
        <v>5</v>
      </c>
      <c r="AP62" s="1164">
        <f>SUMIFS(Table91517[Count of EnergyRating],Table91517[MainSpaceHeatingFuel],AL62,Table91517[EnergyRating (group)],AM62,Table91517[CountyName (group)],AP$4)</f>
        <v>2</v>
      </c>
      <c r="AQ62" s="1164">
        <f>SUMIFS(Table91517[Count of EnergyRating],Table91517[MainSpaceHeatingFuel],AL62,Table91517[EnergyRating (group)],AM62,Table91517[CountyName (group)],AQ$4)</f>
        <v>3</v>
      </c>
      <c r="AR62" s="1164">
        <f>SUMIFS(Table91517[Count of EnergyRating],Table91517[MainSpaceHeatingFuel],AL62,Table91517[EnergyRating (group)],AM62,Table91517[CountyName (group)],AR$4)</f>
        <v>2</v>
      </c>
      <c r="AS62" s="1164">
        <f>SUMIFS(Table91517[Count of EnergyRating],Table91517[MainSpaceHeatingFuel],AL62,Table91517[EnergyRating (group)],AM62,Table91517[CountyName (group)],AS$4)</f>
        <v>3</v>
      </c>
      <c r="AT62" s="1164">
        <f>SUMIFS(Table91517[Count of EnergyRating],Table91517[MainSpaceHeatingFuel],AL62,Table91517[EnergyRating (group)],AM62,Table91517[CountyName (group)],AT$4)</f>
        <v>1</v>
      </c>
      <c r="AU62" s="1164">
        <f>SUMIFS(Table91517[Count of EnergyRating],Table91517[MainSpaceHeatingFuel],AL62,Table91517[EnergyRating (group)],AM62,Table91517[CountyName (group)],AU$4)</f>
        <v>6</v>
      </c>
      <c r="AV62" s="1164">
        <f>SUMIFS(Table91517[Count of EnergyRating],Table91517[MainSpaceHeatingFuel],AL62,Table91517[EnergyRating (group)],AM62,Table91517[CountyName (group)],AV$4)</f>
        <v>2</v>
      </c>
      <c r="AW62" s="1164">
        <f>SUMIFS(Table91517[Count of EnergyRating],Table91517[MainSpaceHeatingFuel],AL62,Table91517[EnergyRating (group)],AM62,Table91517[CountyName (group)],AW$4)</f>
        <v>4</v>
      </c>
      <c r="AX62" s="1164">
        <f>SUMIFS(Table91517[Count of EnergyRating],Table91517[MainSpaceHeatingFuel],AL62,Table91517[EnergyRating (group)],AM62,Table91517[CountyName (group)],AX$4)</f>
        <v>7</v>
      </c>
      <c r="AY62" s="1164">
        <f>SUMIFS(Table91517[Count of EnergyRating],Table91517[MainSpaceHeatingFuel],AL62,Table91517[EnergyRating (group)],AM62,Table91517[CountyName (group)],AY$4)</f>
        <v>7</v>
      </c>
      <c r="AZ62" s="1164">
        <f>SUMIFS(Table91517[Count of EnergyRating],Table91517[MainSpaceHeatingFuel],AL62,Table91517[EnergyRating (group)],AM62,Table91517[CountyName (group)],AZ$4)</f>
        <v>12</v>
      </c>
      <c r="BA62" s="1164">
        <f>SUMIFS(Table91517[Count of EnergyRating],Table91517[MainSpaceHeatingFuel],AL62,Table91517[EnergyRating (group)],AM62,Table91517[CountyName (group)],BA$4)</f>
        <v>29</v>
      </c>
      <c r="BB62" s="1164">
        <f>SUMIFS(Table91517[Count of EnergyRating],Table91517[MainSpaceHeatingFuel],AL62,Table91517[EnergyRating (group)],AM62,Table91517[CountyName (group)],BB$4)</f>
        <v>14</v>
      </c>
      <c r="BC62" s="1164">
        <f>SUMIFS(Table91517[Count of EnergyRating],Table91517[MainSpaceHeatingFuel],AL62,Table91517[EnergyRating (group)],AM62,Table91517[CountyName (group)],BC$4)</f>
        <v>4</v>
      </c>
      <c r="BD62" s="1164">
        <f>SUMIFS(Table91517[Count of EnergyRating],Table91517[MainSpaceHeatingFuel],AL62,Table91517[EnergyRating (group)],AM62,Table91517[CountyName (group)],BD$4)</f>
        <v>4</v>
      </c>
      <c r="BE62" s="1164">
        <f>SUMIFS(Table91517[Count of EnergyRating],Table91517[MainSpaceHeatingFuel],AL62,Table91517[EnergyRating (group)],AM62,Table91517[CountyName (group)],BE$4)</f>
        <v>3</v>
      </c>
      <c r="BF62" s="1152">
        <f>SUMIFS(Table91517[Count of EnergyRating],Table91517[MainSpaceHeatingFuel],AL62,Table91517[EnergyRating (group)],AM62,Table91517[CountyName (group)],BF$4)</f>
        <v>10</v>
      </c>
      <c r="BG62" s="1164">
        <f>SUMIFS(Table91517[Count of EnergyRating],Table91517[MainSpaceHeatingFuel],AL62,Table91517[EnergyRating (group)],AM62,Table91517[CountyName (group)],BG$4)</f>
        <v>5</v>
      </c>
      <c r="BH62" s="1164">
        <f>SUMIFS(Table91517[Count of EnergyRating],Table91517[MainSpaceHeatingFuel],AL62,Table91517[EnergyRating (group)],AM62,Table91517[CountyName (group)],BH$4)</f>
        <v>7</v>
      </c>
      <c r="BI62" s="1164">
        <f>SUMIFS(Table91517[Count of EnergyRating],Table91517[MainSpaceHeatingFuel],AL62,Table91517[EnergyRating (group)],AM62,Table91517[CountyName (group)],BI$4)</f>
        <v>6</v>
      </c>
      <c r="BJ62" s="1164">
        <f>SUMIFS(Table91517[Count of EnergyRating],Table91517[MainSpaceHeatingFuel],AL62,Table91517[EnergyRating (group)],AM62,Table91517[CountyName (group)],BJ$4)</f>
        <v>3</v>
      </c>
      <c r="BK62" s="1135">
        <f>SUMIFS(Table91517[Count of EnergyRating],Table91517[MainSpaceHeatingFuel],AL62,Table91517[EnergyRating (group)],AM62,Table91517[CountyName (group)],BK$4)</f>
        <v>5</v>
      </c>
      <c r="BL62" s="1164">
        <f>SUMIFS(Table91517[Count of EnergyRating],Table91517[MainSpaceHeatingFuel],AL62,Table91517[EnergyRating (group)],AM62,Table91517[CountyName (group)],BL$4)</f>
        <v>8</v>
      </c>
      <c r="BM62" s="1164">
        <f>SUMIFS(Table91517[Count of EnergyRating],Table91517[MainSpaceHeatingFuel],AL62,Table91517[EnergyRating (group)],AM62,Table91517[CountyName (group)],BM$4)</f>
        <v>2</v>
      </c>
    </row>
    <row r="63" spans="2:65">
      <c r="B63" s="1134" t="s">
        <v>58</v>
      </c>
      <c r="C63" s="1134" t="s">
        <v>1241</v>
      </c>
      <c r="D63" s="1134" t="s">
        <v>1094</v>
      </c>
      <c r="E63" s="1145">
        <f t="shared" ref="E63:AD63" si="174">IFERROR(G180*((SUM(AN$70)/SUM(AN$65:AN$73))/(SUM(G$180)/SUM(G$178:G$183))),G180)</f>
        <v>2.4420916370092405E-2</v>
      </c>
      <c r="F63" s="1145">
        <f t="shared" si="174"/>
        <v>7.2915441308168114E-2</v>
      </c>
      <c r="G63" s="1145">
        <f t="shared" si="174"/>
        <v>3.3844014010130992E-2</v>
      </c>
      <c r="H63" s="1145">
        <f t="shared" si="174"/>
        <v>8.1706849991638658E-2</v>
      </c>
      <c r="I63" s="1145">
        <f t="shared" si="174"/>
        <v>7.0739138672312088E-2</v>
      </c>
      <c r="J63" s="1145">
        <f t="shared" si="174"/>
        <v>6.2534154701164607E-2</v>
      </c>
      <c r="K63" s="1145">
        <f t="shared" si="174"/>
        <v>2.304103050332278E-2</v>
      </c>
      <c r="L63" s="1145">
        <f t="shared" si="174"/>
        <v>4.2781155202400445E-2</v>
      </c>
      <c r="M63" s="1145">
        <f t="shared" si="174"/>
        <v>5.8748293187094479E-2</v>
      </c>
      <c r="N63" s="1145">
        <f t="shared" si="174"/>
        <v>3.0335734189736195E-2</v>
      </c>
      <c r="O63" s="1145">
        <f t="shared" si="174"/>
        <v>0.20515245027031215</v>
      </c>
      <c r="P63" s="1145">
        <f t="shared" si="174"/>
        <v>7.2146156305737591E-2</v>
      </c>
      <c r="Q63" s="1145">
        <f t="shared" si="174"/>
        <v>0.18841425481506779</v>
      </c>
      <c r="R63" s="1145">
        <f t="shared" si="174"/>
        <v>0.33882587494797117</v>
      </c>
      <c r="S63" s="1145">
        <f t="shared" si="174"/>
        <v>0.22607081379865299</v>
      </c>
      <c r="T63" s="1145">
        <f t="shared" si="174"/>
        <v>6.1322936116403354E-2</v>
      </c>
      <c r="U63" s="1145">
        <f t="shared" si="174"/>
        <v>0.10224205384170376</v>
      </c>
      <c r="V63" s="1145">
        <f t="shared" si="174"/>
        <v>7.0334474535002522E-2</v>
      </c>
      <c r="W63" s="1145">
        <f t="shared" si="174"/>
        <v>0.22013851404379145</v>
      </c>
      <c r="X63" s="1145">
        <f t="shared" si="174"/>
        <v>9.6083753652299139E-2</v>
      </c>
      <c r="Y63" s="1145">
        <f t="shared" si="174"/>
        <v>0.10478569667658237</v>
      </c>
      <c r="Z63" s="1145">
        <f t="shared" si="174"/>
        <v>0.13180630525394499</v>
      </c>
      <c r="AA63" s="1145">
        <f t="shared" si="174"/>
        <v>6.5725954170198136E-2</v>
      </c>
      <c r="AB63" s="1145">
        <f t="shared" si="174"/>
        <v>0.14462363430537437</v>
      </c>
      <c r="AC63" s="1145">
        <f t="shared" si="174"/>
        <v>0.17262056735054343</v>
      </c>
      <c r="AD63" s="1145">
        <f t="shared" si="174"/>
        <v>5.3432366797314487E-2</v>
      </c>
      <c r="AE63" s="1172">
        <f t="shared" si="4"/>
        <v>2.7547925350169602</v>
      </c>
      <c r="AG63" s="1164"/>
      <c r="AL63" s="1144" t="s">
        <v>1132</v>
      </c>
      <c r="AM63" s="1144" t="s">
        <v>64</v>
      </c>
      <c r="AN63" s="1135">
        <f>SUMIFS(Table91517[Count of EnergyRating],Table91517[MainSpaceHeatingFuel],AL63,Table91517[EnergyRating (group)],AM63,Table91517[CountyName (group)],AN$4)</f>
        <v>0</v>
      </c>
      <c r="AO63" s="1164">
        <f>SUMIFS(Table91517[Count of EnergyRating],Table91517[MainSpaceHeatingFuel],AL63,Table91517[EnergyRating (group)],AM63,Table91517[CountyName (group)],AO$4)</f>
        <v>3</v>
      </c>
      <c r="AP63" s="1164">
        <f>SUMIFS(Table91517[Count of EnergyRating],Table91517[MainSpaceHeatingFuel],AL63,Table91517[EnergyRating (group)],AM63,Table91517[CountyName (group)],AP$4)</f>
        <v>1</v>
      </c>
      <c r="AQ63" s="1164">
        <f>SUMIFS(Table91517[Count of EnergyRating],Table91517[MainSpaceHeatingFuel],AL63,Table91517[EnergyRating (group)],AM63,Table91517[CountyName (group)],AQ$4)</f>
        <v>0</v>
      </c>
      <c r="AR63" s="1164">
        <f>SUMIFS(Table91517[Count of EnergyRating],Table91517[MainSpaceHeatingFuel],AL63,Table91517[EnergyRating (group)],AM63,Table91517[CountyName (group)],AR$4)</f>
        <v>3</v>
      </c>
      <c r="AS63" s="1164">
        <f>SUMIFS(Table91517[Count of EnergyRating],Table91517[MainSpaceHeatingFuel],AL63,Table91517[EnergyRating (group)],AM63,Table91517[CountyName (group)],AS$4)</f>
        <v>2</v>
      </c>
      <c r="AT63" s="1164">
        <f>SUMIFS(Table91517[Count of EnergyRating],Table91517[MainSpaceHeatingFuel],AL63,Table91517[EnergyRating (group)],AM63,Table91517[CountyName (group)],AT$4)</f>
        <v>2</v>
      </c>
      <c r="AU63" s="1164">
        <f>SUMIFS(Table91517[Count of EnergyRating],Table91517[MainSpaceHeatingFuel],AL63,Table91517[EnergyRating (group)],AM63,Table91517[CountyName (group)],AU$4)</f>
        <v>4</v>
      </c>
      <c r="AV63" s="1164">
        <f>SUMIFS(Table91517[Count of EnergyRating],Table91517[MainSpaceHeatingFuel],AL63,Table91517[EnergyRating (group)],AM63,Table91517[CountyName (group)],AV$4)</f>
        <v>3</v>
      </c>
      <c r="AW63" s="1164">
        <f>SUMIFS(Table91517[Count of EnergyRating],Table91517[MainSpaceHeatingFuel],AL63,Table91517[EnergyRating (group)],AM63,Table91517[CountyName (group)],AW$4)</f>
        <v>2</v>
      </c>
      <c r="AX63" s="1164">
        <f>SUMIFS(Table91517[Count of EnergyRating],Table91517[MainSpaceHeatingFuel],AL63,Table91517[EnergyRating (group)],AM63,Table91517[CountyName (group)],AX$4)</f>
        <v>5</v>
      </c>
      <c r="AY63" s="1164">
        <f>SUMIFS(Table91517[Count of EnergyRating],Table91517[MainSpaceHeatingFuel],AL63,Table91517[EnergyRating (group)],AM63,Table91517[CountyName (group)],AY$4)</f>
        <v>11</v>
      </c>
      <c r="AZ63" s="1164">
        <f>SUMIFS(Table91517[Count of EnergyRating],Table91517[MainSpaceHeatingFuel],AL63,Table91517[EnergyRating (group)],AM63,Table91517[CountyName (group)],AZ$4)</f>
        <v>8</v>
      </c>
      <c r="BA63" s="1164">
        <f>SUMIFS(Table91517[Count of EnergyRating],Table91517[MainSpaceHeatingFuel],AL63,Table91517[EnergyRating (group)],AM63,Table91517[CountyName (group)],BA$4)</f>
        <v>27</v>
      </c>
      <c r="BB63" s="1164">
        <f>SUMIFS(Table91517[Count of EnergyRating],Table91517[MainSpaceHeatingFuel],AL63,Table91517[EnergyRating (group)],AM63,Table91517[CountyName (group)],BB$4)</f>
        <v>20</v>
      </c>
      <c r="BC63" s="1164">
        <f>SUMIFS(Table91517[Count of EnergyRating],Table91517[MainSpaceHeatingFuel],AL63,Table91517[EnergyRating (group)],AM63,Table91517[CountyName (group)],BC$4)</f>
        <v>3</v>
      </c>
      <c r="BD63" s="1164">
        <f>SUMIFS(Table91517[Count of EnergyRating],Table91517[MainSpaceHeatingFuel],AL63,Table91517[EnergyRating (group)],AM63,Table91517[CountyName (group)],BD$4)</f>
        <v>5</v>
      </c>
      <c r="BE63" s="1164">
        <f>SUMIFS(Table91517[Count of EnergyRating],Table91517[MainSpaceHeatingFuel],AL63,Table91517[EnergyRating (group)],AM63,Table91517[CountyName (group)],BE$4)</f>
        <v>3</v>
      </c>
      <c r="BF63" s="1164">
        <f>SUMIFS(Table91517[Count of EnergyRating],Table91517[MainSpaceHeatingFuel],AL63,Table91517[EnergyRating (group)],AM63,Table91517[CountyName (group)],BF$4)</f>
        <v>20</v>
      </c>
      <c r="BG63" s="1164">
        <f>SUMIFS(Table91517[Count of EnergyRating],Table91517[MainSpaceHeatingFuel],AL63,Table91517[EnergyRating (group)],AM63,Table91517[CountyName (group)],BG$4)</f>
        <v>5</v>
      </c>
      <c r="BH63" s="1164">
        <f>SUMIFS(Table91517[Count of EnergyRating],Table91517[MainSpaceHeatingFuel],AL63,Table91517[EnergyRating (group)],AM63,Table91517[CountyName (group)],BH$4)</f>
        <v>12</v>
      </c>
      <c r="BI63" s="1164">
        <f>SUMIFS(Table91517[Count of EnergyRating],Table91517[MainSpaceHeatingFuel],AL63,Table91517[EnergyRating (group)],AM63,Table91517[CountyName (group)],BI$4)</f>
        <v>8</v>
      </c>
      <c r="BJ63" s="1164">
        <f>SUMIFS(Table91517[Count of EnergyRating],Table91517[MainSpaceHeatingFuel],AL63,Table91517[EnergyRating (group)],AM63,Table91517[CountyName (group)],BJ$4)</f>
        <v>8</v>
      </c>
      <c r="BK63" s="1135">
        <f>SUMIFS(Table91517[Count of EnergyRating],Table91517[MainSpaceHeatingFuel],AL63,Table91517[EnergyRating (group)],AM63,Table91517[CountyName (group)],BK$4)</f>
        <v>3</v>
      </c>
      <c r="BL63" s="1164">
        <f>SUMIFS(Table91517[Count of EnergyRating],Table91517[MainSpaceHeatingFuel],AL63,Table91517[EnergyRating (group)],AM63,Table91517[CountyName (group)],BL$4)</f>
        <v>8</v>
      </c>
      <c r="BM63" s="1164">
        <f>SUMIFS(Table91517[Count of EnergyRating],Table91517[MainSpaceHeatingFuel],AL63,Table91517[EnergyRating (group)],AM63,Table91517[CountyName (group)],BM$4)</f>
        <v>1</v>
      </c>
    </row>
    <row r="64" spans="2:65">
      <c r="B64" s="1136" t="s">
        <v>60</v>
      </c>
      <c r="C64" s="1136" t="s">
        <v>1241</v>
      </c>
      <c r="D64" s="1136" t="s">
        <v>1094</v>
      </c>
      <c r="E64" s="1146">
        <f t="shared" ref="E64:AD64" si="175">IFERROR(G181*((SUM(AN$71)/SUM(AN$65:AN$73))/(SUM(G$181)/SUM(G$178:G$183))),G181)</f>
        <v>1.4652549822055444E-2</v>
      </c>
      <c r="F64" s="1146">
        <f t="shared" si="175"/>
        <v>9.4256546081290471E-2</v>
      </c>
      <c r="G64" s="1146">
        <f t="shared" si="175"/>
        <v>5.0766021015196491E-2</v>
      </c>
      <c r="H64" s="1146">
        <f t="shared" si="175"/>
        <v>3.953557257659935E-2</v>
      </c>
      <c r="I64" s="1146">
        <f t="shared" si="175"/>
        <v>9.84196711962603E-2</v>
      </c>
      <c r="J64" s="1146">
        <f t="shared" si="175"/>
        <v>9.5885703875119063E-2</v>
      </c>
      <c r="K64" s="1146">
        <f t="shared" si="175"/>
        <v>1.4662473956659951E-2</v>
      </c>
      <c r="L64" s="1146">
        <f t="shared" si="175"/>
        <v>2.8520770134933635E-2</v>
      </c>
      <c r="M64" s="1146">
        <f t="shared" si="175"/>
        <v>7.2571420995822589E-2</v>
      </c>
      <c r="N64" s="1146">
        <f t="shared" si="175"/>
        <v>6.8255401926906434E-2</v>
      </c>
      <c r="O64" s="1146">
        <f t="shared" si="175"/>
        <v>0.30153279603488825</v>
      </c>
      <c r="P64" s="1146">
        <f t="shared" si="175"/>
        <v>9.8648825969069764E-2</v>
      </c>
      <c r="Q64" s="1146">
        <f t="shared" si="175"/>
        <v>0.23394769972870916</v>
      </c>
      <c r="R64" s="1146">
        <f t="shared" si="175"/>
        <v>0.33882587494797117</v>
      </c>
      <c r="S64" s="1146">
        <f t="shared" si="175"/>
        <v>0.27153070570381693</v>
      </c>
      <c r="T64" s="1146">
        <f t="shared" si="175"/>
        <v>9.5663780341589247E-2</v>
      </c>
      <c r="U64" s="1146">
        <f t="shared" si="175"/>
        <v>0.13942098251141424</v>
      </c>
      <c r="V64" s="1146">
        <f t="shared" si="175"/>
        <v>5.9229031187370544E-2</v>
      </c>
      <c r="W64" s="1146">
        <f t="shared" si="175"/>
        <v>0.25709607479566887</v>
      </c>
      <c r="X64" s="1146">
        <f t="shared" si="175"/>
        <v>4.3139644496950631E-2</v>
      </c>
      <c r="Y64" s="1146">
        <f t="shared" si="175"/>
        <v>0.21830353474287997</v>
      </c>
      <c r="Z64" s="1146">
        <f t="shared" si="175"/>
        <v>6.7101391765644711E-2</v>
      </c>
      <c r="AA64" s="1146">
        <f t="shared" si="175"/>
        <v>9.2371611266224396E-2</v>
      </c>
      <c r="AB64" s="1146">
        <f t="shared" si="175"/>
        <v>0.14036999800227512</v>
      </c>
      <c r="AC64" s="1146">
        <f t="shared" si="175"/>
        <v>0.140437071742815</v>
      </c>
      <c r="AD64" s="1146">
        <f t="shared" si="175"/>
        <v>2.2263486165547703E-2</v>
      </c>
      <c r="AE64" s="1173">
        <f t="shared" si="4"/>
        <v>3.0974086409836796</v>
      </c>
      <c r="AG64" s="1164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</row>
    <row r="65" spans="2:65">
      <c r="B65" s="1134" t="s">
        <v>62</v>
      </c>
      <c r="C65" s="1134" t="s">
        <v>1241</v>
      </c>
      <c r="D65" s="1134" t="s">
        <v>1094</v>
      </c>
      <c r="E65" s="1145">
        <f t="shared" ref="E65:AD65" si="176">IFERROR(G182*((SUM(AN$72)/SUM(AN$65:AN$73))/(SUM(G$182)/SUM(G$178:G$183))),G182)</f>
        <v>4.8841832740184811E-2</v>
      </c>
      <c r="F65" s="1145">
        <f t="shared" si="176"/>
        <v>7.6472292103688513E-2</v>
      </c>
      <c r="G65" s="1145">
        <f t="shared" si="176"/>
        <v>2.7498261383231429E-2</v>
      </c>
      <c r="H65" s="1145">
        <f t="shared" si="176"/>
        <v>3.1628458061279487E-2</v>
      </c>
      <c r="I65" s="1145">
        <f t="shared" si="176"/>
        <v>3.3831761973714472E-2</v>
      </c>
      <c r="J65" s="1145">
        <f t="shared" si="176"/>
        <v>2.9182605527210147E-2</v>
      </c>
      <c r="K65" s="1145">
        <f t="shared" si="176"/>
        <v>2.0946391366657071E-2</v>
      </c>
      <c r="L65" s="1145">
        <f t="shared" si="176"/>
        <v>1.2223187200685841E-2</v>
      </c>
      <c r="M65" s="1145">
        <f t="shared" si="176"/>
        <v>5.1836729282730434E-2</v>
      </c>
      <c r="N65" s="1145">
        <f t="shared" si="176"/>
        <v>5.5615512681183019E-2</v>
      </c>
      <c r="O65" s="1145">
        <f t="shared" si="176"/>
        <v>0.15558541530567291</v>
      </c>
      <c r="P65" s="1145">
        <f t="shared" si="176"/>
        <v>6.4784303621478662E-2</v>
      </c>
      <c r="Q65" s="1145">
        <f t="shared" si="176"/>
        <v>9.2637008617408312E-2</v>
      </c>
      <c r="R65" s="1145">
        <f t="shared" si="176"/>
        <v>0.220826814020817</v>
      </c>
      <c r="S65" s="1145">
        <f t="shared" si="176"/>
        <v>0.13392238426115857</v>
      </c>
      <c r="T65" s="1145">
        <f t="shared" si="176"/>
        <v>8.3399193118308582E-2</v>
      </c>
      <c r="U65" s="1145">
        <f t="shared" si="176"/>
        <v>7.9005223423134721E-2</v>
      </c>
      <c r="V65" s="1145">
        <f t="shared" si="176"/>
        <v>4.2570866165922573E-2</v>
      </c>
      <c r="W65" s="1145">
        <f t="shared" si="176"/>
        <v>0.16229189721476597</v>
      </c>
      <c r="X65" s="1145">
        <f t="shared" si="176"/>
        <v>2.9413393975193616E-2</v>
      </c>
      <c r="Y65" s="1145">
        <f t="shared" si="176"/>
        <v>0.12006694410858398</v>
      </c>
      <c r="Z65" s="1145">
        <f t="shared" si="176"/>
        <v>5.0326043824233536E-2</v>
      </c>
      <c r="AA65" s="1145">
        <f t="shared" si="176"/>
        <v>3.0198411375496444E-2</v>
      </c>
      <c r="AB65" s="1145">
        <f t="shared" si="176"/>
        <v>4.8916817485641334E-2</v>
      </c>
      <c r="AC65" s="1145">
        <f t="shared" si="176"/>
        <v>6.4366991215456873E-2</v>
      </c>
      <c r="AD65" s="1145">
        <f t="shared" si="176"/>
        <v>1.7810788932438162E-2</v>
      </c>
      <c r="AE65" s="1172">
        <f t="shared" si="4"/>
        <v>1.7841995289862767</v>
      </c>
      <c r="AG65" s="1164"/>
      <c r="AL65" s="1144" t="s">
        <v>136</v>
      </c>
      <c r="AM65" s="1144" t="s">
        <v>48</v>
      </c>
      <c r="AN65" s="1135">
        <f>SUMIFS(Table91517[Count of EnergyRating],Table91517[MainSpaceHeatingFuel],AL65,Table91517[EnergyRating (group)],AM65,Table91517[CountyName (group)],AN$4)</f>
        <v>73</v>
      </c>
      <c r="AO65" s="1164">
        <f>SUMIFS(Table91517[Count of EnergyRating],Table91517[MainSpaceHeatingFuel],AL65,Table91517[EnergyRating (group)],AM65,Table91517[CountyName (group)],AO$4)</f>
        <v>957</v>
      </c>
      <c r="AP65" s="1164">
        <f>SUMIFS(Table91517[Count of EnergyRating],Table91517[MainSpaceHeatingFuel],AL65,Table91517[EnergyRating (group)],AM65,Table91517[CountyName (group)],AP$4)</f>
        <v>436</v>
      </c>
      <c r="AQ65" s="1164">
        <f>SUMIFS(Table91517[Count of EnergyRating],Table91517[MainSpaceHeatingFuel],AL65,Table91517[EnergyRating (group)],AM65,Table91517[CountyName (group)],AQ$4)</f>
        <v>121</v>
      </c>
      <c r="AR65" s="1164">
        <f>SUMIFS(Table91517[Count of EnergyRating],Table91517[MainSpaceHeatingFuel],AL65,Table91517[EnergyRating (group)],AM65,Table91517[CountyName (group)],AR$4)</f>
        <v>62</v>
      </c>
      <c r="AS65" s="1164">
        <f>SUMIFS(Table91517[Count of EnergyRating],Table91517[MainSpaceHeatingFuel],AL65,Table91517[EnergyRating (group)],AM65,Table91517[CountyName (group)],AS$4)</f>
        <v>20</v>
      </c>
      <c r="AT65" s="1164">
        <f>SUMIFS(Table91517[Count of EnergyRating],Table91517[MainSpaceHeatingFuel],AL65,Table91517[EnergyRating (group)],AM65,Table91517[CountyName (group)],AT$4)</f>
        <v>216</v>
      </c>
      <c r="AU65" s="1164">
        <f>SUMIFS(Table91517[Count of EnergyRating],Table91517[MainSpaceHeatingFuel],AL65,Table91517[EnergyRating (group)],AM65,Table91517[CountyName (group)],AU$4)</f>
        <v>561</v>
      </c>
      <c r="AV65" s="1164">
        <f>SUMIFS(Table91517[Count of EnergyRating],Table91517[MainSpaceHeatingFuel],AL65,Table91517[EnergyRating (group)],AM65,Table91517[CountyName (group)],AV$4)</f>
        <v>66</v>
      </c>
      <c r="AW65" s="1164">
        <f>SUMIFS(Table91517[Count of EnergyRating],Table91517[MainSpaceHeatingFuel],AL65,Table91517[EnergyRating (group)],AM65,Table91517[CountyName (group)],AW$4)</f>
        <v>90</v>
      </c>
      <c r="AX65" s="1164">
        <f>SUMIFS(Table91517[Count of EnergyRating],Table91517[MainSpaceHeatingFuel],AL65,Table91517[EnergyRating (group)],AM65,Table91517[CountyName (group)],AX$4)</f>
        <v>231</v>
      </c>
      <c r="AY65" s="1164">
        <f>SUMIFS(Table91517[Count of EnergyRating],Table91517[MainSpaceHeatingFuel],AL65,Table91517[EnergyRating (group)],AM65,Table91517[CountyName (group)],AY$4)</f>
        <v>276</v>
      </c>
      <c r="AZ65" s="1164">
        <f>SUMIFS(Table91517[Count of EnergyRating],Table91517[MainSpaceHeatingFuel],AL65,Table91517[EnergyRating (group)],AM65,Table91517[CountyName (group)],AZ$4)</f>
        <v>125</v>
      </c>
      <c r="BA65" s="1164">
        <f>SUMIFS(Table91517[Count of EnergyRating],Table91517[MainSpaceHeatingFuel],AL65,Table91517[EnergyRating (group)],AM65,Table91517[CountyName (group)],BA$4)</f>
        <v>828</v>
      </c>
      <c r="BB65" s="1164">
        <f>SUMIFS(Table91517[Count of EnergyRating],Table91517[MainSpaceHeatingFuel],AL65,Table91517[EnergyRating (group)],AM65,Table91517[CountyName (group)],BB$4)</f>
        <v>282</v>
      </c>
      <c r="BC65" s="1164">
        <f>SUMIFS(Table91517[Count of EnergyRating],Table91517[MainSpaceHeatingFuel],AL65,Table91517[EnergyRating (group)],AM65,Table91517[CountyName (group)],BC$4)</f>
        <v>188</v>
      </c>
      <c r="BD65" s="1164">
        <f>SUMIFS(Table91517[Count of EnergyRating],Table91517[MainSpaceHeatingFuel],AL65,Table91517[EnergyRating (group)],AM65,Table91517[CountyName (group)],BD$4)</f>
        <v>172</v>
      </c>
      <c r="BE65" s="1164">
        <f>SUMIFS(Table91517[Count of EnergyRating],Table91517[MainSpaceHeatingFuel],AL65,Table91517[EnergyRating (group)],AM65,Table91517[CountyName (group)],BE$4)</f>
        <v>231</v>
      </c>
      <c r="BF65" s="1164">
        <f>SUMIFS(Table91517[Count of EnergyRating],Table91517[MainSpaceHeatingFuel],AL65,Table91517[EnergyRating (group)],AM65,Table91517[CountyName (group)],BF$4)</f>
        <v>506</v>
      </c>
      <c r="BG65" s="1164">
        <f>SUMIFS(Table91517[Count of EnergyRating],Table91517[MainSpaceHeatingFuel],AL65,Table91517[EnergyRating (group)],AM65,Table91517[CountyName (group)],BG$4)</f>
        <v>10</v>
      </c>
      <c r="BH65" s="1164">
        <f>SUMIFS(Table91517[Count of EnergyRating],Table91517[MainSpaceHeatingFuel],AL65,Table91517[EnergyRating (group)],AM65,Table91517[CountyName (group)],BH$4)</f>
        <v>183</v>
      </c>
      <c r="BI65" s="1164">
        <f>SUMIFS(Table91517[Count of EnergyRating],Table91517[MainSpaceHeatingFuel],AL65,Table91517[EnergyRating (group)],AM65,Table91517[CountyName (group)],BI$4)</f>
        <v>62</v>
      </c>
      <c r="BJ65" s="1164">
        <f>SUMIFS(Table91517[Count of EnergyRating],Table91517[MainSpaceHeatingFuel],AL65,Table91517[EnergyRating (group)],AM65,Table91517[CountyName (group)],BJ$4)</f>
        <v>109</v>
      </c>
      <c r="BK65" s="1135">
        <f>SUMIFS(Table91517[Count of EnergyRating],Table91517[MainSpaceHeatingFuel],AL65,Table91517[EnergyRating (group)],AM65,Table91517[CountyName (group)],BK$4)</f>
        <v>79</v>
      </c>
      <c r="BL65" s="1164">
        <f>SUMIFS(Table91517[Count of EnergyRating],Table91517[MainSpaceHeatingFuel],AL65,Table91517[EnergyRating (group)],AM65,Table91517[CountyName (group)],BL$4)</f>
        <v>161</v>
      </c>
      <c r="BM65" s="1164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38" t="s">
        <v>64</v>
      </c>
      <c r="C66" s="1138" t="s">
        <v>1241</v>
      </c>
      <c r="D66" s="1138" t="s">
        <v>1094</v>
      </c>
      <c r="E66" s="1147">
        <f t="shared" ref="E66:AD66" si="177">IFERROR(G183*((SUM(AN$73)/SUM(AN$65:AN$73))/(SUM(G$183)/SUM(G$178:G$183))),G183)</f>
        <v>0.12943085676148977</v>
      </c>
      <c r="F66" s="1147">
        <f t="shared" si="177"/>
        <v>0.41615154307588625</v>
      </c>
      <c r="G66" s="1147">
        <f t="shared" si="177"/>
        <v>0.17133532092628814</v>
      </c>
      <c r="H66" s="1147">
        <f t="shared" si="177"/>
        <v>0.27938471287463545</v>
      </c>
      <c r="I66" s="1147">
        <f t="shared" si="177"/>
        <v>0.23067110436623506</v>
      </c>
      <c r="J66" s="1147">
        <f t="shared" si="177"/>
        <v>0.13549066851918998</v>
      </c>
      <c r="K66" s="1147">
        <f t="shared" si="177"/>
        <v>0.16338185265992519</v>
      </c>
      <c r="L66" s="1147">
        <f t="shared" si="177"/>
        <v>0.21798017174556417</v>
      </c>
      <c r="M66" s="1147">
        <f t="shared" si="177"/>
        <v>0.14168706003946316</v>
      </c>
      <c r="N66" s="1147">
        <f t="shared" si="177"/>
        <v>0.23257396212131082</v>
      </c>
      <c r="O66" s="1147">
        <f t="shared" si="177"/>
        <v>0.41994293511708186</v>
      </c>
      <c r="P66" s="1147">
        <f t="shared" si="177"/>
        <v>0.23263454482258242</v>
      </c>
      <c r="Q66" s="1147">
        <f t="shared" si="177"/>
        <v>0.35955720293875432</v>
      </c>
      <c r="R66" s="1147">
        <f t="shared" si="177"/>
        <v>1.2861897641059801</v>
      </c>
      <c r="S66" s="1147">
        <f t="shared" si="177"/>
        <v>0.44599839896147303</v>
      </c>
      <c r="T66" s="1147">
        <f t="shared" si="177"/>
        <v>0.58379435182815997</v>
      </c>
      <c r="U66" s="1147">
        <f t="shared" si="177"/>
        <v>0.57394971133865524</v>
      </c>
      <c r="V66" s="1147">
        <f t="shared" si="177"/>
        <v>0.14807257796842635</v>
      </c>
      <c r="W66" s="1147">
        <f t="shared" si="177"/>
        <v>0.7198690094278728</v>
      </c>
      <c r="X66" s="1147">
        <f t="shared" si="177"/>
        <v>0.18040214971452084</v>
      </c>
      <c r="Y66" s="1147">
        <f t="shared" si="177"/>
        <v>0.51083027129833913</v>
      </c>
      <c r="Z66" s="1147">
        <f t="shared" si="177"/>
        <v>0.34748935021494587</v>
      </c>
      <c r="AA66" s="1147">
        <f t="shared" si="177"/>
        <v>0.18296684539271374</v>
      </c>
      <c r="AB66" s="1147">
        <f t="shared" si="177"/>
        <v>0.20204772439721416</v>
      </c>
      <c r="AC66" s="1147">
        <f t="shared" si="177"/>
        <v>0.61148641654684033</v>
      </c>
      <c r="AD66" s="1147">
        <f t="shared" si="177"/>
        <v>0.15584440315883388</v>
      </c>
      <c r="AE66" s="1174">
        <f t="shared" si="4"/>
        <v>9.079162910322383</v>
      </c>
      <c r="AG66" s="1164"/>
      <c r="AL66" s="1144" t="s">
        <v>136</v>
      </c>
      <c r="AM66" s="1144" t="s">
        <v>50</v>
      </c>
      <c r="AN66" s="1135">
        <f>SUMIFS(Table91517[Count of EnergyRating],Table91517[MainSpaceHeatingFuel],AL66,Table91517[EnergyRating (group)],AM66,Table91517[CountyName (group)],AN$4)</f>
        <v>9</v>
      </c>
      <c r="AO66" s="1164">
        <f>SUMIFS(Table91517[Count of EnergyRating],Table91517[MainSpaceHeatingFuel],AL66,Table91517[EnergyRating (group)],AM66,Table91517[CountyName (group)],AO$4)</f>
        <v>63</v>
      </c>
      <c r="AP66" s="1164">
        <f>SUMIFS(Table91517[Count of EnergyRating],Table91517[MainSpaceHeatingFuel],AL66,Table91517[EnergyRating (group)],AM66,Table91517[CountyName (group)],AP$4)</f>
        <v>37</v>
      </c>
      <c r="AQ66" s="1164">
        <f>SUMIFS(Table91517[Count of EnergyRating],Table91517[MainSpaceHeatingFuel],AL66,Table91517[EnergyRating (group)],AM66,Table91517[CountyName (group)],AQ$4)</f>
        <v>20</v>
      </c>
      <c r="AR66" s="1164">
        <f>SUMIFS(Table91517[Count of EnergyRating],Table91517[MainSpaceHeatingFuel],AL66,Table91517[EnergyRating (group)],AM66,Table91517[CountyName (group)],AR$4)</f>
        <v>12</v>
      </c>
      <c r="AS66" s="1164">
        <f>SUMIFS(Table91517[Count of EnergyRating],Table91517[MainSpaceHeatingFuel],AL66,Table91517[EnergyRating (group)],AM66,Table91517[CountyName (group)],AS$4)</f>
        <v>10</v>
      </c>
      <c r="AT66" s="1164">
        <f>SUMIFS(Table91517[Count of EnergyRating],Table91517[MainSpaceHeatingFuel],AL66,Table91517[EnergyRating (group)],AM66,Table91517[CountyName (group)],AT$4)</f>
        <v>36</v>
      </c>
      <c r="AU66" s="1164">
        <f>SUMIFS(Table91517[Count of EnergyRating],Table91517[MainSpaceHeatingFuel],AL66,Table91517[EnergyRating (group)],AM66,Table91517[CountyName (group)],AU$4)</f>
        <v>27</v>
      </c>
      <c r="AV66" s="1164">
        <f>SUMIFS(Table91517[Count of EnergyRating],Table91517[MainSpaceHeatingFuel],AL66,Table91517[EnergyRating (group)],AM66,Table91517[CountyName (group)],AV$4)</f>
        <v>13</v>
      </c>
      <c r="AW66" s="1164">
        <f>SUMIFS(Table91517[Count of EnergyRating],Table91517[MainSpaceHeatingFuel],AL66,Table91517[EnergyRating (group)],AM66,Table91517[CountyName (group)],AW$4)</f>
        <v>21</v>
      </c>
      <c r="AX66" s="1164">
        <f>SUMIFS(Table91517[Count of EnergyRating],Table91517[MainSpaceHeatingFuel],AL66,Table91517[EnergyRating (group)],AM66,Table91517[CountyName (group)],AX$4)</f>
        <v>33</v>
      </c>
      <c r="AY66" s="1164">
        <f>SUMIFS(Table91517[Count of EnergyRating],Table91517[MainSpaceHeatingFuel],AL66,Table91517[EnergyRating (group)],AM66,Table91517[CountyName (group)],AY$4)</f>
        <v>37</v>
      </c>
      <c r="AZ66" s="1164">
        <f>SUMIFS(Table91517[Count of EnergyRating],Table91517[MainSpaceHeatingFuel],AL66,Table91517[EnergyRating (group)],AM66,Table91517[CountyName (group)],AZ$4)</f>
        <v>24</v>
      </c>
      <c r="BA66" s="1164">
        <f>SUMIFS(Table91517[Count of EnergyRating],Table91517[MainSpaceHeatingFuel],AL66,Table91517[EnergyRating (group)],AM66,Table91517[CountyName (group)],BA$4)</f>
        <v>130</v>
      </c>
      <c r="BB66" s="1164">
        <f>SUMIFS(Table91517[Count of EnergyRating],Table91517[MainSpaceHeatingFuel],AL66,Table91517[EnergyRating (group)],AM66,Table91517[CountyName (group)],BB$4)</f>
        <v>100</v>
      </c>
      <c r="BC66" s="1164">
        <f>SUMIFS(Table91517[Count of EnergyRating],Table91517[MainSpaceHeatingFuel],AL66,Table91517[EnergyRating (group)],AM66,Table91517[CountyName (group)],BC$4)</f>
        <v>35</v>
      </c>
      <c r="BD66" s="1164">
        <f>SUMIFS(Table91517[Count of EnergyRating],Table91517[MainSpaceHeatingFuel],AL66,Table91517[EnergyRating (group)],AM66,Table91517[CountyName (group)],BD$4)</f>
        <v>52</v>
      </c>
      <c r="BE66" s="1164">
        <f>SUMIFS(Table91517[Count of EnergyRating],Table91517[MainSpaceHeatingFuel],AL66,Table91517[EnergyRating (group)],AM66,Table91517[CountyName (group)],BE$4)</f>
        <v>23</v>
      </c>
      <c r="BF66" s="1164">
        <f>SUMIFS(Table91517[Count of EnergyRating],Table91517[MainSpaceHeatingFuel],AL66,Table91517[EnergyRating (group)],AM66,Table91517[CountyName (group)],BF$4)</f>
        <v>92</v>
      </c>
      <c r="BG66" s="1164">
        <f>SUMIFS(Table91517[Count of EnergyRating],Table91517[MainSpaceHeatingFuel],AL66,Table91517[EnergyRating (group)],AM66,Table91517[CountyName (group)],BG$4)</f>
        <v>14</v>
      </c>
      <c r="BH66" s="1164">
        <f>SUMIFS(Table91517[Count of EnergyRating],Table91517[MainSpaceHeatingFuel],AL66,Table91517[EnergyRating (group)],AM66,Table91517[CountyName (group)],BH$4)</f>
        <v>40</v>
      </c>
      <c r="BI66" s="1164">
        <f>SUMIFS(Table91517[Count of EnergyRating],Table91517[MainSpaceHeatingFuel],AL66,Table91517[EnergyRating (group)],AM66,Table91517[CountyName (group)],BI$4)</f>
        <v>16</v>
      </c>
      <c r="BJ66" s="1164">
        <f>SUMIFS(Table91517[Count of EnergyRating],Table91517[MainSpaceHeatingFuel],AL66,Table91517[EnergyRating (group)],AM66,Table91517[CountyName (group)],BJ$4)</f>
        <v>18</v>
      </c>
      <c r="BK66" s="1135">
        <f>SUMIFS(Table91517[Count of EnergyRating],Table91517[MainSpaceHeatingFuel],AL66,Table91517[EnergyRating (group)],AM66,Table91517[CountyName (group)],BK$4)</f>
        <v>20</v>
      </c>
      <c r="BL66" s="1164">
        <f>SUMIFS(Table91517[Count of EnergyRating],Table91517[MainSpaceHeatingFuel],AL66,Table91517[EnergyRating (group)],AM66,Table91517[CountyName (group)],BL$4)</f>
        <v>44</v>
      </c>
      <c r="BM66" s="1164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38" t="s">
        <v>1075</v>
      </c>
      <c r="C67" s="1138" t="s">
        <v>1241</v>
      </c>
      <c r="D67" s="1138" t="s">
        <v>1094</v>
      </c>
      <c r="E67" s="1147">
        <f>SUM(E61:E66)</f>
        <v>0.51039715213493142</v>
      </c>
      <c r="F67" s="1147">
        <f t="shared" ref="F67" si="178">SUM(F61:F66)</f>
        <v>2.6498538426626945</v>
      </c>
      <c r="G67" s="1147">
        <f t="shared" ref="G67" si="179">SUM(G61:G66)</f>
        <v>1.4299095919280349</v>
      </c>
      <c r="H67" s="1147">
        <f t="shared" ref="H67" si="180">SUM(H61:H66)</f>
        <v>0.98575360957654379</v>
      </c>
      <c r="I67" s="1147">
        <f t="shared" ref="I67" si="181">SUM(I61:I66)</f>
        <v>0.76890368122078356</v>
      </c>
      <c r="J67" s="1147">
        <f t="shared" ref="J67" si="182">SUM(J61:J66)</f>
        <v>0.4585838011418738</v>
      </c>
      <c r="K67" s="1147">
        <f t="shared" ref="K67" si="183">SUM(K61:K66)</f>
        <v>0.89022163308292568</v>
      </c>
      <c r="L67" s="1147">
        <f t="shared" ref="L67" si="184">SUM(L61:L66)</f>
        <v>1.619572304090874</v>
      </c>
      <c r="M67" s="1147">
        <f t="shared" ref="M67" si="185">SUM(M61:M66)</f>
        <v>0.75336046557568215</v>
      </c>
      <c r="N67" s="1147">
        <f t="shared" ref="N67" si="186">SUM(N61:N66)</f>
        <v>0.79378504463143051</v>
      </c>
      <c r="O67" s="1147">
        <f t="shared" ref="O67" si="187">SUM(O61:O66)</f>
        <v>1.5985368776096129</v>
      </c>
      <c r="P67" s="1147">
        <f t="shared" ref="P67" si="188">SUM(P61:P66)</f>
        <v>1.0630515276069907</v>
      </c>
      <c r="Q67" s="1147">
        <f t="shared" ref="Q67" si="189">SUM(Q61:Q66)</f>
        <v>1.237253606618945</v>
      </c>
      <c r="R67" s="1147">
        <f t="shared" ref="R67" si="190">SUM(R61:R66)</f>
        <v>4.1855952611731961</v>
      </c>
      <c r="S67" s="1147">
        <f t="shared" ref="S67" si="191">SUM(S61:S66)</f>
        <v>1.7164180808517295</v>
      </c>
      <c r="T67" s="1147">
        <f t="shared" ref="T67" si="192">SUM(T61:T66)</f>
        <v>1.545337990133365</v>
      </c>
      <c r="U67" s="1147">
        <f t="shared" ref="U67" si="193">SUM(U61:U66)</f>
        <v>1.6498149597184018</v>
      </c>
      <c r="V67" s="1147">
        <f t="shared" ref="V67" si="194">SUM(V61:V66)</f>
        <v>0.90324272560740071</v>
      </c>
      <c r="W67" s="1147">
        <f t="shared" ref="W67" si="195">SUM(W61:W66)</f>
        <v>2.6127388601109853</v>
      </c>
      <c r="X67" s="1147">
        <f t="shared" ref="X67" si="196">SUM(X61:X66)</f>
        <v>0.42943555203782674</v>
      </c>
      <c r="Y67" s="1147">
        <f t="shared" ref="Y67" si="197">SUM(Y61:Y66)</f>
        <v>1.6372765105715996</v>
      </c>
      <c r="Z67" s="1147">
        <f t="shared" ref="Z67" si="198">SUM(Z61:Z66)</f>
        <v>0.85314626673462568</v>
      </c>
      <c r="AA67" s="1147">
        <f t="shared" ref="AA67" si="199">SUM(AA61:AA66)</f>
        <v>0.6839051987980076</v>
      </c>
      <c r="AB67" s="1147">
        <f t="shared" ref="AB67" si="200">SUM(AB61:AB66)</f>
        <v>0.85498089692294843</v>
      </c>
      <c r="AC67" s="1147">
        <f t="shared" ref="AC67" si="201">SUM(AC61:AC66)</f>
        <v>1.9222324194797802</v>
      </c>
      <c r="AD67" s="1147">
        <f t="shared" ref="AD67" si="202">SUM(AD61:AD66)</f>
        <v>0.6679045849664309</v>
      </c>
      <c r="AE67" s="1147">
        <f t="shared" ref="AE67" si="203">SUM(AE61:AE66)</f>
        <v>34.421212444987624</v>
      </c>
      <c r="AG67" s="1164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SUMIFS(Table91517[Count of EnergyRating],Table91517[MainSpaceHeatingFuel],AL67,Table91517[EnergyRating (group)],AM67,Table91517[CountyName (group)],AN$4)</f>
        <v>13</v>
      </c>
      <c r="AO67" s="1164">
        <f>SUMIFS(Table91517[Count of EnergyRating],Table91517[MainSpaceHeatingFuel],AL67,Table91517[EnergyRating (group)],AM67,Table91517[CountyName (group)],AO$4)</f>
        <v>44</v>
      </c>
      <c r="AP67" s="1164">
        <f>SUMIFS(Table91517[Count of EnergyRating],Table91517[MainSpaceHeatingFuel],AL67,Table91517[EnergyRating (group)],AM67,Table91517[CountyName (group)],AP$4)</f>
        <v>28</v>
      </c>
      <c r="AQ67" s="1164">
        <f>SUMIFS(Table91517[Count of EnergyRating],Table91517[MainSpaceHeatingFuel],AL67,Table91517[EnergyRating (group)],AM67,Table91517[CountyName (group)],AQ$4)</f>
        <v>27</v>
      </c>
      <c r="AR67" s="1164">
        <f>SUMIFS(Table91517[Count of EnergyRating],Table91517[MainSpaceHeatingFuel],AL67,Table91517[EnergyRating (group)],AM67,Table91517[CountyName (group)],AR$4)</f>
        <v>13</v>
      </c>
      <c r="AS67" s="1164">
        <f>SUMIFS(Table91517[Count of EnergyRating],Table91517[MainSpaceHeatingFuel],AL67,Table91517[EnergyRating (group)],AM67,Table91517[CountyName (group)],AS$4)</f>
        <v>6</v>
      </c>
      <c r="AT67" s="1164">
        <f>SUMIFS(Table91517[Count of EnergyRating],Table91517[MainSpaceHeatingFuel],AL67,Table91517[EnergyRating (group)],AM67,Table91517[CountyName (group)],AT$4)</f>
        <v>29</v>
      </c>
      <c r="AU67" s="1164">
        <f>SUMIFS(Table91517[Count of EnergyRating],Table91517[MainSpaceHeatingFuel],AL67,Table91517[EnergyRating (group)],AM67,Table91517[CountyName (group)],AU$4)</f>
        <v>19</v>
      </c>
      <c r="AV67" s="1164">
        <f>SUMIFS(Table91517[Count of EnergyRating],Table91517[MainSpaceHeatingFuel],AL67,Table91517[EnergyRating (group)],AM67,Table91517[CountyName (group)],AV$4)</f>
        <v>17</v>
      </c>
      <c r="AW67" s="1164">
        <f>SUMIFS(Table91517[Count of EnergyRating],Table91517[MainSpaceHeatingFuel],AL67,Table91517[EnergyRating (group)],AM67,Table91517[CountyName (group)],AW$4)</f>
        <v>23</v>
      </c>
      <c r="AX67" s="1164">
        <f>SUMIFS(Table91517[Count of EnergyRating],Table91517[MainSpaceHeatingFuel],AL67,Table91517[EnergyRating (group)],AM67,Table91517[CountyName (group)],AX$4)</f>
        <v>38</v>
      </c>
      <c r="AY67" s="1164">
        <f>SUMIFS(Table91517[Count of EnergyRating],Table91517[MainSpaceHeatingFuel],AL67,Table91517[EnergyRating (group)],AM67,Table91517[CountyName (group)],AY$4)</f>
        <v>38</v>
      </c>
      <c r="AZ67" s="1164">
        <f>SUMIFS(Table91517[Count of EnergyRating],Table91517[MainSpaceHeatingFuel],AL67,Table91517[EnergyRating (group)],AM67,Table91517[CountyName (group)],AZ$4)</f>
        <v>26</v>
      </c>
      <c r="BA67" s="1164">
        <f>SUMIFS(Table91517[Count of EnergyRating],Table91517[MainSpaceHeatingFuel],AL67,Table91517[EnergyRating (group)],AM67,Table91517[CountyName (group)],BA$4)</f>
        <v>88</v>
      </c>
      <c r="BB67" s="1164">
        <f>SUMIFS(Table91517[Count of EnergyRating],Table91517[MainSpaceHeatingFuel],AL67,Table91517[EnergyRating (group)],AM67,Table91517[CountyName (group)],BB$4)</f>
        <v>51</v>
      </c>
      <c r="BC67" s="1164">
        <f>SUMIFS(Table91517[Count of EnergyRating],Table91517[MainSpaceHeatingFuel],AL67,Table91517[EnergyRating (group)],AM67,Table91517[CountyName (group)],BC$4)</f>
        <v>21</v>
      </c>
      <c r="BD67" s="1164">
        <f>SUMIFS(Table91517[Count of EnergyRating],Table91517[MainSpaceHeatingFuel],AL67,Table91517[EnergyRating (group)],AM67,Table91517[CountyName (group)],BD$4)</f>
        <v>46</v>
      </c>
      <c r="BE67" s="1164">
        <f>SUMIFS(Table91517[Count of EnergyRating],Table91517[MainSpaceHeatingFuel],AL67,Table91517[EnergyRating (group)],AM67,Table91517[CountyName (group)],BE$4)</f>
        <v>21</v>
      </c>
      <c r="BF67" s="1164">
        <f>SUMIFS(Table91517[Count of EnergyRating],Table91517[MainSpaceHeatingFuel],AL67,Table91517[EnergyRating (group)],AM67,Table91517[CountyName (group)],BF$4)</f>
        <v>75</v>
      </c>
      <c r="BG67" s="1164">
        <f>SUMIFS(Table91517[Count of EnergyRating],Table91517[MainSpaceHeatingFuel],AL67,Table91517[EnergyRating (group)],AM67,Table91517[CountyName (group)],BG$4)</f>
        <v>5</v>
      </c>
      <c r="BH67" s="1164">
        <f>SUMIFS(Table91517[Count of EnergyRating],Table91517[MainSpaceHeatingFuel],AL67,Table91517[EnergyRating (group)],AM67,Table91517[CountyName (group)],BH$4)</f>
        <v>36</v>
      </c>
      <c r="BI67" s="1164">
        <f>SUMIFS(Table91517[Count of EnergyRating],Table91517[MainSpaceHeatingFuel],AL67,Table91517[EnergyRating (group)],AM67,Table91517[CountyName (group)],BI$4)</f>
        <v>16</v>
      </c>
      <c r="BJ67" s="1164">
        <f>SUMIFS(Table91517[Count of EnergyRating],Table91517[MainSpaceHeatingFuel],AL67,Table91517[EnergyRating (group)],AM67,Table91517[CountyName (group)],BJ$4)</f>
        <v>13</v>
      </c>
      <c r="BK67" s="1135">
        <f>SUMIFS(Table91517[Count of EnergyRating],Table91517[MainSpaceHeatingFuel],AL67,Table91517[EnergyRating (group)],AM67,Table91517[CountyName (group)],BK$4)</f>
        <v>12</v>
      </c>
      <c r="BL67" s="1164">
        <f>SUMIFS(Table91517[Count of EnergyRating],Table91517[MainSpaceHeatingFuel],AL67,Table91517[EnergyRating (group)],AM67,Table91517[CountyName (group)],BL$4)</f>
        <v>65</v>
      </c>
      <c r="BM67" s="1164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65"/>
      <c r="C68" s="1165" t="s">
        <v>1242</v>
      </c>
      <c r="D68" s="1165" t="s">
        <v>1094</v>
      </c>
      <c r="E68" s="1166">
        <f t="shared" ref="E68:AD68" si="204">G184</f>
        <v>0.49807037425604034</v>
      </c>
      <c r="F68" s="1166">
        <f t="shared" si="204"/>
        <v>2.5858563074229344</v>
      </c>
      <c r="G68" s="1166">
        <f t="shared" si="204"/>
        <v>1.3953753515764491</v>
      </c>
      <c r="H68" s="1166">
        <f t="shared" si="204"/>
        <v>0.9619463337370564</v>
      </c>
      <c r="I68" s="1166">
        <f t="shared" si="204"/>
        <v>0.75033362288675021</v>
      </c>
      <c r="J68" s="1166">
        <f t="shared" si="204"/>
        <v>0.44750838539574739</v>
      </c>
      <c r="K68" s="1166">
        <f t="shared" si="204"/>
        <v>0.86872158299821078</v>
      </c>
      <c r="L68" s="1166">
        <f t="shared" si="204"/>
        <v>1.5804574540807899</v>
      </c>
      <c r="M68" s="1166">
        <f t="shared" si="204"/>
        <v>0.73516579681030048</v>
      </c>
      <c r="N68" s="1166">
        <f t="shared" si="204"/>
        <v>0.77461406789727649</v>
      </c>
      <c r="O68" s="1166">
        <f t="shared" si="204"/>
        <v>1.5599300614487339</v>
      </c>
      <c r="P68" s="1166">
        <f t="shared" si="204"/>
        <v>1.0373774030555223</v>
      </c>
      <c r="Q68" s="1166">
        <f t="shared" si="204"/>
        <v>1.2073722674992933</v>
      </c>
      <c r="R68" s="1166">
        <f t="shared" si="204"/>
        <v>4.0845075045906905</v>
      </c>
      <c r="S68" s="1166">
        <f t="shared" si="204"/>
        <v>1.674964275042919</v>
      </c>
      <c r="T68" s="1166">
        <f t="shared" si="204"/>
        <v>1.5080159986753294</v>
      </c>
      <c r="U68" s="1166">
        <f t="shared" si="204"/>
        <v>1.6099697088884288</v>
      </c>
      <c r="V68" s="1166">
        <f t="shared" si="204"/>
        <v>0.88142819862049682</v>
      </c>
      <c r="W68" s="1166">
        <f t="shared" si="204"/>
        <v>2.5496377016319101</v>
      </c>
      <c r="X68" s="1166">
        <f t="shared" si="204"/>
        <v>0.41906410572170449</v>
      </c>
      <c r="Y68" s="1166">
        <f t="shared" si="204"/>
        <v>1.5977340801569286</v>
      </c>
      <c r="Z68" s="1166">
        <f t="shared" si="204"/>
        <v>0.83254163662598712</v>
      </c>
      <c r="AA68" s="1166">
        <f t="shared" si="204"/>
        <v>0.66738796816586454</v>
      </c>
      <c r="AB68" s="1166">
        <f t="shared" si="204"/>
        <v>0.83433195802707083</v>
      </c>
      <c r="AC68" s="1166">
        <f t="shared" si="204"/>
        <v>1.8758079205039986</v>
      </c>
      <c r="AD68" s="1166">
        <f t="shared" si="204"/>
        <v>0.65177379068449615</v>
      </c>
      <c r="AE68" s="1175">
        <f t="shared" si="4"/>
        <v>33.589893856400927</v>
      </c>
      <c r="AG68" s="58" t="s">
        <v>1163</v>
      </c>
      <c r="AH68" s="1158">
        <f>SUM(E70:AD75)</f>
        <v>14.751948190708974</v>
      </c>
      <c r="AI68" s="1140">
        <f>'SHWLP-Det'!S12</f>
        <v>14.751948190708978</v>
      </c>
      <c r="AJ68" s="1160">
        <f>IFERROR((AI68-AH68)/AI68,"N/A")</f>
        <v>2.4083013530633593E-16</v>
      </c>
      <c r="AL68" s="1144" t="s">
        <v>136</v>
      </c>
      <c r="AM68" s="1144" t="s">
        <v>54</v>
      </c>
      <c r="AN68" s="1135">
        <f>SUMIFS(Table91517[Count of EnergyRating],Table91517[MainSpaceHeatingFuel],AL68,Table91517[EnergyRating (group)],AM68,Table91517[CountyName (group)],AN$4)</f>
        <v>13</v>
      </c>
      <c r="AO68" s="1164">
        <f>SUMIFS(Table91517[Count of EnergyRating],Table91517[MainSpaceHeatingFuel],AL68,Table91517[EnergyRating (group)],AM68,Table91517[CountyName (group)],AO$4)</f>
        <v>33</v>
      </c>
      <c r="AP68" s="1164">
        <f>SUMIFS(Table91517[Count of EnergyRating],Table91517[MainSpaceHeatingFuel],AL68,Table91517[EnergyRating (group)],AM68,Table91517[CountyName (group)],AP$4)</f>
        <v>24</v>
      </c>
      <c r="AQ68" s="1164">
        <f>SUMIFS(Table91517[Count of EnergyRating],Table91517[MainSpaceHeatingFuel],AL68,Table91517[EnergyRating (group)],AM68,Table91517[CountyName (group)],AQ$4)</f>
        <v>16</v>
      </c>
      <c r="AR68" s="1164">
        <f>SUMIFS(Table91517[Count of EnergyRating],Table91517[MainSpaceHeatingFuel],AL68,Table91517[EnergyRating (group)],AM68,Table91517[CountyName (group)],AR$4)</f>
        <v>7</v>
      </c>
      <c r="AS68" s="1164">
        <f>SUMIFS(Table91517[Count of EnergyRating],Table91517[MainSpaceHeatingFuel],AL68,Table91517[EnergyRating (group)],AM68,Table91517[CountyName (group)],AS$4)</f>
        <v>13</v>
      </c>
      <c r="AT68" s="1164">
        <f>SUMIFS(Table91517[Count of EnergyRating],Table91517[MainSpaceHeatingFuel],AL68,Table91517[EnergyRating (group)],AM68,Table91517[CountyName (group)],AT$4)</f>
        <v>19</v>
      </c>
      <c r="AU68" s="1164">
        <f>SUMIFS(Table91517[Count of EnergyRating],Table91517[MainSpaceHeatingFuel],AL68,Table91517[EnergyRating (group)],AM68,Table91517[CountyName (group)],AU$4)</f>
        <v>20</v>
      </c>
      <c r="AV68" s="1164">
        <f>SUMIFS(Table91517[Count of EnergyRating],Table91517[MainSpaceHeatingFuel],AL68,Table91517[EnergyRating (group)],AM68,Table91517[CountyName (group)],AV$4)</f>
        <v>15</v>
      </c>
      <c r="AW68" s="1164">
        <f>SUMIFS(Table91517[Count of EnergyRating],Table91517[MainSpaceHeatingFuel],AL68,Table91517[EnergyRating (group)],AM68,Table91517[CountyName (group)],AW$4)</f>
        <v>8</v>
      </c>
      <c r="AX68" s="1164">
        <f>SUMIFS(Table91517[Count of EnergyRating],Table91517[MainSpaceHeatingFuel],AL68,Table91517[EnergyRating (group)],AM68,Table91517[CountyName (group)],AX$4)</f>
        <v>37</v>
      </c>
      <c r="AY68" s="1164">
        <f>SUMIFS(Table91517[Count of EnergyRating],Table91517[MainSpaceHeatingFuel],AL68,Table91517[EnergyRating (group)],AM68,Table91517[CountyName (group)],AY$4)</f>
        <v>25</v>
      </c>
      <c r="AZ68" s="1164">
        <f>SUMIFS(Table91517[Count of EnergyRating],Table91517[MainSpaceHeatingFuel],AL68,Table91517[EnergyRating (group)],AM68,Table91517[CountyName (group)],AZ$4)</f>
        <v>24</v>
      </c>
      <c r="BA68" s="1164">
        <f>SUMIFS(Table91517[Count of EnergyRating],Table91517[MainSpaceHeatingFuel],AL68,Table91517[EnergyRating (group)],AM68,Table91517[CountyName (group)],BA$4)</f>
        <v>69</v>
      </c>
      <c r="BB68" s="1164">
        <f>SUMIFS(Table91517[Count of EnergyRating],Table91517[MainSpaceHeatingFuel],AL68,Table91517[EnergyRating (group)],AM68,Table91517[CountyName (group)],BB$4)</f>
        <v>47</v>
      </c>
      <c r="BC68" s="1164">
        <f>SUMIFS(Table91517[Count of EnergyRating],Table91517[MainSpaceHeatingFuel],AL68,Table91517[EnergyRating (group)],AM68,Table91517[CountyName (group)],BC$4)</f>
        <v>21</v>
      </c>
      <c r="BD68" s="1164">
        <f>SUMIFS(Table91517[Count of EnergyRating],Table91517[MainSpaceHeatingFuel],AL68,Table91517[EnergyRating (group)],AM68,Table91517[CountyName (group)],BD$4)</f>
        <v>25</v>
      </c>
      <c r="BE68" s="1164">
        <f>SUMIFS(Table91517[Count of EnergyRating],Table91517[MainSpaceHeatingFuel],AL68,Table91517[EnergyRating (group)],AM68,Table91517[CountyName (group)],BE$4)</f>
        <v>23</v>
      </c>
      <c r="BF68" s="1164">
        <f>SUMIFS(Table91517[Count of EnergyRating],Table91517[MainSpaceHeatingFuel],AL68,Table91517[EnergyRating (group)],AM68,Table91517[CountyName (group)],BF$4)</f>
        <v>40</v>
      </c>
      <c r="BG68" s="1164">
        <f>SUMIFS(Table91517[Count of EnergyRating],Table91517[MainSpaceHeatingFuel],AL68,Table91517[EnergyRating (group)],AM68,Table91517[CountyName (group)],BG$4)</f>
        <v>5</v>
      </c>
      <c r="BH68" s="1164">
        <f>SUMIFS(Table91517[Count of EnergyRating],Table91517[MainSpaceHeatingFuel],AL68,Table91517[EnergyRating (group)],AM68,Table91517[CountyName (group)],BH$4)</f>
        <v>24</v>
      </c>
      <c r="BI68" s="1164">
        <f>SUMIFS(Table91517[Count of EnergyRating],Table91517[MainSpaceHeatingFuel],AL68,Table91517[EnergyRating (group)],AM68,Table91517[CountyName (group)],BI$4)</f>
        <v>7</v>
      </c>
      <c r="BJ68" s="1164">
        <f>SUMIFS(Table91517[Count of EnergyRating],Table91517[MainSpaceHeatingFuel],AL68,Table91517[EnergyRating (group)],AM68,Table91517[CountyName (group)],BJ$4)</f>
        <v>17</v>
      </c>
      <c r="BK68" s="1135">
        <f>SUMIFS(Table91517[Count of EnergyRating],Table91517[MainSpaceHeatingFuel],AL68,Table91517[EnergyRating (group)],AM68,Table91517[CountyName (group)],BK$4)</f>
        <v>13</v>
      </c>
      <c r="BL68" s="1164">
        <f>SUMIFS(Table91517[Count of EnergyRating],Table91517[MainSpaceHeatingFuel],AL68,Table91517[EnergyRating (group)],AM68,Table91517[CountyName (group)],BL$4)</f>
        <v>29</v>
      </c>
      <c r="BM68" s="1164">
        <f>SUMIFS(Table91517[Count of EnergyRating],Table91517[MainSpaceHeatingFuel],AL68,Table91517[EnergyRating (group)],AM68,Table91517[CountyName (group)],BM$4)</f>
        <v>6</v>
      </c>
    </row>
    <row r="69" spans="2:65" ht="15">
      <c r="B69" s="1137"/>
      <c r="C69" s="1137" t="s">
        <v>1217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G69" s="58" t="s">
        <v>1107</v>
      </c>
      <c r="AH69" s="1158">
        <f>SUM(E77:AD77)</f>
        <v>13.800159055027859</v>
      </c>
      <c r="AI69" s="1140">
        <f>'SHWLP-Det'!S38</f>
        <v>13.800159055027857</v>
      </c>
      <c r="AJ69" s="1160">
        <f>(AI69-AH69)/AI69</f>
        <v>-1.2872002650962669E-16</v>
      </c>
      <c r="AL69" s="1144" t="s">
        <v>136</v>
      </c>
      <c r="AM69" s="1144" t="s">
        <v>56</v>
      </c>
      <c r="AN69" s="1135">
        <f>SUMIFS(Table91517[Count of EnergyRating],Table91517[MainSpaceHeatingFuel],AL69,Table91517[EnergyRating (group)],AM69,Table91517[CountyName (group)],AN$4)</f>
        <v>12</v>
      </c>
      <c r="AO69" s="1164">
        <f>SUMIFS(Table91517[Count of EnergyRating],Table91517[MainSpaceHeatingFuel],AL69,Table91517[EnergyRating (group)],AM69,Table91517[CountyName (group)],AO$4)</f>
        <v>22</v>
      </c>
      <c r="AP69" s="1164">
        <f>SUMIFS(Table91517[Count of EnergyRating],Table91517[MainSpaceHeatingFuel],AL69,Table91517[EnergyRating (group)],AM69,Table91517[CountyName (group)],AP$4)</f>
        <v>17</v>
      </c>
      <c r="AQ69" s="1164">
        <f>SUMIFS(Table91517[Count of EnergyRating],Table91517[MainSpaceHeatingFuel],AL69,Table91517[EnergyRating (group)],AM69,Table91517[CountyName (group)],AQ$4)</f>
        <v>26</v>
      </c>
      <c r="AR69" s="1164">
        <f>SUMIFS(Table91517[Count of EnergyRating],Table91517[MainSpaceHeatingFuel],AL69,Table91517[EnergyRating (group)],AM69,Table91517[CountyName (group)],AR$4)</f>
        <v>15</v>
      </c>
      <c r="AS69" s="1164">
        <f>SUMIFS(Table91517[Count of EnergyRating],Table91517[MainSpaceHeatingFuel],AL69,Table91517[EnergyRating (group)],AM69,Table91517[CountyName (group)],AS$4)</f>
        <v>16</v>
      </c>
      <c r="AT69" s="1164">
        <f>SUMIFS(Table91517[Count of EnergyRating],Table91517[MainSpaceHeatingFuel],AL69,Table91517[EnergyRating (group)],AM69,Table91517[CountyName (group)],AT$4)</f>
        <v>19</v>
      </c>
      <c r="AU69" s="1164">
        <f>SUMIFS(Table91517[Count of EnergyRating],Table91517[MainSpaceHeatingFuel],AL69,Table91517[EnergyRating (group)],AM69,Table91517[CountyName (group)],AU$4)</f>
        <v>20</v>
      </c>
      <c r="AV69" s="1164">
        <f>SUMIFS(Table91517[Count of EnergyRating],Table91517[MainSpaceHeatingFuel],AL69,Table91517[EnergyRating (group)],AM69,Table91517[CountyName (group)],AV$4)</f>
        <v>13</v>
      </c>
      <c r="AW69" s="1164">
        <f>SUMIFS(Table91517[Count of EnergyRating],Table91517[MainSpaceHeatingFuel],AL69,Table91517[EnergyRating (group)],AM69,Table91517[CountyName (group)],AW$4)</f>
        <v>19</v>
      </c>
      <c r="AX69" s="1164">
        <f>SUMIFS(Table91517[Count of EnergyRating],Table91517[MainSpaceHeatingFuel],AL69,Table91517[EnergyRating (group)],AM69,Table91517[CountyName (group)],AX$4)</f>
        <v>36</v>
      </c>
      <c r="AY69" s="1164">
        <f>SUMIFS(Table91517[Count of EnergyRating],Table91517[MainSpaceHeatingFuel],AL69,Table91517[EnergyRating (group)],AM69,Table91517[CountyName (group)],AY$4)</f>
        <v>28</v>
      </c>
      <c r="AZ69" s="1164">
        <f>SUMIFS(Table91517[Count of EnergyRating],Table91517[MainSpaceHeatingFuel],AL69,Table91517[EnergyRating (group)],AM69,Table91517[CountyName (group)],AZ$4)</f>
        <v>32</v>
      </c>
      <c r="BA69" s="1164">
        <f>SUMIFS(Table91517[Count of EnergyRating],Table91517[MainSpaceHeatingFuel],AL69,Table91517[EnergyRating (group)],AM69,Table91517[CountyName (group)],BA$4)</f>
        <v>72</v>
      </c>
      <c r="BB69" s="1164">
        <f>SUMIFS(Table91517[Count of EnergyRating],Table91517[MainSpaceHeatingFuel],AL69,Table91517[EnergyRating (group)],AM69,Table91517[CountyName (group)],BB$4)</f>
        <v>40</v>
      </c>
      <c r="BC69" s="1164">
        <f>SUMIFS(Table91517[Count of EnergyRating],Table91517[MainSpaceHeatingFuel],AL69,Table91517[EnergyRating (group)],AM69,Table91517[CountyName (group)],BC$4)</f>
        <v>29</v>
      </c>
      <c r="BD69" s="1164">
        <f>SUMIFS(Table91517[Count of EnergyRating],Table91517[MainSpaceHeatingFuel],AL69,Table91517[EnergyRating (group)],AM69,Table91517[CountyName (group)],BD$4)</f>
        <v>30</v>
      </c>
      <c r="BE69" s="1164">
        <f>SUMIFS(Table91517[Count of EnergyRating],Table91517[MainSpaceHeatingFuel],AL69,Table91517[EnergyRating (group)],AM69,Table91517[CountyName (group)],BE$4)</f>
        <v>17</v>
      </c>
      <c r="BF69" s="1164">
        <f>SUMIFS(Table91517[Count of EnergyRating],Table91517[MainSpaceHeatingFuel],AL69,Table91517[EnergyRating (group)],AM69,Table91517[CountyName (group)],BF$4)</f>
        <v>67</v>
      </c>
      <c r="BG69" s="1164">
        <f>SUMIFS(Table91517[Count of EnergyRating],Table91517[MainSpaceHeatingFuel],AL69,Table91517[EnergyRating (group)],AM69,Table91517[CountyName (group)],BG$4)</f>
        <v>7</v>
      </c>
      <c r="BH69" s="1164">
        <f>SUMIFS(Table91517[Count of EnergyRating],Table91517[MainSpaceHeatingFuel],AL69,Table91517[EnergyRating (group)],AM69,Table91517[CountyName (group)],BH$4)</f>
        <v>30</v>
      </c>
      <c r="BI69" s="1164">
        <f>SUMIFS(Table91517[Count of EnergyRating],Table91517[MainSpaceHeatingFuel],AL69,Table91517[EnergyRating (group)],AM69,Table91517[CountyName (group)],BI$4)</f>
        <v>6</v>
      </c>
      <c r="BJ69" s="1164">
        <f>SUMIFS(Table91517[Count of EnergyRating],Table91517[MainSpaceHeatingFuel],AL69,Table91517[EnergyRating (group)],AM69,Table91517[CountyName (group)],BJ$4)</f>
        <v>19</v>
      </c>
      <c r="BK69" s="1135">
        <f>SUMIFS(Table91517[Count of EnergyRating],Table91517[MainSpaceHeatingFuel],AL69,Table91517[EnergyRating (group)],AM69,Table91517[CountyName (group)],BK$4)</f>
        <v>26</v>
      </c>
      <c r="BL69" s="1164">
        <f>SUMIFS(Table91517[Count of EnergyRating],Table91517[MainSpaceHeatingFuel],AL69,Table91517[EnergyRating (group)],AM69,Table91517[CountyName (group)],BL$4)</f>
        <v>20</v>
      </c>
      <c r="BM69" s="1164">
        <f>SUMIFS(Table91517[Count of EnergyRating],Table91517[MainSpaceHeatingFuel],AL69,Table91517[EnergyRating (group)],AM69,Table91517[CountyName (group)],BM$4)</f>
        <v>11</v>
      </c>
    </row>
    <row r="70" spans="2:65">
      <c r="B70" s="1134" t="s">
        <v>1259</v>
      </c>
      <c r="C70" s="1134" t="s">
        <v>1243</v>
      </c>
      <c r="D70" s="1134" t="s">
        <v>1094</v>
      </c>
      <c r="E70" s="1145">
        <f t="shared" ref="E70:AD70" si="205">IFERROR(G186*((SUM(AN$65:AN$68)/SUM(AN$65:AN$73))/(SUM(G$186)/SUM(G$186:G$191))),G186)</f>
        <v>0.113033955770142</v>
      </c>
      <c r="F70" s="1145">
        <f t="shared" si="205"/>
        <v>0.83611399771840167</v>
      </c>
      <c r="G70" s="1145">
        <f t="shared" si="205"/>
        <v>0.47593144701746715</v>
      </c>
      <c r="H70" s="1145">
        <f t="shared" si="205"/>
        <v>0.20784415297412223</v>
      </c>
      <c r="I70" s="1145">
        <f t="shared" si="205"/>
        <v>0.12390333605957769</v>
      </c>
      <c r="J70" s="1145">
        <f t="shared" si="205"/>
        <v>4.3773908290815233E-2</v>
      </c>
      <c r="K70" s="1145">
        <f t="shared" si="205"/>
        <v>0.26931074614273376</v>
      </c>
      <c r="L70" s="1145">
        <f t="shared" si="205"/>
        <v>0.54742416963071583</v>
      </c>
      <c r="M70" s="1145">
        <f t="shared" si="205"/>
        <v>0.16439648429665932</v>
      </c>
      <c r="N70" s="1145">
        <f t="shared" si="205"/>
        <v>0.15384550910509068</v>
      </c>
      <c r="O70" s="1145">
        <f t="shared" si="205"/>
        <v>0.20003839110729374</v>
      </c>
      <c r="P70" s="1145">
        <f t="shared" si="205"/>
        <v>0.23726199508125945</v>
      </c>
      <c r="Q70" s="1145">
        <f t="shared" si="205"/>
        <v>0.1339087025292803</v>
      </c>
      <c r="R70" s="1145">
        <f t="shared" si="205"/>
        <v>0.80552420163536842</v>
      </c>
      <c r="S70" s="1145">
        <f t="shared" si="205"/>
        <v>0.25274997815998479</v>
      </c>
      <c r="T70" s="1145">
        <f t="shared" si="205"/>
        <v>0.27858133835737525</v>
      </c>
      <c r="U70" s="1145">
        <f t="shared" si="205"/>
        <v>0.29377992743476566</v>
      </c>
      <c r="V70" s="1145">
        <f t="shared" si="205"/>
        <v>0.23638729411388065</v>
      </c>
      <c r="W70" s="1145">
        <f t="shared" si="205"/>
        <v>0.49100759284637113</v>
      </c>
      <c r="X70" s="1145">
        <f t="shared" si="205"/>
        <v>2.8573011290188081E-2</v>
      </c>
      <c r="Y70" s="1145">
        <f t="shared" si="205"/>
        <v>0.26477100142386439</v>
      </c>
      <c r="Z70" s="1145">
        <f t="shared" si="205"/>
        <v>0.10373327400505279</v>
      </c>
      <c r="AA70" s="1145">
        <f t="shared" si="205"/>
        <v>0.1195248046878893</v>
      </c>
      <c r="AB70" s="1145">
        <f t="shared" si="205"/>
        <v>0.11302519319663708</v>
      </c>
      <c r="AC70" s="1145">
        <f t="shared" si="205"/>
        <v>0.37491682545626509</v>
      </c>
      <c r="AD70" s="1145">
        <f t="shared" si="205"/>
        <v>0.15838880157775365</v>
      </c>
      <c r="AE70" s="1172">
        <f t="shared" si="4"/>
        <v>7.0277500399089528</v>
      </c>
      <c r="AG70" s="1164"/>
      <c r="AL70" s="1144" t="s">
        <v>136</v>
      </c>
      <c r="AM70" s="1144" t="s">
        <v>58</v>
      </c>
      <c r="AN70" s="1135">
        <f>SUMIFS(Table91517[Count of EnergyRating],Table91517[MainSpaceHeatingFuel],AL70,Table91517[EnergyRating (group)],AM70,Table91517[CountyName (group)],AN$4)</f>
        <v>10</v>
      </c>
      <c r="AO70" s="1164">
        <f>SUMIFS(Table91517[Count of EnergyRating],Table91517[MainSpaceHeatingFuel],AL70,Table91517[EnergyRating (group)],AM70,Table91517[CountyName (group)],AO$4)</f>
        <v>41</v>
      </c>
      <c r="AP70" s="1164">
        <f>SUMIFS(Table91517[Count of EnergyRating],Table91517[MainSpaceHeatingFuel],AL70,Table91517[EnergyRating (group)],AM70,Table91517[CountyName (group)],AP$4)</f>
        <v>16</v>
      </c>
      <c r="AQ70" s="1164">
        <f>SUMIFS(Table91517[Count of EnergyRating],Table91517[MainSpaceHeatingFuel],AL70,Table91517[EnergyRating (group)],AM70,Table91517[CountyName (group)],AQ$4)</f>
        <v>31</v>
      </c>
      <c r="AR70" s="1164">
        <f>SUMIFS(Table91517[Count of EnergyRating],Table91517[MainSpaceHeatingFuel],AL70,Table91517[EnergyRating (group)],AM70,Table91517[CountyName (group)],AR$4)</f>
        <v>23</v>
      </c>
      <c r="AS70" s="1164">
        <f>SUMIFS(Table91517[Count of EnergyRating],Table91517[MainSpaceHeatingFuel],AL70,Table91517[EnergyRating (group)],AM70,Table91517[CountyName (group)],AS$4)</f>
        <v>30</v>
      </c>
      <c r="AT70" s="1164">
        <f>SUMIFS(Table91517[Count of EnergyRating],Table91517[MainSpaceHeatingFuel],AL70,Table91517[EnergyRating (group)],AM70,Table91517[CountyName (group)],AT$4)</f>
        <v>11</v>
      </c>
      <c r="AU70" s="1164">
        <f>SUMIFS(Table91517[Count of EnergyRating],Table91517[MainSpaceHeatingFuel],AL70,Table91517[EnergyRating (group)],AM70,Table91517[CountyName (group)],AU$4)</f>
        <v>21</v>
      </c>
      <c r="AV70" s="1164">
        <f>SUMIFS(Table91517[Count of EnergyRating],Table91517[MainSpaceHeatingFuel],AL70,Table91517[EnergyRating (group)],AM70,Table91517[CountyName (group)],AV$4)</f>
        <v>17</v>
      </c>
      <c r="AW70" s="1164">
        <f>SUMIFS(Table91517[Count of EnergyRating],Table91517[MainSpaceHeatingFuel],AL70,Table91517[EnergyRating (group)],AM70,Table91517[CountyName (group)],AW$4)</f>
        <v>12</v>
      </c>
      <c r="AX70" s="1164">
        <f>SUMIFS(Table91517[Count of EnergyRating],Table91517[MainSpaceHeatingFuel],AL70,Table91517[EnergyRating (group)],AM70,Table91517[CountyName (group)],AX$4)</f>
        <v>149</v>
      </c>
      <c r="AY70" s="1164">
        <f>SUMIFS(Table91517[Count of EnergyRating],Table91517[MainSpaceHeatingFuel],AL70,Table91517[EnergyRating (group)],AM70,Table91517[CountyName (group)],AY$4)</f>
        <v>49</v>
      </c>
      <c r="AZ70" s="1164">
        <f>SUMIFS(Table91517[Count of EnergyRating],Table91517[MainSpaceHeatingFuel],AL70,Table91517[EnergyRating (group)],AM70,Table91517[CountyName (group)],AZ$4)</f>
        <v>120</v>
      </c>
      <c r="BA70" s="1164">
        <f>SUMIFS(Table91517[Count of EnergyRating],Table91517[MainSpaceHeatingFuel],AL70,Table91517[EnergyRating (group)],AM70,Table91517[CountyName (group)],BA$4)</f>
        <v>201</v>
      </c>
      <c r="BB70" s="1164">
        <f>SUMIFS(Table91517[Count of EnergyRating],Table91517[MainSpaceHeatingFuel],AL70,Table91517[EnergyRating (group)],AM70,Table91517[CountyName (group)],BB$4)</f>
        <v>184</v>
      </c>
      <c r="BC70" s="1164">
        <f>SUMIFS(Table91517[Count of EnergyRating],Table91517[MainSpaceHeatingFuel],AL70,Table91517[EnergyRating (group)],AM70,Table91517[CountyName (group)],BC$4)</f>
        <v>25</v>
      </c>
      <c r="BD70" s="1164">
        <f>SUMIFS(Table91517[Count of EnergyRating],Table91517[MainSpaceHeatingFuel],AL70,Table91517[EnergyRating (group)],AM70,Table91517[CountyName (group)],BD$4)</f>
        <v>44</v>
      </c>
      <c r="BE70" s="1164">
        <f>SUMIFS(Table91517[Count of EnergyRating],Table91517[MainSpaceHeatingFuel],AL70,Table91517[EnergyRating (group)],AM70,Table91517[CountyName (group)],BE$4)</f>
        <v>38</v>
      </c>
      <c r="BF70" s="1164">
        <f>SUMIFS(Table91517[Count of EnergyRating],Table91517[MainSpaceHeatingFuel],AL70,Table91517[EnergyRating (group)],AM70,Table91517[CountyName (group)],BF$4)</f>
        <v>137</v>
      </c>
      <c r="BG70" s="1164">
        <f>SUMIFS(Table91517[Count of EnergyRating],Table91517[MainSpaceHeatingFuel],AL70,Table91517[EnergyRating (group)],AM70,Table91517[CountyName (group)],BG$4)</f>
        <v>49</v>
      </c>
      <c r="BH70" s="1164">
        <f>SUMIFS(Table91517[Count of EnergyRating],Table91517[MainSpaceHeatingFuel],AL70,Table91517[EnergyRating (group)],AM70,Table91517[CountyName (group)],BH$4)</f>
        <v>48</v>
      </c>
      <c r="BI70" s="1164">
        <f>SUMIFS(Table91517[Count of EnergyRating],Table91517[MainSpaceHeatingFuel],AL70,Table91517[EnergyRating (group)],AM70,Table91517[CountyName (group)],BI$4)</f>
        <v>55</v>
      </c>
      <c r="BJ70" s="1164">
        <f>SUMIFS(Table91517[Count of EnergyRating],Table91517[MainSpaceHeatingFuel],AL70,Table91517[EnergyRating (group)],AM70,Table91517[CountyName (group)],BJ$4)</f>
        <v>37</v>
      </c>
      <c r="BK70" s="1135">
        <f>SUMIFS(Table91517[Count of EnergyRating],Table91517[MainSpaceHeatingFuel],AL70,Table91517[EnergyRating (group)],AM70,Table91517[CountyName (group)],BK$4)</f>
        <v>68</v>
      </c>
      <c r="BL70" s="1164">
        <f>SUMIFS(Table91517[Count of EnergyRating],Table91517[MainSpaceHeatingFuel],AL70,Table91517[EnergyRating (group)],AM70,Table91517[CountyName (group)],BL$4)</f>
        <v>59</v>
      </c>
      <c r="BM70" s="1164">
        <f>SUMIFS(Table91517[Count of EnergyRating],Table91517[MainSpaceHeatingFuel],AL70,Table91517[EnergyRating (group)],AM70,Table91517[CountyName (group)],BM$4)</f>
        <v>12</v>
      </c>
    </row>
    <row r="71" spans="2:65">
      <c r="B71" s="1136" t="s">
        <v>56</v>
      </c>
      <c r="C71" s="1136" t="s">
        <v>1243</v>
      </c>
      <c r="D71" s="1136" t="s">
        <v>1094</v>
      </c>
      <c r="E71" s="1146">
        <f t="shared" ref="E71:AD71" si="206">IFERROR(G187*((SUM(AN$69)/SUM(AN$65:AN$73))/(SUM(G$187)/SUM(G$186:G$191))),G187)</f>
        <v>1.2559328418904666E-2</v>
      </c>
      <c r="F71" s="1146">
        <f t="shared" si="206"/>
        <v>1.6768010893167581E-2</v>
      </c>
      <c r="G71" s="1146">
        <f t="shared" si="206"/>
        <v>1.5411113522470363E-2</v>
      </c>
      <c r="H71" s="1146">
        <f t="shared" si="206"/>
        <v>2.9369282485473793E-2</v>
      </c>
      <c r="I71" s="1146">
        <f t="shared" si="206"/>
        <v>1.9771808945677292E-2</v>
      </c>
      <c r="J71" s="1146">
        <f t="shared" si="206"/>
        <v>1.429352107455191E-2</v>
      </c>
      <c r="K71" s="1146">
        <f t="shared" si="206"/>
        <v>1.7056347255706469E-2</v>
      </c>
      <c r="L71" s="1146">
        <f t="shared" si="206"/>
        <v>1.7461696000979771E-2</v>
      </c>
      <c r="M71" s="1146">
        <f t="shared" si="206"/>
        <v>1.9253642305014154E-2</v>
      </c>
      <c r="N71" s="1146">
        <f t="shared" si="206"/>
        <v>2.0584962485892411E-2</v>
      </c>
      <c r="O71" s="1146">
        <f t="shared" si="206"/>
        <v>2.1243014984845352E-2</v>
      </c>
      <c r="P71" s="1146">
        <f t="shared" si="206"/>
        <v>1.7668446442221444E-2</v>
      </c>
      <c r="Q71" s="1146">
        <f t="shared" si="206"/>
        <v>2.1533057693150604E-2</v>
      </c>
      <c r="R71" s="1146">
        <f t="shared" si="206"/>
        <v>5.2015912571969983E-2</v>
      </c>
      <c r="S71" s="1146">
        <f t="shared" si="206"/>
        <v>2.1062498179998734E-2</v>
      </c>
      <c r="T71" s="1146">
        <f t="shared" si="206"/>
        <v>3.0486259669297675E-2</v>
      </c>
      <c r="U71" s="1146">
        <f t="shared" si="206"/>
        <v>2.9875924823874474E-2</v>
      </c>
      <c r="V71" s="1146">
        <f t="shared" si="206"/>
        <v>1.3485181207838827E-2</v>
      </c>
      <c r="W71" s="1146">
        <f t="shared" si="206"/>
        <v>4.6139563423151279E-2</v>
      </c>
      <c r="X71" s="1146">
        <f t="shared" si="206"/>
        <v>5.8826787950387212E-3</v>
      </c>
      <c r="Y71" s="1146">
        <f t="shared" si="206"/>
        <v>2.8067597324084568E-2</v>
      </c>
      <c r="Z71" s="1146">
        <f t="shared" si="206"/>
        <v>6.1623727131714526E-3</v>
      </c>
      <c r="AA71" s="1146">
        <f t="shared" si="206"/>
        <v>1.4464785280699978E-2</v>
      </c>
      <c r="AB71" s="1146">
        <f t="shared" si="206"/>
        <v>2.3698830831552938E-2</v>
      </c>
      <c r="AC71" s="1146">
        <f t="shared" si="206"/>
        <v>2.5078048525502685E-2</v>
      </c>
      <c r="AD71" s="1146">
        <f t="shared" si="206"/>
        <v>2.0991286956087835E-2</v>
      </c>
      <c r="AE71" s="1173">
        <f t="shared" si="4"/>
        <v>0.56038517281032496</v>
      </c>
      <c r="AG71" s="1164"/>
      <c r="AL71" s="1144" t="s">
        <v>136</v>
      </c>
      <c r="AM71" s="1144" t="s">
        <v>60</v>
      </c>
      <c r="AN71" s="1135">
        <f>SUMIFS(Table91517[Count of EnergyRating],Table91517[MainSpaceHeatingFuel],AL71,Table91517[EnergyRating (group)],AM71,Table91517[CountyName (group)],AN$4)</f>
        <v>6</v>
      </c>
      <c r="AO71" s="1164">
        <f>SUMIFS(Table91517[Count of EnergyRating],Table91517[MainSpaceHeatingFuel],AL71,Table91517[EnergyRating (group)],AM71,Table91517[CountyName (group)],AO$4)</f>
        <v>53</v>
      </c>
      <c r="AP71" s="1164">
        <f>SUMIFS(Table91517[Count of EnergyRating],Table91517[MainSpaceHeatingFuel],AL71,Table91517[EnergyRating (group)],AM71,Table91517[CountyName (group)],AP$4)</f>
        <v>24</v>
      </c>
      <c r="AQ71" s="1164">
        <f>SUMIFS(Table91517[Count of EnergyRating],Table91517[MainSpaceHeatingFuel],AL71,Table91517[EnergyRating (group)],AM71,Table91517[CountyName (group)],AQ$4)</f>
        <v>15</v>
      </c>
      <c r="AR71" s="1164">
        <f>SUMIFS(Table91517[Count of EnergyRating],Table91517[MainSpaceHeatingFuel],AL71,Table91517[EnergyRating (group)],AM71,Table91517[CountyName (group)],AR$4)</f>
        <v>32</v>
      </c>
      <c r="AS71" s="1164">
        <f>SUMIFS(Table91517[Count of EnergyRating],Table91517[MainSpaceHeatingFuel],AL71,Table91517[EnergyRating (group)],AM71,Table91517[CountyName (group)],AS$4)</f>
        <v>46</v>
      </c>
      <c r="AT71" s="1164">
        <f>SUMIFS(Table91517[Count of EnergyRating],Table91517[MainSpaceHeatingFuel],AL71,Table91517[EnergyRating (group)],AM71,Table91517[CountyName (group)],AT$4)</f>
        <v>7</v>
      </c>
      <c r="AU71" s="1164">
        <f>SUMIFS(Table91517[Count of EnergyRating],Table91517[MainSpaceHeatingFuel],AL71,Table91517[EnergyRating (group)],AM71,Table91517[CountyName (group)],AU$4)</f>
        <v>14</v>
      </c>
      <c r="AV71" s="1164">
        <f>SUMIFS(Table91517[Count of EnergyRating],Table91517[MainSpaceHeatingFuel],AL71,Table91517[EnergyRating (group)],AM71,Table91517[CountyName (group)],AV$4)</f>
        <v>21</v>
      </c>
      <c r="AW71" s="1164">
        <f>SUMIFS(Table91517[Count of EnergyRating],Table91517[MainSpaceHeatingFuel],AL71,Table91517[EnergyRating (group)],AM71,Table91517[CountyName (group)],AW$4)</f>
        <v>27</v>
      </c>
      <c r="AX71" s="1164">
        <f>SUMIFS(Table91517[Count of EnergyRating],Table91517[MainSpaceHeatingFuel],AL71,Table91517[EnergyRating (group)],AM71,Table91517[CountyName (group)],AX$4)</f>
        <v>219</v>
      </c>
      <c r="AY71" s="1164">
        <f>SUMIFS(Table91517[Count of EnergyRating],Table91517[MainSpaceHeatingFuel],AL71,Table91517[EnergyRating (group)],AM71,Table91517[CountyName (group)],AY$4)</f>
        <v>67</v>
      </c>
      <c r="AZ71" s="1164">
        <f>SUMIFS(Table91517[Count of EnergyRating],Table91517[MainSpaceHeatingFuel],AL71,Table91517[EnergyRating (group)],AM71,Table91517[CountyName (group)],AZ$4)</f>
        <v>149</v>
      </c>
      <c r="BA71" s="1164">
        <f>SUMIFS(Table91517[Count of EnergyRating],Table91517[MainSpaceHeatingFuel],AL71,Table91517[EnergyRating (group)],AM71,Table91517[CountyName (group)],BA$4)</f>
        <v>201</v>
      </c>
      <c r="BB71" s="1164">
        <f>SUMIFS(Table91517[Count of EnergyRating],Table91517[MainSpaceHeatingFuel],AL71,Table91517[EnergyRating (group)],AM71,Table91517[CountyName (group)],BB$4)</f>
        <v>221</v>
      </c>
      <c r="BC71" s="1164">
        <f>SUMIFS(Table91517[Count of EnergyRating],Table91517[MainSpaceHeatingFuel],AL71,Table91517[EnergyRating (group)],AM71,Table91517[CountyName (group)],BC$4)</f>
        <v>39</v>
      </c>
      <c r="BD71" s="1164">
        <f>SUMIFS(Table91517[Count of EnergyRating],Table91517[MainSpaceHeatingFuel],AL71,Table91517[EnergyRating (group)],AM71,Table91517[CountyName (group)],BD$4)</f>
        <v>60</v>
      </c>
      <c r="BE71" s="1164">
        <f>SUMIFS(Table91517[Count of EnergyRating],Table91517[MainSpaceHeatingFuel],AL71,Table91517[EnergyRating (group)],AM71,Table91517[CountyName (group)],BE$4)</f>
        <v>32</v>
      </c>
      <c r="BF71" s="1164">
        <f>SUMIFS(Table91517[Count of EnergyRating],Table91517[MainSpaceHeatingFuel],AL71,Table91517[EnergyRating (group)],AM71,Table91517[CountyName (group)],BF$4)</f>
        <v>160</v>
      </c>
      <c r="BG71" s="1164">
        <f>SUMIFS(Table91517[Count of EnergyRating],Table91517[MainSpaceHeatingFuel],AL71,Table91517[EnergyRating (group)],AM71,Table91517[CountyName (group)],BG$4)</f>
        <v>22</v>
      </c>
      <c r="BH71" s="1164">
        <f>SUMIFS(Table91517[Count of EnergyRating],Table91517[MainSpaceHeatingFuel],AL71,Table91517[EnergyRating (group)],AM71,Table91517[CountyName (group)],BH$4)</f>
        <v>100</v>
      </c>
      <c r="BI71" s="1164">
        <f>SUMIFS(Table91517[Count of EnergyRating],Table91517[MainSpaceHeatingFuel],AL71,Table91517[EnergyRating (group)],AM71,Table91517[CountyName (group)],BI$4)</f>
        <v>28</v>
      </c>
      <c r="BJ71" s="1164">
        <f>SUMIFS(Table91517[Count of EnergyRating],Table91517[MainSpaceHeatingFuel],AL71,Table91517[EnergyRating (group)],AM71,Table91517[CountyName (group)],BJ$4)</f>
        <v>52</v>
      </c>
      <c r="BK71" s="1135">
        <f>SUMIFS(Table91517[Count of EnergyRating],Table91517[MainSpaceHeatingFuel],AL71,Table91517[EnergyRating (group)],AM71,Table91517[CountyName (group)],BK$4)</f>
        <v>66</v>
      </c>
      <c r="BL71" s="1164">
        <f>SUMIFS(Table91517[Count of EnergyRating],Table91517[MainSpaceHeatingFuel],AL71,Table91517[EnergyRating (group)],AM71,Table91517[CountyName (group)],BL$4)</f>
        <v>48</v>
      </c>
      <c r="BM71" s="1164">
        <f>SUMIFS(Table91517[Count of EnergyRating],Table91517[MainSpaceHeatingFuel],AL71,Table91517[EnergyRating (group)],AM71,Table91517[CountyName (group)],BM$4)</f>
        <v>5</v>
      </c>
    </row>
    <row r="72" spans="2:65">
      <c r="B72" s="1134" t="s">
        <v>58</v>
      </c>
      <c r="C72" s="1134" t="s">
        <v>1243</v>
      </c>
      <c r="D72" s="1134" t="s">
        <v>1094</v>
      </c>
      <c r="E72" s="1145">
        <f t="shared" ref="E72:AD72" si="207">IFERROR(G188*((SUM(AN$70)/SUM(AN$65:AN$73))/(SUM(G$188)/SUM(G$186:G$191))),G188)</f>
        <v>1.0466107015753888E-2</v>
      </c>
      <c r="F72" s="1145">
        <f t="shared" si="207"/>
        <v>3.1249474846357768E-2</v>
      </c>
      <c r="G72" s="1145">
        <f t="shared" si="207"/>
        <v>1.4504577432913283E-2</v>
      </c>
      <c r="H72" s="1145">
        <f t="shared" si="207"/>
        <v>3.5017221424987983E-2</v>
      </c>
      <c r="I72" s="1145">
        <f t="shared" si="207"/>
        <v>3.031677371670518E-2</v>
      </c>
      <c r="J72" s="1145">
        <f t="shared" si="207"/>
        <v>2.6800352014784833E-2</v>
      </c>
      <c r="K72" s="1145">
        <f t="shared" si="207"/>
        <v>9.8747273585669034E-3</v>
      </c>
      <c r="L72" s="1145">
        <f t="shared" si="207"/>
        <v>1.8334780801028759E-2</v>
      </c>
      <c r="M72" s="1145">
        <f t="shared" si="207"/>
        <v>2.51778399373262E-2</v>
      </c>
      <c r="N72" s="1145">
        <f t="shared" si="207"/>
        <v>1.3001028938458366E-2</v>
      </c>
      <c r="O72" s="1145">
        <f t="shared" si="207"/>
        <v>8.7922478687276609E-2</v>
      </c>
      <c r="P72" s="1145">
        <f t="shared" si="207"/>
        <v>3.0919781273887538E-2</v>
      </c>
      <c r="Q72" s="1145">
        <f t="shared" si="207"/>
        <v>8.0748966349314763E-2</v>
      </c>
      <c r="R72" s="1145">
        <f t="shared" si="207"/>
        <v>0.14521108926341622</v>
      </c>
      <c r="S72" s="1145">
        <f t="shared" si="207"/>
        <v>9.6887491627994163E-2</v>
      </c>
      <c r="T72" s="1145">
        <f t="shared" si="207"/>
        <v>2.6281258335601437E-2</v>
      </c>
      <c r="U72" s="1145">
        <f t="shared" si="207"/>
        <v>4.3818023075015894E-2</v>
      </c>
      <c r="V72" s="1145">
        <f t="shared" si="207"/>
        <v>3.0143346229286792E-2</v>
      </c>
      <c r="W72" s="1145">
        <f t="shared" si="207"/>
        <v>9.4345077447339179E-2</v>
      </c>
      <c r="X72" s="1145">
        <f t="shared" si="207"/>
        <v>4.1178751565271059E-2</v>
      </c>
      <c r="Y72" s="1145">
        <f t="shared" si="207"/>
        <v>4.4908155718535306E-2</v>
      </c>
      <c r="Z72" s="1145">
        <f t="shared" si="207"/>
        <v>5.6488416537404974E-2</v>
      </c>
      <c r="AA72" s="1145">
        <f t="shared" si="207"/>
        <v>2.8168266072942063E-2</v>
      </c>
      <c r="AB72" s="1145">
        <f t="shared" si="207"/>
        <v>6.1981557559446142E-2</v>
      </c>
      <c r="AC72" s="1145">
        <f t="shared" si="207"/>
        <v>7.3980243150232911E-2</v>
      </c>
      <c r="AD72" s="1145">
        <f t="shared" si="207"/>
        <v>2.289958577027764E-2</v>
      </c>
      <c r="AE72" s="1172">
        <f t="shared" si="4"/>
        <v>1.1806253721501263</v>
      </c>
      <c r="AG72" s="1164"/>
      <c r="AL72" s="1144" t="s">
        <v>136</v>
      </c>
      <c r="AM72" s="1144" t="s">
        <v>62</v>
      </c>
      <c r="AN72" s="1135">
        <f>SUMIFS(Table91517[Count of EnergyRating],Table91517[MainSpaceHeatingFuel],AL72,Table91517[EnergyRating (group)],AM72,Table91517[CountyName (group)],AN$4)</f>
        <v>20</v>
      </c>
      <c r="AO72" s="1164">
        <f>SUMIFS(Table91517[Count of EnergyRating],Table91517[MainSpaceHeatingFuel],AL72,Table91517[EnergyRating (group)],AM72,Table91517[CountyName (group)],AO$4)</f>
        <v>43</v>
      </c>
      <c r="AP72" s="1164">
        <f>SUMIFS(Table91517[Count of EnergyRating],Table91517[MainSpaceHeatingFuel],AL72,Table91517[EnergyRating (group)],AM72,Table91517[CountyName (group)],AP$4)</f>
        <v>13</v>
      </c>
      <c r="AQ72" s="1164">
        <f>SUMIFS(Table91517[Count of EnergyRating],Table91517[MainSpaceHeatingFuel],AL72,Table91517[EnergyRating (group)],AM72,Table91517[CountyName (group)],AQ$4)</f>
        <v>12</v>
      </c>
      <c r="AR72" s="1164">
        <f>SUMIFS(Table91517[Count of EnergyRating],Table91517[MainSpaceHeatingFuel],AL72,Table91517[EnergyRating (group)],AM72,Table91517[CountyName (group)],AR$4)</f>
        <v>11</v>
      </c>
      <c r="AS72" s="1164">
        <f>SUMIFS(Table91517[Count of EnergyRating],Table91517[MainSpaceHeatingFuel],AL72,Table91517[EnergyRating (group)],AM72,Table91517[CountyName (group)],AS$4)</f>
        <v>14</v>
      </c>
      <c r="AT72" s="1164">
        <f>SUMIFS(Table91517[Count of EnergyRating],Table91517[MainSpaceHeatingFuel],AL72,Table91517[EnergyRating (group)],AM72,Table91517[CountyName (group)],AT$4)</f>
        <v>10</v>
      </c>
      <c r="AU72" s="1164">
        <f>SUMIFS(Table91517[Count of EnergyRating],Table91517[MainSpaceHeatingFuel],AL72,Table91517[EnergyRating (group)],AM72,Table91517[CountyName (group)],AU$4)</f>
        <v>6</v>
      </c>
      <c r="AV72" s="1164">
        <f>SUMIFS(Table91517[Count of EnergyRating],Table91517[MainSpaceHeatingFuel],AL72,Table91517[EnergyRating (group)],AM72,Table91517[CountyName (group)],AV$4)</f>
        <v>15</v>
      </c>
      <c r="AW72" s="1164">
        <f>SUMIFS(Table91517[Count of EnergyRating],Table91517[MainSpaceHeatingFuel],AL72,Table91517[EnergyRating (group)],AM72,Table91517[CountyName (group)],AW$4)</f>
        <v>22</v>
      </c>
      <c r="AX72" s="1164">
        <f>SUMIFS(Table91517[Count of EnergyRating],Table91517[MainSpaceHeatingFuel],AL72,Table91517[EnergyRating (group)],AM72,Table91517[CountyName (group)],AX$4)</f>
        <v>113</v>
      </c>
      <c r="AY72" s="1164">
        <f>SUMIFS(Table91517[Count of EnergyRating],Table91517[MainSpaceHeatingFuel],AL72,Table91517[EnergyRating (group)],AM72,Table91517[CountyName (group)],AY$4)</f>
        <v>44</v>
      </c>
      <c r="AZ72" s="1164">
        <f>SUMIFS(Table91517[Count of EnergyRating],Table91517[MainSpaceHeatingFuel],AL72,Table91517[EnergyRating (group)],AM72,Table91517[CountyName (group)],AZ$4)</f>
        <v>59</v>
      </c>
      <c r="BA72" s="1164">
        <f>SUMIFS(Table91517[Count of EnergyRating],Table91517[MainSpaceHeatingFuel],AL72,Table91517[EnergyRating (group)],AM72,Table91517[CountyName (group)],BA$4)</f>
        <v>131</v>
      </c>
      <c r="BB72" s="1164">
        <f>SUMIFS(Table91517[Count of EnergyRating],Table91517[MainSpaceHeatingFuel],AL72,Table91517[EnergyRating (group)],AM72,Table91517[CountyName (group)],BB$4)</f>
        <v>109</v>
      </c>
      <c r="BC72" s="1164">
        <f>SUMIFS(Table91517[Count of EnergyRating],Table91517[MainSpaceHeatingFuel],AL72,Table91517[EnergyRating (group)],AM72,Table91517[CountyName (group)],BC$4)</f>
        <v>34</v>
      </c>
      <c r="BD72" s="1164">
        <f>SUMIFS(Table91517[Count of EnergyRating],Table91517[MainSpaceHeatingFuel],AL72,Table91517[EnergyRating (group)],AM72,Table91517[CountyName (group)],BD$4)</f>
        <v>34</v>
      </c>
      <c r="BE72" s="1164">
        <f>SUMIFS(Table91517[Count of EnergyRating],Table91517[MainSpaceHeatingFuel],AL72,Table91517[EnergyRating (group)],AM72,Table91517[CountyName (group)],BE$4)</f>
        <v>23</v>
      </c>
      <c r="BF72" s="1152">
        <f>SUMIFS(Table91517[Count of EnergyRating],Table91517[MainSpaceHeatingFuel],AL72,Table91517[EnergyRating (group)],AM72,Table91517[CountyName (group)],BF$4)</f>
        <v>101</v>
      </c>
      <c r="BG72" s="1164">
        <f>SUMIFS(Table91517[Count of EnergyRating],Table91517[MainSpaceHeatingFuel],AL72,Table91517[EnergyRating (group)],AM72,Table91517[CountyName (group)],BG$4)</f>
        <v>15</v>
      </c>
      <c r="BH72" s="1164">
        <f>SUMIFS(Table91517[Count of EnergyRating],Table91517[MainSpaceHeatingFuel],AL72,Table91517[EnergyRating (group)],AM72,Table91517[CountyName (group)],BH$4)</f>
        <v>55</v>
      </c>
      <c r="BI72" s="1164">
        <f>SUMIFS(Table91517[Count of EnergyRating],Table91517[MainSpaceHeatingFuel],AL72,Table91517[EnergyRating (group)],AM72,Table91517[CountyName (group)],BI$4)</f>
        <v>21</v>
      </c>
      <c r="BJ72" s="1164">
        <f>SUMIFS(Table91517[Count of EnergyRating],Table91517[MainSpaceHeatingFuel],AL72,Table91517[EnergyRating (group)],AM72,Table91517[CountyName (group)],BJ$4)</f>
        <v>17</v>
      </c>
      <c r="BK72" s="1135">
        <f>SUMIFS(Table91517[Count of EnergyRating],Table91517[MainSpaceHeatingFuel],AL72,Table91517[EnergyRating (group)],AM72,Table91517[CountyName (group)],BK$4)</f>
        <v>23</v>
      </c>
      <c r="BL72" s="1164">
        <f>SUMIFS(Table91517[Count of EnergyRating],Table91517[MainSpaceHeatingFuel],AL72,Table91517[EnergyRating (group)],AM72,Table91517[CountyName (group)],BL$4)</f>
        <v>22</v>
      </c>
      <c r="BM72" s="1164">
        <f>SUMIFS(Table91517[Count of EnergyRating],Table91517[MainSpaceHeatingFuel],AL72,Table91517[EnergyRating (group)],AM72,Table91517[CountyName (group)],BM$4)</f>
        <v>4</v>
      </c>
    </row>
    <row r="73" spans="2:65">
      <c r="B73" s="1136" t="s">
        <v>60</v>
      </c>
      <c r="C73" s="1136" t="s">
        <v>1243</v>
      </c>
      <c r="D73" s="1136" t="s">
        <v>1094</v>
      </c>
      <c r="E73" s="1146">
        <f t="shared" ref="E73:AD73" si="208">IFERROR(G189*((SUM(AN$71)/SUM(AN$65:AN$73))/(SUM(G$189)/SUM(G$186:G$191))),G189)</f>
        <v>6.279664209452333E-3</v>
      </c>
      <c r="F73" s="1146">
        <f t="shared" si="208"/>
        <v>4.0395662606267348E-2</v>
      </c>
      <c r="G73" s="1146">
        <f t="shared" si="208"/>
        <v>2.1756866149369926E-2</v>
      </c>
      <c r="H73" s="1146">
        <f t="shared" si="208"/>
        <v>1.6943816818542574E-2</v>
      </c>
      <c r="I73" s="1146">
        <f t="shared" si="208"/>
        <v>4.2179859084111551E-2</v>
      </c>
      <c r="J73" s="1146">
        <f t="shared" si="208"/>
        <v>4.1093873089336742E-2</v>
      </c>
      <c r="K73" s="1146">
        <f t="shared" si="208"/>
        <v>6.2839174099971204E-3</v>
      </c>
      <c r="L73" s="1146">
        <f t="shared" si="208"/>
        <v>1.2223187200685838E-2</v>
      </c>
      <c r="M73" s="1146">
        <f t="shared" si="208"/>
        <v>3.1102037569638249E-2</v>
      </c>
      <c r="N73" s="1146">
        <f t="shared" si="208"/>
        <v>2.9252315111531323E-2</v>
      </c>
      <c r="O73" s="1146">
        <f t="shared" si="208"/>
        <v>0.12922834115780923</v>
      </c>
      <c r="P73" s="1146">
        <f t="shared" si="208"/>
        <v>4.2278068272458467E-2</v>
      </c>
      <c r="Q73" s="1146">
        <f t="shared" si="208"/>
        <v>0.1002632998837325</v>
      </c>
      <c r="R73" s="1146">
        <f t="shared" si="208"/>
        <v>0.14521108926341622</v>
      </c>
      <c r="S73" s="1146">
        <f t="shared" si="208"/>
        <v>0.11637030244449298</v>
      </c>
      <c r="T73" s="1146">
        <f t="shared" si="208"/>
        <v>4.0998763003538254E-2</v>
      </c>
      <c r="U73" s="1146">
        <f t="shared" si="208"/>
        <v>5.9751849647748947E-2</v>
      </c>
      <c r="V73" s="1146">
        <f t="shared" si="208"/>
        <v>2.5383870508873092E-2</v>
      </c>
      <c r="W73" s="1146">
        <f t="shared" si="208"/>
        <v>0.11018403205528665</v>
      </c>
      <c r="X73" s="1146">
        <f t="shared" si="208"/>
        <v>1.8488419070121696E-2</v>
      </c>
      <c r="Y73" s="1146">
        <f t="shared" si="208"/>
        <v>9.3558657746948548E-2</v>
      </c>
      <c r="Z73" s="1146">
        <f t="shared" si="208"/>
        <v>2.8757739328133445E-2</v>
      </c>
      <c r="AA73" s="1146">
        <f t="shared" si="208"/>
        <v>3.9587833399810465E-2</v>
      </c>
      <c r="AB73" s="1146">
        <f t="shared" si="208"/>
        <v>6.0158570572403619E-2</v>
      </c>
      <c r="AC73" s="1146">
        <f t="shared" si="208"/>
        <v>6.0187316461206439E-2</v>
      </c>
      <c r="AD73" s="1146">
        <f t="shared" si="208"/>
        <v>9.5414940709490168E-3</v>
      </c>
      <c r="AE73" s="1173">
        <f t="shared" si="4"/>
        <v>1.3274608461358626</v>
      </c>
      <c r="AG73" s="1164"/>
      <c r="AL73" s="1144" t="s">
        <v>136</v>
      </c>
      <c r="AM73" s="1144" t="s">
        <v>64</v>
      </c>
      <c r="AN73" s="1135">
        <f>SUMIFS(Table91517[Count of EnergyRating],Table91517[MainSpaceHeatingFuel],AL73,Table91517[EnergyRating (group)],AM73,Table91517[CountyName (group)],AN$4)</f>
        <v>53</v>
      </c>
      <c r="AO73" s="1164">
        <f>SUMIFS(Table91517[Count of EnergyRating],Table91517[MainSpaceHeatingFuel],AL73,Table91517[EnergyRating (group)],AM73,Table91517[CountyName (group)],AO$4)</f>
        <v>234</v>
      </c>
      <c r="AP73" s="1164">
        <f>SUMIFS(Table91517[Count of EnergyRating],Table91517[MainSpaceHeatingFuel],AL73,Table91517[EnergyRating (group)],AM73,Table91517[CountyName (group)],AP$4)</f>
        <v>81</v>
      </c>
      <c r="AQ73" s="1164">
        <f>SUMIFS(Table91517[Count of EnergyRating],Table91517[MainSpaceHeatingFuel],AL73,Table91517[EnergyRating (group)],AM73,Table91517[CountyName (group)],AQ$4)</f>
        <v>106</v>
      </c>
      <c r="AR73" s="1164">
        <f>SUMIFS(Table91517[Count of EnergyRating],Table91517[MainSpaceHeatingFuel],AL73,Table91517[EnergyRating (group)],AM73,Table91517[CountyName (group)],AR$4)</f>
        <v>75</v>
      </c>
      <c r="AS73" s="1164">
        <f>SUMIFS(Table91517[Count of EnergyRating],Table91517[MainSpaceHeatingFuel],AL73,Table91517[EnergyRating (group)],AM73,Table91517[CountyName (group)],AS$4)</f>
        <v>65</v>
      </c>
      <c r="AT73" s="1164">
        <f>SUMIFS(Table91517[Count of EnergyRating],Table91517[MainSpaceHeatingFuel],AL73,Table91517[EnergyRating (group)],AM73,Table91517[CountyName (group)],AT$4)</f>
        <v>78</v>
      </c>
      <c r="AU73" s="1164">
        <f>SUMIFS(Table91517[Count of EnergyRating],Table91517[MainSpaceHeatingFuel],AL73,Table91517[EnergyRating (group)],AM73,Table91517[CountyName (group)],AU$4)</f>
        <v>107</v>
      </c>
      <c r="AV73" s="1164">
        <f>SUMIFS(Table91517[Count of EnergyRating],Table91517[MainSpaceHeatingFuel],AL73,Table91517[EnergyRating (group)],AM73,Table91517[CountyName (group)],AV$4)</f>
        <v>41</v>
      </c>
      <c r="AW73" s="1164">
        <f>SUMIFS(Table91517[Count of EnergyRating],Table91517[MainSpaceHeatingFuel],AL73,Table91517[EnergyRating (group)],AM73,Table91517[CountyName (group)],AW$4)</f>
        <v>92</v>
      </c>
      <c r="AX73" s="1164">
        <f>SUMIFS(Table91517[Count of EnergyRating],Table91517[MainSpaceHeatingFuel],AL73,Table91517[EnergyRating (group)],AM73,Table91517[CountyName (group)],AX$4)</f>
        <v>305</v>
      </c>
      <c r="AY73" s="1164">
        <f>SUMIFS(Table91517[Count of EnergyRating],Table91517[MainSpaceHeatingFuel],AL73,Table91517[EnergyRating (group)],AM73,Table91517[CountyName (group)],AY$4)</f>
        <v>158</v>
      </c>
      <c r="AZ73" s="1164">
        <f>SUMIFS(Table91517[Count of EnergyRating],Table91517[MainSpaceHeatingFuel],AL73,Table91517[EnergyRating (group)],AM73,Table91517[CountyName (group)],AZ$4)</f>
        <v>229</v>
      </c>
      <c r="BA73" s="1164">
        <f>SUMIFS(Table91517[Count of EnergyRating],Table91517[MainSpaceHeatingFuel],AL73,Table91517[EnergyRating (group)],AM73,Table91517[CountyName (group)],BA$4)</f>
        <v>763</v>
      </c>
      <c r="BB73" s="1164">
        <f>SUMIFS(Table91517[Count of EnergyRating],Table91517[MainSpaceHeatingFuel],AL73,Table91517[EnergyRating (group)],AM73,Table91517[CountyName (group)],BB$4)</f>
        <v>363</v>
      </c>
      <c r="BC73" s="1164">
        <f>SUMIFS(Table91517[Count of EnergyRating],Table91517[MainSpaceHeatingFuel],AL73,Table91517[EnergyRating (group)],AM73,Table91517[CountyName (group)],BC$4)</f>
        <v>238</v>
      </c>
      <c r="BD73" s="1164">
        <f>SUMIFS(Table91517[Count of EnergyRating],Table91517[MainSpaceHeatingFuel],AL73,Table91517[EnergyRating (group)],AM73,Table91517[CountyName (group)],BD$4)</f>
        <v>247</v>
      </c>
      <c r="BE73" s="1164">
        <f>SUMIFS(Table91517[Count of EnergyRating],Table91517[MainSpaceHeatingFuel],AL73,Table91517[EnergyRating (group)],AM73,Table91517[CountyName (group)],BE$4)</f>
        <v>80</v>
      </c>
      <c r="BF73" s="1164">
        <f>SUMIFS(Table91517[Count of EnergyRating],Table91517[MainSpaceHeatingFuel],AL73,Table91517[EnergyRating (group)],AM73,Table91517[CountyName (group)],BF$4)</f>
        <v>448</v>
      </c>
      <c r="BG73" s="1164">
        <f>SUMIFS(Table91517[Count of EnergyRating],Table91517[MainSpaceHeatingFuel],AL73,Table91517[EnergyRating (group)],AM73,Table91517[CountyName (group)],BG$4)</f>
        <v>92</v>
      </c>
      <c r="BH73" s="1164">
        <f>SUMIFS(Table91517[Count of EnergyRating],Table91517[MainSpaceHeatingFuel],AL73,Table91517[EnergyRating (group)],AM73,Table91517[CountyName (group)],BH$4)</f>
        <v>234</v>
      </c>
      <c r="BI73" s="1164">
        <f>SUMIFS(Table91517[Count of EnergyRating],Table91517[MainSpaceHeatingFuel],AL73,Table91517[EnergyRating (group)],AM73,Table91517[CountyName (group)],BI$4)</f>
        <v>145</v>
      </c>
      <c r="BJ73" s="1164">
        <f>SUMIFS(Table91517[Count of EnergyRating],Table91517[MainSpaceHeatingFuel],AL73,Table91517[EnergyRating (group)],AM73,Table91517[CountyName (group)],BJ$4)</f>
        <v>103</v>
      </c>
      <c r="BK73" s="1135">
        <f>SUMIFS(Table91517[Count of EnergyRating],Table91517[MainSpaceHeatingFuel],AL73,Table91517[EnergyRating (group)],AM73,Table91517[CountyName (group)],BK$4)</f>
        <v>95</v>
      </c>
      <c r="BL73" s="1164">
        <f>SUMIFS(Table91517[Count of EnergyRating],Table91517[MainSpaceHeatingFuel],AL73,Table91517[EnergyRating (group)],AM73,Table91517[CountyName (group)],BL$4)</f>
        <v>209</v>
      </c>
      <c r="BM73" s="1164">
        <f>SUMIFS(Table91517[Count of EnergyRating],Table91517[MainSpaceHeatingFuel],AL73,Table91517[EnergyRating (group)],AM73,Table91517[CountyName (group)],BM$4)</f>
        <v>35</v>
      </c>
    </row>
    <row r="74" spans="2:65">
      <c r="B74" s="1134" t="s">
        <v>62</v>
      </c>
      <c r="C74" s="1134" t="s">
        <v>1243</v>
      </c>
      <c r="D74" s="1134" t="s">
        <v>1094</v>
      </c>
      <c r="E74" s="1145">
        <f t="shared" ref="E74:AD74" si="209">IFERROR(G190*((SUM(AN$72)/SUM(AN$65:AN$73))/(SUM(G$190)/SUM(G$186:G$191))),G190)</f>
        <v>2.0932214031507773E-2</v>
      </c>
      <c r="F74" s="1145">
        <f t="shared" si="209"/>
        <v>3.277383947300936E-2</v>
      </c>
      <c r="G74" s="1145">
        <f t="shared" si="209"/>
        <v>1.1784969164242043E-2</v>
      </c>
      <c r="H74" s="1145">
        <f t="shared" si="209"/>
        <v>1.3555053454834059E-2</v>
      </c>
      <c r="I74" s="1145">
        <f t="shared" si="209"/>
        <v>1.4499326560163346E-2</v>
      </c>
      <c r="J74" s="1145">
        <f t="shared" si="209"/>
        <v>1.2506830940232921E-2</v>
      </c>
      <c r="K74" s="1145">
        <f t="shared" si="209"/>
        <v>8.977024871424457E-3</v>
      </c>
      <c r="L74" s="1145">
        <f t="shared" si="209"/>
        <v>5.2385088002939312E-3</v>
      </c>
      <c r="M74" s="1145">
        <f t="shared" si="209"/>
        <v>2.2215741121170182E-2</v>
      </c>
      <c r="N74" s="1145">
        <f t="shared" si="209"/>
        <v>2.3835219720507006E-2</v>
      </c>
      <c r="O74" s="1145">
        <f t="shared" si="209"/>
        <v>6.6679463702431246E-2</v>
      </c>
      <c r="P74" s="1145">
        <f t="shared" si="209"/>
        <v>2.7764701552062274E-2</v>
      </c>
      <c r="Q74" s="1145">
        <f t="shared" si="209"/>
        <v>3.9701575121746428E-2</v>
      </c>
      <c r="R74" s="1145">
        <f t="shared" si="209"/>
        <v>9.4640063151778711E-2</v>
      </c>
      <c r="S74" s="1145">
        <f t="shared" si="209"/>
        <v>5.7395307540496543E-2</v>
      </c>
      <c r="T74" s="1145">
        <f t="shared" si="209"/>
        <v>3.5742511336417961E-2</v>
      </c>
      <c r="U74" s="1145">
        <f t="shared" si="209"/>
        <v>3.3859381467057734E-2</v>
      </c>
      <c r="V74" s="1145">
        <f t="shared" si="209"/>
        <v>1.8244656928252532E-2</v>
      </c>
      <c r="W74" s="1145">
        <f t="shared" si="209"/>
        <v>6.9553670234899695E-2</v>
      </c>
      <c r="X74" s="1145">
        <f t="shared" si="209"/>
        <v>1.2605740275082974E-2</v>
      </c>
      <c r="Y74" s="1145">
        <f t="shared" si="209"/>
        <v>5.1457261760821701E-2</v>
      </c>
      <c r="Z74" s="1145">
        <f t="shared" si="209"/>
        <v>2.1568304496100081E-2</v>
      </c>
      <c r="AA74" s="1145">
        <f t="shared" si="209"/>
        <v>1.294217630378419E-2</v>
      </c>
      <c r="AB74" s="1145">
        <f t="shared" si="209"/>
        <v>2.0964350350989144E-2</v>
      </c>
      <c r="AC74" s="1145">
        <f t="shared" si="209"/>
        <v>2.7585853378052951E-2</v>
      </c>
      <c r="AD74" s="1145">
        <f t="shared" si="209"/>
        <v>7.6331952567592126E-3</v>
      </c>
      <c r="AE74" s="1172">
        <f t="shared" si="4"/>
        <v>0.76465694099411818</v>
      </c>
      <c r="AG74" s="1164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</row>
    <row r="75" spans="2:65" ht="15.75" thickBot="1">
      <c r="B75" s="1138" t="s">
        <v>64</v>
      </c>
      <c r="C75" s="1138" t="s">
        <v>1243</v>
      </c>
      <c r="D75" s="1138" t="s">
        <v>1094</v>
      </c>
      <c r="E75" s="1147">
        <f t="shared" ref="E75:AD75" si="210">IFERROR(G191*((SUM(AN$73)/SUM(AN$65:AN$73))/(SUM(G$191)/SUM(G$186:G$191))),G191)</f>
        <v>5.5470367183495607E-2</v>
      </c>
      <c r="F75" s="1147">
        <f t="shared" si="210"/>
        <v>0.17835066131823699</v>
      </c>
      <c r="G75" s="1147">
        <f t="shared" si="210"/>
        <v>7.3429423254123494E-2</v>
      </c>
      <c r="H75" s="1147">
        <f t="shared" si="210"/>
        <v>0.11973630551770087</v>
      </c>
      <c r="I75" s="1147">
        <f t="shared" si="210"/>
        <v>9.8859044728386455E-2</v>
      </c>
      <c r="J75" s="1147">
        <f t="shared" si="210"/>
        <v>5.8067429365367143E-2</v>
      </c>
      <c r="K75" s="1147">
        <f t="shared" si="210"/>
        <v>7.0020793997110781E-2</v>
      </c>
      <c r="L75" s="1147">
        <f t="shared" si="210"/>
        <v>9.3420073605241752E-2</v>
      </c>
      <c r="M75" s="1147">
        <f t="shared" si="210"/>
        <v>6.0723025731198484E-2</v>
      </c>
      <c r="N75" s="1147">
        <f t="shared" si="210"/>
        <v>9.967455519484747E-2</v>
      </c>
      <c r="O75" s="1147">
        <f t="shared" si="210"/>
        <v>0.17997554362160648</v>
      </c>
      <c r="P75" s="1147">
        <f t="shared" si="210"/>
        <v>9.9700519209678165E-2</v>
      </c>
      <c r="Q75" s="1147">
        <f t="shared" si="210"/>
        <v>0.15409594411660901</v>
      </c>
      <c r="R75" s="1147">
        <f t="shared" si="210"/>
        <v>0.55122418461684863</v>
      </c>
      <c r="S75" s="1147">
        <f t="shared" si="210"/>
        <v>0.19114217098348849</v>
      </c>
      <c r="T75" s="1147">
        <f t="shared" si="210"/>
        <v>0.2501975793549257</v>
      </c>
      <c r="U75" s="1147">
        <f t="shared" si="210"/>
        <v>0.24597844771656646</v>
      </c>
      <c r="V75" s="1147">
        <f t="shared" si="210"/>
        <v>6.3459676272182727E-2</v>
      </c>
      <c r="W75" s="1147">
        <f t="shared" si="210"/>
        <v>0.30851528975480258</v>
      </c>
      <c r="X75" s="1147">
        <f t="shared" si="210"/>
        <v>7.7315207020508911E-2</v>
      </c>
      <c r="Y75" s="1147">
        <f t="shared" si="210"/>
        <v>0.21892725912785962</v>
      </c>
      <c r="Z75" s="1147">
        <f t="shared" si="210"/>
        <v>0.14892400723497676</v>
      </c>
      <c r="AA75" s="1147">
        <f t="shared" si="210"/>
        <v>7.8414362311163041E-2</v>
      </c>
      <c r="AB75" s="1147">
        <f t="shared" si="210"/>
        <v>8.6591881884520355E-2</v>
      </c>
      <c r="AC75" s="1147">
        <f t="shared" si="210"/>
        <v>0.26206560709150306</v>
      </c>
      <c r="AD75" s="1147">
        <f t="shared" si="210"/>
        <v>6.6790458496643099E-2</v>
      </c>
      <c r="AE75" s="1174">
        <f t="shared" si="4"/>
        <v>3.8910698187095916</v>
      </c>
      <c r="AG75" s="1164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SUMIFS(Table91517[Count of EnergyRating],Table91517[MainSpaceHeatingFuel],AL75,Table91517[EnergyRating (group)],AM75,Table91517[CountyName (group)],AN$4)</f>
        <v>0</v>
      </c>
      <c r="AO75" s="1164">
        <f>SUMIFS(Table91517[Count of EnergyRating],Table91517[MainSpaceHeatingFuel],AL75,Table91517[EnergyRating (group)],AM75,Table91517[CountyName (group)],AO$4)</f>
        <v>0</v>
      </c>
      <c r="AP75" s="1164">
        <f>SUMIFS(Table91517[Count of EnergyRating],Table91517[MainSpaceHeatingFuel],AL75,Table91517[EnergyRating (group)],AM75,Table91517[CountyName (group)],AP$4)</f>
        <v>0</v>
      </c>
      <c r="AQ75" s="1164">
        <f>SUMIFS(Table91517[Count of EnergyRating],Table91517[MainSpaceHeatingFuel],AL75,Table91517[EnergyRating (group)],AM75,Table91517[CountyName (group)],AQ$4)</f>
        <v>0</v>
      </c>
      <c r="AR75" s="1164">
        <f>SUMIFS(Table91517[Count of EnergyRating],Table91517[MainSpaceHeatingFuel],AL75,Table91517[EnergyRating (group)],AM75,Table91517[CountyName (group)],AR$4)</f>
        <v>0</v>
      </c>
      <c r="AS75" s="1164">
        <f>SUMIFS(Table91517[Count of EnergyRating],Table91517[MainSpaceHeatingFuel],AL75,Table91517[EnergyRating (group)],AM75,Table91517[CountyName (group)],AS$4)</f>
        <v>0</v>
      </c>
      <c r="AT75" s="1164">
        <f>SUMIFS(Table91517[Count of EnergyRating],Table91517[MainSpaceHeatingFuel],AL75,Table91517[EnergyRating (group)],AM75,Table91517[CountyName (group)],AT$4)</f>
        <v>0</v>
      </c>
      <c r="AU75" s="1164">
        <f>SUMIFS(Table91517[Count of EnergyRating],Table91517[MainSpaceHeatingFuel],AL75,Table91517[EnergyRating (group)],AM75,Table91517[CountyName (group)],AU$4)</f>
        <v>0</v>
      </c>
      <c r="AV75" s="1164">
        <f>SUMIFS(Table91517[Count of EnergyRating],Table91517[MainSpaceHeatingFuel],AL75,Table91517[EnergyRating (group)],AM75,Table91517[CountyName (group)],AV$4)</f>
        <v>0</v>
      </c>
      <c r="AW75" s="1164">
        <f>SUMIFS(Table91517[Count of EnergyRating],Table91517[MainSpaceHeatingFuel],AL75,Table91517[EnergyRating (group)],AM75,Table91517[CountyName (group)],AW$4)</f>
        <v>0</v>
      </c>
      <c r="AX75" s="1164">
        <f>SUMIFS(Table91517[Count of EnergyRating],Table91517[MainSpaceHeatingFuel],AL75,Table91517[EnergyRating (group)],AM75,Table91517[CountyName (group)],AX$4)</f>
        <v>0</v>
      </c>
      <c r="AY75" s="1164">
        <f>SUMIFS(Table91517[Count of EnergyRating],Table91517[MainSpaceHeatingFuel],AL75,Table91517[EnergyRating (group)],AM75,Table91517[CountyName (group)],AY$4)</f>
        <v>0</v>
      </c>
      <c r="AZ75" s="1164">
        <f>SUMIFS(Table91517[Count of EnergyRating],Table91517[MainSpaceHeatingFuel],AL75,Table91517[EnergyRating (group)],AM75,Table91517[CountyName (group)],AZ$4)</f>
        <v>0</v>
      </c>
      <c r="BA75" s="1164">
        <f>SUMIFS(Table91517[Count of EnergyRating],Table91517[MainSpaceHeatingFuel],AL75,Table91517[EnergyRating (group)],AM75,Table91517[CountyName (group)],BA$4)</f>
        <v>0</v>
      </c>
      <c r="BB75" s="1164">
        <f>SUMIFS(Table91517[Count of EnergyRating],Table91517[MainSpaceHeatingFuel],AL75,Table91517[EnergyRating (group)],AM75,Table91517[CountyName (group)],BB$4)</f>
        <v>0</v>
      </c>
      <c r="BC75" s="1164">
        <f>SUMIFS(Table91517[Count of EnergyRating],Table91517[MainSpaceHeatingFuel],AL75,Table91517[EnergyRating (group)],AM75,Table91517[CountyName (group)],BC$4)</f>
        <v>0</v>
      </c>
      <c r="BD75" s="1164">
        <f>SUMIFS(Table91517[Count of EnergyRating],Table91517[MainSpaceHeatingFuel],AL75,Table91517[EnergyRating (group)],AM75,Table91517[CountyName (group)],BD$4)</f>
        <v>0</v>
      </c>
      <c r="BE75" s="1164">
        <f>SUMIFS(Table91517[Count of EnergyRating],Table91517[MainSpaceHeatingFuel],AL75,Table91517[EnergyRating (group)],AM75,Table91517[CountyName (group)],BE$4)</f>
        <v>0</v>
      </c>
      <c r="BF75" s="1164">
        <f>SUMIFS(Table91517[Count of EnergyRating],Table91517[MainSpaceHeatingFuel],AL75,Table91517[EnergyRating (group)],AM75,Table91517[CountyName (group)],BF$4)</f>
        <v>0</v>
      </c>
      <c r="BG75" s="1164">
        <f>SUMIFS(Table91517[Count of EnergyRating],Table91517[MainSpaceHeatingFuel],AL75,Table91517[EnergyRating (group)],AM75,Table91517[CountyName (group)],BG$4)</f>
        <v>0</v>
      </c>
      <c r="BH75" s="1164">
        <f>SUMIFS(Table91517[Count of EnergyRating],Table91517[MainSpaceHeatingFuel],AL75,Table91517[EnergyRating (group)],AM75,Table91517[CountyName (group)],BH$4)</f>
        <v>0</v>
      </c>
      <c r="BI75" s="1164">
        <f>SUMIFS(Table91517[Count of EnergyRating],Table91517[MainSpaceHeatingFuel],AL75,Table91517[EnergyRating (group)],AM75,Table91517[CountyName (group)],BI$4)</f>
        <v>0</v>
      </c>
      <c r="BJ75" s="1164">
        <f>SUMIFS(Table91517[Count of EnergyRating],Table91517[MainSpaceHeatingFuel],AL75,Table91517[EnergyRating (group)],AM75,Table91517[CountyName (group)],BJ$4)</f>
        <v>0</v>
      </c>
      <c r="BK75" s="1135">
        <f>SUMIFS(Table91517[Count of EnergyRating],Table91517[MainSpaceHeatingFuel],AL75,Table91517[EnergyRating (group)],AM75,Table91517[CountyName (group)],BK$4)</f>
        <v>0</v>
      </c>
      <c r="BL75" s="1164">
        <f>SUMIFS(Table91517[Count of EnergyRating],Table91517[MainSpaceHeatingFuel],AL75,Table91517[EnergyRating (group)],AM75,Table91517[CountyName (group)],BL$4)</f>
        <v>0</v>
      </c>
      <c r="BM75" s="1164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38" t="s">
        <v>1075</v>
      </c>
      <c r="C76" s="1134" t="s">
        <v>1243</v>
      </c>
      <c r="D76" s="1134" t="s">
        <v>1094</v>
      </c>
      <c r="E76" s="1147">
        <f>SUM(E70:E75)</f>
        <v>0.21874163662925628</v>
      </c>
      <c r="F76" s="1147">
        <f t="shared" ref="F76" si="211">SUM(F70:F75)</f>
        <v>1.1356516468554407</v>
      </c>
      <c r="G76" s="1147">
        <f t="shared" ref="G76" si="212">SUM(G70:G75)</f>
        <v>0.61281839654058623</v>
      </c>
      <c r="H76" s="1147">
        <f t="shared" ref="H76" si="213">SUM(H70:H75)</f>
        <v>0.42246583267566151</v>
      </c>
      <c r="I76" s="1147">
        <f t="shared" ref="I76" si="214">SUM(I70:I75)</f>
        <v>0.32953014909462153</v>
      </c>
      <c r="J76" s="1147">
        <f t="shared" ref="J76" si="215">SUM(J70:J75)</f>
        <v>0.19653591477508875</v>
      </c>
      <c r="K76" s="1147">
        <f t="shared" ref="K76" si="216">SUM(K70:K75)</f>
        <v>0.38152355703553953</v>
      </c>
      <c r="L76" s="1147">
        <f t="shared" ref="L76" si="217">SUM(L70:L75)</f>
        <v>0.69410241603894596</v>
      </c>
      <c r="M76" s="1147">
        <f t="shared" ref="M76" si="218">SUM(M70:M75)</f>
        <v>0.32286877096100658</v>
      </c>
      <c r="N76" s="1147">
        <f t="shared" ref="N76" si="219">SUM(N70:N75)</f>
        <v>0.34019359055632725</v>
      </c>
      <c r="O76" s="1147">
        <f t="shared" ref="O76" si="220">SUM(O70:O75)</f>
        <v>0.68508723326126264</v>
      </c>
      <c r="P76" s="1147">
        <f t="shared" ref="P76" si="221">SUM(P70:P75)</f>
        <v>0.45559351183156732</v>
      </c>
      <c r="Q76" s="1147">
        <f t="shared" ref="Q76" si="222">SUM(Q70:Q75)</f>
        <v>0.53025154569383359</v>
      </c>
      <c r="R76" s="1147">
        <f t="shared" ref="R76" si="223">SUM(R70:R75)</f>
        <v>1.7938265405027982</v>
      </c>
      <c r="S76" s="1147">
        <f t="shared" ref="S76" si="224">SUM(S70:S75)</f>
        <v>0.73560774893645575</v>
      </c>
      <c r="T76" s="1147">
        <f t="shared" ref="T76" si="225">SUM(T70:T75)</f>
        <v>0.66228771005715636</v>
      </c>
      <c r="U76" s="1147">
        <f t="shared" ref="U76" si="226">SUM(U70:U75)</f>
        <v>0.7070635541650292</v>
      </c>
      <c r="V76" s="1147">
        <f t="shared" ref="V76" si="227">SUM(V70:V75)</f>
        <v>0.38710402526031462</v>
      </c>
      <c r="W76" s="1147">
        <f t="shared" ref="W76" si="228">SUM(W70:W75)</f>
        <v>1.1197452257618505</v>
      </c>
      <c r="X76" s="1147">
        <f t="shared" ref="X76" si="229">SUM(X70:X75)</f>
        <v>0.18404380801621145</v>
      </c>
      <c r="Y76" s="1147">
        <f t="shared" ref="Y76" si="230">SUM(Y70:Y75)</f>
        <v>0.70168993310211414</v>
      </c>
      <c r="Z76" s="1147">
        <f t="shared" ref="Z76" si="231">SUM(Z70:Z75)</f>
        <v>0.3656341143148395</v>
      </c>
      <c r="AA76" s="1147">
        <f t="shared" ref="AA76" si="232">SUM(AA70:AA75)</f>
        <v>0.29310222805628905</v>
      </c>
      <c r="AB76" s="1147">
        <f t="shared" ref="AB76" si="233">SUM(AB70:AB75)</f>
        <v>0.36642038439554925</v>
      </c>
      <c r="AC76" s="1147">
        <f t="shared" ref="AC76" si="234">SUM(AC70:AC75)</f>
        <v>0.82381389406276317</v>
      </c>
      <c r="AD76" s="1147">
        <f t="shared" ref="AD76" si="235">SUM(AD70:AD75)</f>
        <v>0.28624482212847047</v>
      </c>
      <c r="AE76" s="1147">
        <f t="shared" ref="AE76" si="236">SUM(AE70:AE75)</f>
        <v>14.751948190708976</v>
      </c>
      <c r="AG76" s="58" t="s">
        <v>1163</v>
      </c>
      <c r="AH76" s="1158">
        <f>SUM(E79:AD84)</f>
        <v>2.1186089326695767</v>
      </c>
      <c r="AI76" s="1140">
        <f>'SHWLP-Det'!S18</f>
        <v>2.1186089326695763</v>
      </c>
      <c r="AJ76" s="1160">
        <f>IFERROR((AI76-AH76)/AI76,"N/A")</f>
        <v>-2.0961358323477055E-16</v>
      </c>
      <c r="AL76" s="1144" t="s">
        <v>1133</v>
      </c>
      <c r="AM76" s="1144" t="s">
        <v>50</v>
      </c>
      <c r="AN76" s="1135">
        <f>SUMIFS(Table91517[Count of EnergyRating],Table91517[MainSpaceHeatingFuel],AL76,Table91517[EnergyRating (group)],AM76,Table91517[CountyName (group)],AN$4)</f>
        <v>0</v>
      </c>
      <c r="AO76" s="1164">
        <f>SUMIFS(Table91517[Count of EnergyRating],Table91517[MainSpaceHeatingFuel],AL76,Table91517[EnergyRating (group)],AM76,Table91517[CountyName (group)],AO$4)</f>
        <v>0</v>
      </c>
      <c r="AP76" s="1164">
        <f>SUMIFS(Table91517[Count of EnergyRating],Table91517[MainSpaceHeatingFuel],AL76,Table91517[EnergyRating (group)],AM76,Table91517[CountyName (group)],AP$4)</f>
        <v>0</v>
      </c>
      <c r="AQ76" s="1164">
        <f>SUMIFS(Table91517[Count of EnergyRating],Table91517[MainSpaceHeatingFuel],AL76,Table91517[EnergyRating (group)],AM76,Table91517[CountyName (group)],AQ$4)</f>
        <v>0</v>
      </c>
      <c r="AR76" s="1164">
        <f>SUMIFS(Table91517[Count of EnergyRating],Table91517[MainSpaceHeatingFuel],AL76,Table91517[EnergyRating (group)],AM76,Table91517[CountyName (group)],AR$4)</f>
        <v>0</v>
      </c>
      <c r="AS76" s="1164">
        <f>SUMIFS(Table91517[Count of EnergyRating],Table91517[MainSpaceHeatingFuel],AL76,Table91517[EnergyRating (group)],AM76,Table91517[CountyName (group)],AS$4)</f>
        <v>0</v>
      </c>
      <c r="AT76" s="1164">
        <f>SUMIFS(Table91517[Count of EnergyRating],Table91517[MainSpaceHeatingFuel],AL76,Table91517[EnergyRating (group)],AM76,Table91517[CountyName (group)],AT$4)</f>
        <v>0</v>
      </c>
      <c r="AU76" s="1164">
        <f>SUMIFS(Table91517[Count of EnergyRating],Table91517[MainSpaceHeatingFuel],AL76,Table91517[EnergyRating (group)],AM76,Table91517[CountyName (group)],AU$4)</f>
        <v>0</v>
      </c>
      <c r="AV76" s="1164">
        <f>SUMIFS(Table91517[Count of EnergyRating],Table91517[MainSpaceHeatingFuel],AL76,Table91517[EnergyRating (group)],AM76,Table91517[CountyName (group)],AV$4)</f>
        <v>0</v>
      </c>
      <c r="AW76" s="1164">
        <f>SUMIFS(Table91517[Count of EnergyRating],Table91517[MainSpaceHeatingFuel],AL76,Table91517[EnergyRating (group)],AM76,Table91517[CountyName (group)],AW$4)</f>
        <v>0</v>
      </c>
      <c r="AX76" s="1164">
        <f>SUMIFS(Table91517[Count of EnergyRating],Table91517[MainSpaceHeatingFuel],AL76,Table91517[EnergyRating (group)],AM76,Table91517[CountyName (group)],AX$4)</f>
        <v>0</v>
      </c>
      <c r="AY76" s="1164">
        <f>SUMIFS(Table91517[Count of EnergyRating],Table91517[MainSpaceHeatingFuel],AL76,Table91517[EnergyRating (group)],AM76,Table91517[CountyName (group)],AY$4)</f>
        <v>0</v>
      </c>
      <c r="AZ76" s="1164">
        <f>SUMIFS(Table91517[Count of EnergyRating],Table91517[MainSpaceHeatingFuel],AL76,Table91517[EnergyRating (group)],AM76,Table91517[CountyName (group)],AZ$4)</f>
        <v>0</v>
      </c>
      <c r="BA76" s="1164">
        <f>SUMIFS(Table91517[Count of EnergyRating],Table91517[MainSpaceHeatingFuel],AL76,Table91517[EnergyRating (group)],AM76,Table91517[CountyName (group)],BA$4)</f>
        <v>0</v>
      </c>
      <c r="BB76" s="1164">
        <f>SUMIFS(Table91517[Count of EnergyRating],Table91517[MainSpaceHeatingFuel],AL76,Table91517[EnergyRating (group)],AM76,Table91517[CountyName (group)],BB$4)</f>
        <v>0</v>
      </c>
      <c r="BC76" s="1164">
        <f>SUMIFS(Table91517[Count of EnergyRating],Table91517[MainSpaceHeatingFuel],AL76,Table91517[EnergyRating (group)],AM76,Table91517[CountyName (group)],BC$4)</f>
        <v>0</v>
      </c>
      <c r="BD76" s="1164">
        <f>SUMIFS(Table91517[Count of EnergyRating],Table91517[MainSpaceHeatingFuel],AL76,Table91517[EnergyRating (group)],AM76,Table91517[CountyName (group)],BD$4)</f>
        <v>0</v>
      </c>
      <c r="BE76" s="1164">
        <f>SUMIFS(Table91517[Count of EnergyRating],Table91517[MainSpaceHeatingFuel],AL76,Table91517[EnergyRating (group)],AM76,Table91517[CountyName (group)],BE$4)</f>
        <v>0</v>
      </c>
      <c r="BF76" s="1164">
        <f>SUMIFS(Table91517[Count of EnergyRating],Table91517[MainSpaceHeatingFuel],AL76,Table91517[EnergyRating (group)],AM76,Table91517[CountyName (group)],BF$4)</f>
        <v>0</v>
      </c>
      <c r="BG76" s="1164">
        <f>SUMIFS(Table91517[Count of EnergyRating],Table91517[MainSpaceHeatingFuel],AL76,Table91517[EnergyRating (group)],AM76,Table91517[CountyName (group)],BG$4)</f>
        <v>0</v>
      </c>
      <c r="BH76" s="1164">
        <f>SUMIFS(Table91517[Count of EnergyRating],Table91517[MainSpaceHeatingFuel],AL76,Table91517[EnergyRating (group)],AM76,Table91517[CountyName (group)],BH$4)</f>
        <v>0</v>
      </c>
      <c r="BI76" s="1164">
        <f>SUMIFS(Table91517[Count of EnergyRating],Table91517[MainSpaceHeatingFuel],AL76,Table91517[EnergyRating (group)],AM76,Table91517[CountyName (group)],BI$4)</f>
        <v>0</v>
      </c>
      <c r="BJ76" s="1164">
        <f>SUMIFS(Table91517[Count of EnergyRating],Table91517[MainSpaceHeatingFuel],AL76,Table91517[EnergyRating (group)],AM76,Table91517[CountyName (group)],BJ$4)</f>
        <v>0</v>
      </c>
      <c r="BK76" s="1135">
        <f>SUMIFS(Table91517[Count of EnergyRating],Table91517[MainSpaceHeatingFuel],AL76,Table91517[EnergyRating (group)],AM76,Table91517[CountyName (group)],BK$4)</f>
        <v>0</v>
      </c>
      <c r="BL76" s="1164">
        <f>SUMIFS(Table91517[Count of EnergyRating],Table91517[MainSpaceHeatingFuel],AL76,Table91517[EnergyRating (group)],AM76,Table91517[CountyName (group)],BL$4)</f>
        <v>0</v>
      </c>
      <c r="BM76" s="1164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65"/>
      <c r="C77" s="1165" t="s">
        <v>1244</v>
      </c>
      <c r="D77" s="1165" t="s">
        <v>1094</v>
      </c>
      <c r="E77" s="1166">
        <f t="shared" ref="E77:AD77" si="237">G192</f>
        <v>0.20462852352898386</v>
      </c>
      <c r="F77" s="1166">
        <f t="shared" si="237"/>
        <v>1.0623799077317801</v>
      </c>
      <c r="G77" s="1166">
        <f t="shared" si="237"/>
        <v>0.57327962617395678</v>
      </c>
      <c r="H77" s="1166">
        <f t="shared" si="237"/>
        <v>0.39520852506184939</v>
      </c>
      <c r="I77" s="1166">
        <f t="shared" si="237"/>
        <v>0.30826901044818977</v>
      </c>
      <c r="J77" s="1166">
        <f t="shared" si="237"/>
        <v>0.1838555049718674</v>
      </c>
      <c r="K77" s="1166">
        <f t="shared" si="237"/>
        <v>0.35690782683513456</v>
      </c>
      <c r="L77" s="1166">
        <f t="shared" si="237"/>
        <v>0.6493192368889561</v>
      </c>
      <c r="M77" s="1166">
        <f t="shared" si="237"/>
        <v>0.30203742146881229</v>
      </c>
      <c r="N77" s="1166">
        <f t="shared" si="237"/>
        <v>0.31824445140982494</v>
      </c>
      <c r="O77" s="1166">
        <f t="shared" si="237"/>
        <v>0.64088570969418657</v>
      </c>
      <c r="P77" s="1166">
        <f t="shared" si="237"/>
        <v>0.42619882109362123</v>
      </c>
      <c r="Q77" s="1166">
        <f t="shared" si="237"/>
        <v>0.49603995181856675</v>
      </c>
      <c r="R77" s="1166">
        <f t="shared" si="237"/>
        <v>1.6780896499934939</v>
      </c>
      <c r="S77" s="1166">
        <f t="shared" si="237"/>
        <v>0.68814666416925674</v>
      </c>
      <c r="T77" s="1166">
        <f t="shared" si="237"/>
        <v>0.61955720158610983</v>
      </c>
      <c r="U77" s="1166">
        <f t="shared" si="237"/>
        <v>0.66144412814818576</v>
      </c>
      <c r="V77" s="1166">
        <f t="shared" si="237"/>
        <v>0.36212824573220803</v>
      </c>
      <c r="W77" s="1166">
        <f t="shared" si="237"/>
        <v>1.0474997618520621</v>
      </c>
      <c r="X77" s="1166">
        <f t="shared" si="237"/>
        <v>0.17216938338465415</v>
      </c>
      <c r="Y77" s="1166">
        <f t="shared" si="237"/>
        <v>0.65641721072609349</v>
      </c>
      <c r="Z77" s="1166">
        <f t="shared" si="237"/>
        <v>0.34204356389123958</v>
      </c>
      <c r="AA77" s="1166">
        <f t="shared" si="237"/>
        <v>0.27419140267231656</v>
      </c>
      <c r="AB77" s="1166">
        <f t="shared" si="237"/>
        <v>0.34277910417607044</v>
      </c>
      <c r="AC77" s="1166">
        <f t="shared" si="237"/>
        <v>0.77066178804561114</v>
      </c>
      <c r="AD77" s="1166">
        <f t="shared" si="237"/>
        <v>0.26777643352482527</v>
      </c>
      <c r="AE77" s="1175">
        <f t="shared" si="4"/>
        <v>13.800159055027859</v>
      </c>
      <c r="AG77" s="58" t="s">
        <v>1107</v>
      </c>
      <c r="AH77" s="1158">
        <f>SUM(E86:AD86)</f>
        <v>2.1983659620017222</v>
      </c>
      <c r="AI77" s="1140">
        <f>'SHWLP-Det'!S44</f>
        <v>2.1983659620017222</v>
      </c>
      <c r="AJ77" s="1160">
        <f>(AI77-AH77)/AI77</f>
        <v>0</v>
      </c>
      <c r="AL77" s="1144" t="s">
        <v>1133</v>
      </c>
      <c r="AM77" s="1144" t="s">
        <v>52</v>
      </c>
      <c r="AN77" s="1135">
        <f>SUMIFS(Table91517[Count of EnergyRating],Table91517[MainSpaceHeatingFuel],AL77,Table91517[EnergyRating (group)],AM77,Table91517[CountyName (group)],AN$4)</f>
        <v>0</v>
      </c>
      <c r="AO77" s="1164">
        <f>SUMIFS(Table91517[Count of EnergyRating],Table91517[MainSpaceHeatingFuel],AL77,Table91517[EnergyRating (group)],AM77,Table91517[CountyName (group)],AO$4)</f>
        <v>0</v>
      </c>
      <c r="AP77" s="1164">
        <f>SUMIFS(Table91517[Count of EnergyRating],Table91517[MainSpaceHeatingFuel],AL77,Table91517[EnergyRating (group)],AM77,Table91517[CountyName (group)],AP$4)</f>
        <v>0</v>
      </c>
      <c r="AQ77" s="1164">
        <f>SUMIFS(Table91517[Count of EnergyRating],Table91517[MainSpaceHeatingFuel],AL77,Table91517[EnergyRating (group)],AM77,Table91517[CountyName (group)],AQ$4)</f>
        <v>0</v>
      </c>
      <c r="AR77" s="1164">
        <f>SUMIFS(Table91517[Count of EnergyRating],Table91517[MainSpaceHeatingFuel],AL77,Table91517[EnergyRating (group)],AM77,Table91517[CountyName (group)],AR$4)</f>
        <v>0</v>
      </c>
      <c r="AS77" s="1164">
        <f>SUMIFS(Table91517[Count of EnergyRating],Table91517[MainSpaceHeatingFuel],AL77,Table91517[EnergyRating (group)],AM77,Table91517[CountyName (group)],AS$4)</f>
        <v>0</v>
      </c>
      <c r="AT77" s="1164">
        <f>SUMIFS(Table91517[Count of EnergyRating],Table91517[MainSpaceHeatingFuel],AL77,Table91517[EnergyRating (group)],AM77,Table91517[CountyName (group)],AT$4)</f>
        <v>0</v>
      </c>
      <c r="AU77" s="1164">
        <f>SUMIFS(Table91517[Count of EnergyRating],Table91517[MainSpaceHeatingFuel],AL77,Table91517[EnergyRating (group)],AM77,Table91517[CountyName (group)],AU$4)</f>
        <v>0</v>
      </c>
      <c r="AV77" s="1164">
        <f>SUMIFS(Table91517[Count of EnergyRating],Table91517[MainSpaceHeatingFuel],AL77,Table91517[EnergyRating (group)],AM77,Table91517[CountyName (group)],AV$4)</f>
        <v>0</v>
      </c>
      <c r="AW77" s="1164">
        <f>SUMIFS(Table91517[Count of EnergyRating],Table91517[MainSpaceHeatingFuel],AL77,Table91517[EnergyRating (group)],AM77,Table91517[CountyName (group)],AW$4)</f>
        <v>0</v>
      </c>
      <c r="AX77" s="1164">
        <f>SUMIFS(Table91517[Count of EnergyRating],Table91517[MainSpaceHeatingFuel],AL77,Table91517[EnergyRating (group)],AM77,Table91517[CountyName (group)],AX$4)</f>
        <v>0</v>
      </c>
      <c r="AY77" s="1164">
        <f>SUMIFS(Table91517[Count of EnergyRating],Table91517[MainSpaceHeatingFuel],AL77,Table91517[EnergyRating (group)],AM77,Table91517[CountyName (group)],AY$4)</f>
        <v>0</v>
      </c>
      <c r="AZ77" s="1164">
        <f>SUMIFS(Table91517[Count of EnergyRating],Table91517[MainSpaceHeatingFuel],AL77,Table91517[EnergyRating (group)],AM77,Table91517[CountyName (group)],AZ$4)</f>
        <v>0</v>
      </c>
      <c r="BA77" s="1164">
        <f>SUMIFS(Table91517[Count of EnergyRating],Table91517[MainSpaceHeatingFuel],AL77,Table91517[EnergyRating (group)],AM77,Table91517[CountyName (group)],BA$4)</f>
        <v>0</v>
      </c>
      <c r="BB77" s="1164">
        <f>SUMIFS(Table91517[Count of EnergyRating],Table91517[MainSpaceHeatingFuel],AL77,Table91517[EnergyRating (group)],AM77,Table91517[CountyName (group)],BB$4)</f>
        <v>0</v>
      </c>
      <c r="BC77" s="1164">
        <f>SUMIFS(Table91517[Count of EnergyRating],Table91517[MainSpaceHeatingFuel],AL77,Table91517[EnergyRating (group)],AM77,Table91517[CountyName (group)],BC$4)</f>
        <v>0</v>
      </c>
      <c r="BD77" s="1164">
        <f>SUMIFS(Table91517[Count of EnergyRating],Table91517[MainSpaceHeatingFuel],AL77,Table91517[EnergyRating (group)],AM77,Table91517[CountyName (group)],BD$4)</f>
        <v>0</v>
      </c>
      <c r="BE77" s="1164">
        <f>SUMIFS(Table91517[Count of EnergyRating],Table91517[MainSpaceHeatingFuel],AL77,Table91517[EnergyRating (group)],AM77,Table91517[CountyName (group)],BE$4)</f>
        <v>0</v>
      </c>
      <c r="BF77" s="1164">
        <f>SUMIFS(Table91517[Count of EnergyRating],Table91517[MainSpaceHeatingFuel],AL77,Table91517[EnergyRating (group)],AM77,Table91517[CountyName (group)],BF$4)</f>
        <v>0</v>
      </c>
      <c r="BG77" s="1164">
        <f>SUMIFS(Table91517[Count of EnergyRating],Table91517[MainSpaceHeatingFuel],AL77,Table91517[EnergyRating (group)],AM77,Table91517[CountyName (group)],BG$4)</f>
        <v>0</v>
      </c>
      <c r="BH77" s="1164">
        <f>SUMIFS(Table91517[Count of EnergyRating],Table91517[MainSpaceHeatingFuel],AL77,Table91517[EnergyRating (group)],AM77,Table91517[CountyName (group)],BH$4)</f>
        <v>0</v>
      </c>
      <c r="BI77" s="1164">
        <f>SUMIFS(Table91517[Count of EnergyRating],Table91517[MainSpaceHeatingFuel],AL77,Table91517[EnergyRating (group)],AM77,Table91517[CountyName (group)],BI$4)</f>
        <v>0</v>
      </c>
      <c r="BJ77" s="1164">
        <f>SUMIFS(Table91517[Count of EnergyRating],Table91517[MainSpaceHeatingFuel],AL77,Table91517[EnergyRating (group)],AM77,Table91517[CountyName (group)],BJ$4)</f>
        <v>0</v>
      </c>
      <c r="BK77" s="1135">
        <f>SUMIFS(Table91517[Count of EnergyRating],Table91517[MainSpaceHeatingFuel],AL77,Table91517[EnergyRating (group)],AM77,Table91517[CountyName (group)],BK$4)</f>
        <v>0</v>
      </c>
      <c r="BL77" s="1164">
        <f>SUMIFS(Table91517[Count of EnergyRating],Table91517[MainSpaceHeatingFuel],AL77,Table91517[EnergyRating (group)],AM77,Table91517[CountyName (group)],BL$4)</f>
        <v>0</v>
      </c>
      <c r="BM77" s="1164">
        <f>SUMIFS(Table91517[Count of EnergyRating],Table91517[MainSpaceHeatingFuel],AL77,Table91517[EnergyRating (group)],AM77,Table91517[CountyName (group)],BM$4)</f>
        <v>0</v>
      </c>
    </row>
    <row r="78" spans="2:65" ht="15">
      <c r="B78" s="1137"/>
      <c r="C78" s="1137" t="s">
        <v>1218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G78" s="1164"/>
      <c r="AL78" s="1144" t="s">
        <v>1133</v>
      </c>
      <c r="AM78" s="1144" t="s">
        <v>54</v>
      </c>
      <c r="AN78" s="1135">
        <f>SUMIFS(Table91517[Count of EnergyRating],Table91517[MainSpaceHeatingFuel],AL78,Table91517[EnergyRating (group)],AM78,Table91517[CountyName (group)],AN$4)</f>
        <v>0</v>
      </c>
      <c r="AO78" s="1164">
        <f>SUMIFS(Table91517[Count of EnergyRating],Table91517[MainSpaceHeatingFuel],AL78,Table91517[EnergyRating (group)],AM78,Table91517[CountyName (group)],AO$4)</f>
        <v>0</v>
      </c>
      <c r="AP78" s="1164">
        <f>SUMIFS(Table91517[Count of EnergyRating],Table91517[MainSpaceHeatingFuel],AL78,Table91517[EnergyRating (group)],AM78,Table91517[CountyName (group)],AP$4)</f>
        <v>0</v>
      </c>
      <c r="AQ78" s="1164">
        <f>SUMIFS(Table91517[Count of EnergyRating],Table91517[MainSpaceHeatingFuel],AL78,Table91517[EnergyRating (group)],AM78,Table91517[CountyName (group)],AQ$4)</f>
        <v>0</v>
      </c>
      <c r="AR78" s="1164">
        <f>SUMIFS(Table91517[Count of EnergyRating],Table91517[MainSpaceHeatingFuel],AL78,Table91517[EnergyRating (group)],AM78,Table91517[CountyName (group)],AR$4)</f>
        <v>0</v>
      </c>
      <c r="AS78" s="1164">
        <f>SUMIFS(Table91517[Count of EnergyRating],Table91517[MainSpaceHeatingFuel],AL78,Table91517[EnergyRating (group)],AM78,Table91517[CountyName (group)],AS$4)</f>
        <v>0</v>
      </c>
      <c r="AT78" s="1164">
        <f>SUMIFS(Table91517[Count of EnergyRating],Table91517[MainSpaceHeatingFuel],AL78,Table91517[EnergyRating (group)],AM78,Table91517[CountyName (group)],AT$4)</f>
        <v>0</v>
      </c>
      <c r="AU78" s="1164">
        <f>SUMIFS(Table91517[Count of EnergyRating],Table91517[MainSpaceHeatingFuel],AL78,Table91517[EnergyRating (group)],AM78,Table91517[CountyName (group)],AU$4)</f>
        <v>0</v>
      </c>
      <c r="AV78" s="1164">
        <f>SUMIFS(Table91517[Count of EnergyRating],Table91517[MainSpaceHeatingFuel],AL78,Table91517[EnergyRating (group)],AM78,Table91517[CountyName (group)],AV$4)</f>
        <v>0</v>
      </c>
      <c r="AW78" s="1164">
        <f>SUMIFS(Table91517[Count of EnergyRating],Table91517[MainSpaceHeatingFuel],AL78,Table91517[EnergyRating (group)],AM78,Table91517[CountyName (group)],AW$4)</f>
        <v>0</v>
      </c>
      <c r="AX78" s="1164">
        <f>SUMIFS(Table91517[Count of EnergyRating],Table91517[MainSpaceHeatingFuel],AL78,Table91517[EnergyRating (group)],AM78,Table91517[CountyName (group)],AX$4)</f>
        <v>0</v>
      </c>
      <c r="AY78" s="1164">
        <f>SUMIFS(Table91517[Count of EnergyRating],Table91517[MainSpaceHeatingFuel],AL78,Table91517[EnergyRating (group)],AM78,Table91517[CountyName (group)],AY$4)</f>
        <v>0</v>
      </c>
      <c r="AZ78" s="1164">
        <f>SUMIFS(Table91517[Count of EnergyRating],Table91517[MainSpaceHeatingFuel],AL78,Table91517[EnergyRating (group)],AM78,Table91517[CountyName (group)],AZ$4)</f>
        <v>0</v>
      </c>
      <c r="BA78" s="1164">
        <f>SUMIFS(Table91517[Count of EnergyRating],Table91517[MainSpaceHeatingFuel],AL78,Table91517[EnergyRating (group)],AM78,Table91517[CountyName (group)],BA$4)</f>
        <v>0</v>
      </c>
      <c r="BB78" s="1164">
        <f>SUMIFS(Table91517[Count of EnergyRating],Table91517[MainSpaceHeatingFuel],AL78,Table91517[EnergyRating (group)],AM78,Table91517[CountyName (group)],BB$4)</f>
        <v>0</v>
      </c>
      <c r="BC78" s="1164">
        <f>SUMIFS(Table91517[Count of EnergyRating],Table91517[MainSpaceHeatingFuel],AL78,Table91517[EnergyRating (group)],AM78,Table91517[CountyName (group)],BC$4)</f>
        <v>0</v>
      </c>
      <c r="BD78" s="1164">
        <f>SUMIFS(Table91517[Count of EnergyRating],Table91517[MainSpaceHeatingFuel],AL78,Table91517[EnergyRating (group)],AM78,Table91517[CountyName (group)],BD$4)</f>
        <v>0</v>
      </c>
      <c r="BE78" s="1164">
        <f>SUMIFS(Table91517[Count of EnergyRating],Table91517[MainSpaceHeatingFuel],AL78,Table91517[EnergyRating (group)],AM78,Table91517[CountyName (group)],BE$4)</f>
        <v>0</v>
      </c>
      <c r="BF78" s="1164">
        <f>SUMIFS(Table91517[Count of EnergyRating],Table91517[MainSpaceHeatingFuel],AL78,Table91517[EnergyRating (group)],AM78,Table91517[CountyName (group)],BF$4)</f>
        <v>0</v>
      </c>
      <c r="BG78" s="1164">
        <f>SUMIFS(Table91517[Count of EnergyRating],Table91517[MainSpaceHeatingFuel],AL78,Table91517[EnergyRating (group)],AM78,Table91517[CountyName (group)],BG$4)</f>
        <v>0</v>
      </c>
      <c r="BH78" s="1164">
        <f>SUMIFS(Table91517[Count of EnergyRating],Table91517[MainSpaceHeatingFuel],AL78,Table91517[EnergyRating (group)],AM78,Table91517[CountyName (group)],BH$4)</f>
        <v>0</v>
      </c>
      <c r="BI78" s="1164">
        <f>SUMIFS(Table91517[Count of EnergyRating],Table91517[MainSpaceHeatingFuel],AL78,Table91517[EnergyRating (group)],AM78,Table91517[CountyName (group)],BI$4)</f>
        <v>0</v>
      </c>
      <c r="BJ78" s="1164">
        <f>SUMIFS(Table91517[Count of EnergyRating],Table91517[MainSpaceHeatingFuel],AL78,Table91517[EnergyRating (group)],AM78,Table91517[CountyName (group)],BJ$4)</f>
        <v>0</v>
      </c>
      <c r="BK78" s="1135">
        <f>SUMIFS(Table91517[Count of EnergyRating],Table91517[MainSpaceHeatingFuel],AL78,Table91517[EnergyRating (group)],AM78,Table91517[CountyName (group)],BK$4)</f>
        <v>0</v>
      </c>
      <c r="BL78" s="1164">
        <f>SUMIFS(Table91517[Count of EnergyRating],Table91517[MainSpaceHeatingFuel],AL78,Table91517[EnergyRating (group)],AM78,Table91517[CountyName (group)],BL$4)</f>
        <v>0</v>
      </c>
      <c r="BM78" s="1164">
        <f>SUMIFS(Table91517[Count of EnergyRating],Table91517[MainSpaceHeatingFuel],AL78,Table91517[EnergyRating (group)],AM78,Table91517[CountyName (group)],BM$4)</f>
        <v>0</v>
      </c>
    </row>
    <row r="79" spans="2:65">
      <c r="B79" s="1134" t="s">
        <v>1259</v>
      </c>
      <c r="C79" s="1134" t="s">
        <v>1245</v>
      </c>
      <c r="D79" s="1134" t="s">
        <v>1094</v>
      </c>
      <c r="E79" s="1145">
        <f t="shared" ref="E79:AD79" si="238">IFERROR(G194*((SUM(AN$75:AN$78)/SUM(AN$75:AN$83))/(SUM(G$194)/SUM(G$194:G$199))),G194)</f>
        <v>0</v>
      </c>
      <c r="F79" s="1145">
        <f t="shared" si="238"/>
        <v>0</v>
      </c>
      <c r="G79" s="1145">
        <f t="shared" si="238"/>
        <v>0</v>
      </c>
      <c r="H79" s="1145">
        <f t="shared" si="238"/>
        <v>0</v>
      </c>
      <c r="I79" s="1145">
        <f t="shared" si="238"/>
        <v>0</v>
      </c>
      <c r="J79" s="1145">
        <f t="shared" si="238"/>
        <v>0</v>
      </c>
      <c r="K79" s="1145">
        <f t="shared" si="238"/>
        <v>1.1098832355346557E-2</v>
      </c>
      <c r="L79" s="1145">
        <f t="shared" si="238"/>
        <v>0</v>
      </c>
      <c r="M79" s="1145">
        <f t="shared" si="238"/>
        <v>0</v>
      </c>
      <c r="N79" s="1145">
        <f t="shared" si="238"/>
        <v>0</v>
      </c>
      <c r="O79" s="1145">
        <f t="shared" si="238"/>
        <v>0</v>
      </c>
      <c r="P79" s="1145">
        <f t="shared" si="238"/>
        <v>0</v>
      </c>
      <c r="Q79" s="1145">
        <f t="shared" si="238"/>
        <v>0</v>
      </c>
      <c r="R79" s="1145">
        <f t="shared" si="238"/>
        <v>0</v>
      </c>
      <c r="S79" s="1145">
        <f t="shared" si="238"/>
        <v>0</v>
      </c>
      <c r="T79" s="1145">
        <f t="shared" si="238"/>
        <v>0</v>
      </c>
      <c r="U79" s="1145">
        <f t="shared" si="238"/>
        <v>0</v>
      </c>
      <c r="V79" s="1145">
        <f t="shared" si="238"/>
        <v>9.5811820095192558E-3</v>
      </c>
      <c r="W79" s="1145">
        <f t="shared" si="238"/>
        <v>0</v>
      </c>
      <c r="X79" s="1145">
        <f t="shared" si="238"/>
        <v>0</v>
      </c>
      <c r="Y79" s="1145">
        <f t="shared" si="238"/>
        <v>0</v>
      </c>
      <c r="Z79" s="1145">
        <f t="shared" si="238"/>
        <v>0</v>
      </c>
      <c r="AA79" s="1145">
        <f t="shared" si="238"/>
        <v>0</v>
      </c>
      <c r="AB79" s="1145">
        <f t="shared" si="238"/>
        <v>0</v>
      </c>
      <c r="AC79" s="1145">
        <f t="shared" si="238"/>
        <v>0</v>
      </c>
      <c r="AD79" s="1145">
        <f t="shared" si="238"/>
        <v>6.5484661294150873E-3</v>
      </c>
      <c r="AE79" s="1172">
        <f t="shared" si="4"/>
        <v>2.72284804942809E-2</v>
      </c>
      <c r="AG79" s="1164"/>
      <c r="AL79" s="1144" t="s">
        <v>1133</v>
      </c>
      <c r="AM79" s="1144" t="s">
        <v>56</v>
      </c>
      <c r="AN79" s="1135">
        <f>SUMIFS(Table91517[Count of EnergyRating],Table91517[MainSpaceHeatingFuel],AL79,Table91517[EnergyRating (group)],AM79,Table91517[CountyName (group)],AN$4)</f>
        <v>0</v>
      </c>
      <c r="AO79" s="1164">
        <f>SUMIFS(Table91517[Count of EnergyRating],Table91517[MainSpaceHeatingFuel],AL79,Table91517[EnergyRating (group)],AM79,Table91517[CountyName (group)],AO$4)</f>
        <v>0</v>
      </c>
      <c r="AP79" s="1164">
        <f>SUMIFS(Table91517[Count of EnergyRating],Table91517[MainSpaceHeatingFuel],AL79,Table91517[EnergyRating (group)],AM79,Table91517[CountyName (group)],AP$4)</f>
        <v>2</v>
      </c>
      <c r="AQ79" s="1164">
        <f>SUMIFS(Table91517[Count of EnergyRating],Table91517[MainSpaceHeatingFuel],AL79,Table91517[EnergyRating (group)],AM79,Table91517[CountyName (group)],AQ$4)</f>
        <v>0</v>
      </c>
      <c r="AR79" s="1164">
        <f>SUMIFS(Table91517[Count of EnergyRating],Table91517[MainSpaceHeatingFuel],AL79,Table91517[EnergyRating (group)],AM79,Table91517[CountyName (group)],AR$4)</f>
        <v>0</v>
      </c>
      <c r="AS79" s="1164">
        <f>SUMIFS(Table91517[Count of EnergyRating],Table91517[MainSpaceHeatingFuel],AL79,Table91517[EnergyRating (group)],AM79,Table91517[CountyName (group)],AS$4)</f>
        <v>0</v>
      </c>
      <c r="AT79" s="1164">
        <f>SUMIFS(Table91517[Count of EnergyRating],Table91517[MainSpaceHeatingFuel],AL79,Table91517[EnergyRating (group)],AM79,Table91517[CountyName (group)],AT$4)</f>
        <v>0</v>
      </c>
      <c r="AU79" s="1164">
        <f>SUMIFS(Table91517[Count of EnergyRating],Table91517[MainSpaceHeatingFuel],AL79,Table91517[EnergyRating (group)],AM79,Table91517[CountyName (group)],AU$4)</f>
        <v>1</v>
      </c>
      <c r="AV79" s="1164">
        <f>SUMIFS(Table91517[Count of EnergyRating],Table91517[MainSpaceHeatingFuel],AL79,Table91517[EnergyRating (group)],AM79,Table91517[CountyName (group)],AV$4)</f>
        <v>0</v>
      </c>
      <c r="AW79" s="1164">
        <f>SUMIFS(Table91517[Count of EnergyRating],Table91517[MainSpaceHeatingFuel],AL79,Table91517[EnergyRating (group)],AM79,Table91517[CountyName (group)],AW$4)</f>
        <v>1</v>
      </c>
      <c r="AX79" s="1164">
        <f>SUMIFS(Table91517[Count of EnergyRating],Table91517[MainSpaceHeatingFuel],AL79,Table91517[EnergyRating (group)],AM79,Table91517[CountyName (group)],AX$4)</f>
        <v>0</v>
      </c>
      <c r="AY79" s="1164">
        <f>SUMIFS(Table91517[Count of EnergyRating],Table91517[MainSpaceHeatingFuel],AL79,Table91517[EnergyRating (group)],AM79,Table91517[CountyName (group)],AY$4)</f>
        <v>0</v>
      </c>
      <c r="AZ79" s="1164">
        <f>SUMIFS(Table91517[Count of EnergyRating],Table91517[MainSpaceHeatingFuel],AL79,Table91517[EnergyRating (group)],AM79,Table91517[CountyName (group)],AZ$4)</f>
        <v>0</v>
      </c>
      <c r="BA79" s="1164">
        <f>SUMIFS(Table91517[Count of EnergyRating],Table91517[MainSpaceHeatingFuel],AL79,Table91517[EnergyRating (group)],AM79,Table91517[CountyName (group)],BA$4)</f>
        <v>0</v>
      </c>
      <c r="BB79" s="1164">
        <f>SUMIFS(Table91517[Count of EnergyRating],Table91517[MainSpaceHeatingFuel],AL79,Table91517[EnergyRating (group)],AM79,Table91517[CountyName (group)],BB$4)</f>
        <v>1</v>
      </c>
      <c r="BC79" s="1164">
        <f>SUMIFS(Table91517[Count of EnergyRating],Table91517[MainSpaceHeatingFuel],AL79,Table91517[EnergyRating (group)],AM79,Table91517[CountyName (group)],BC$4)</f>
        <v>0</v>
      </c>
      <c r="BD79" s="1164">
        <f>SUMIFS(Table91517[Count of EnergyRating],Table91517[MainSpaceHeatingFuel],AL79,Table91517[EnergyRating (group)],AM79,Table91517[CountyName (group)],BD$4)</f>
        <v>0</v>
      </c>
      <c r="BE79" s="1164">
        <f>SUMIFS(Table91517[Count of EnergyRating],Table91517[MainSpaceHeatingFuel],AL79,Table91517[EnergyRating (group)],AM79,Table91517[CountyName (group)],BE$4)</f>
        <v>0</v>
      </c>
      <c r="BF79" s="1164">
        <f>SUMIFS(Table91517[Count of EnergyRating],Table91517[MainSpaceHeatingFuel],AL79,Table91517[EnergyRating (group)],AM79,Table91517[CountyName (group)],BF$4)</f>
        <v>9</v>
      </c>
      <c r="BG79" s="1164">
        <f>SUMIFS(Table91517[Count of EnergyRating],Table91517[MainSpaceHeatingFuel],AL79,Table91517[EnergyRating (group)],AM79,Table91517[CountyName (group)],BG$4)</f>
        <v>0</v>
      </c>
      <c r="BH79" s="1164">
        <f>SUMIFS(Table91517[Count of EnergyRating],Table91517[MainSpaceHeatingFuel],AL79,Table91517[EnergyRating (group)],AM79,Table91517[CountyName (group)],BH$4)</f>
        <v>2</v>
      </c>
      <c r="BI79" s="1164">
        <f>SUMIFS(Table91517[Count of EnergyRating],Table91517[MainSpaceHeatingFuel],AL79,Table91517[EnergyRating (group)],AM79,Table91517[CountyName (group)],BI$4)</f>
        <v>0</v>
      </c>
      <c r="BJ79" s="1164">
        <f>SUMIFS(Table91517[Count of EnergyRating],Table91517[MainSpaceHeatingFuel],AL79,Table91517[EnergyRating (group)],AM79,Table91517[CountyName (group)],BJ$4)</f>
        <v>0</v>
      </c>
      <c r="BK79" s="1135">
        <f>SUMIFS(Table91517[Count of EnergyRating],Table91517[MainSpaceHeatingFuel],AL79,Table91517[EnergyRating (group)],AM79,Table91517[CountyName (group)],BK$4)</f>
        <v>0</v>
      </c>
      <c r="BL79" s="1164">
        <f>SUMIFS(Table91517[Count of EnergyRating],Table91517[MainSpaceHeatingFuel],AL79,Table91517[EnergyRating (group)],AM79,Table91517[CountyName (group)],BL$4)</f>
        <v>0</v>
      </c>
      <c r="BM79" s="1164">
        <f>SUMIFS(Table91517[Count of EnergyRating],Table91517[MainSpaceHeatingFuel],AL79,Table91517[EnergyRating (group)],AM79,Table91517[CountyName (group)],BM$4)</f>
        <v>0</v>
      </c>
    </row>
    <row r="80" spans="2:65">
      <c r="B80" s="1136" t="s">
        <v>56</v>
      </c>
      <c r="C80" s="1136" t="s">
        <v>1245</v>
      </c>
      <c r="D80" s="1136" t="s">
        <v>1094</v>
      </c>
      <c r="E80" s="1146">
        <f t="shared" ref="E80:AD80" si="239">IFERROR(G195*((SUM(AN$79)/SUM(AN$75:AN$83))/(SUM(G$195)/SUM(G$194:G$199))),G195)</f>
        <v>0</v>
      </c>
      <c r="F80" s="1146">
        <f t="shared" si="239"/>
        <v>0</v>
      </c>
      <c r="G80" s="1146">
        <f t="shared" si="239"/>
        <v>3.9115663074336263E-3</v>
      </c>
      <c r="H80" s="1146">
        <f t="shared" si="239"/>
        <v>0</v>
      </c>
      <c r="I80" s="1146">
        <f t="shared" si="239"/>
        <v>0</v>
      </c>
      <c r="J80" s="1146">
        <f t="shared" si="239"/>
        <v>0</v>
      </c>
      <c r="K80" s="1146">
        <f t="shared" si="239"/>
        <v>2.112788680977324E-2</v>
      </c>
      <c r="L80" s="1146">
        <f t="shared" si="239"/>
        <v>9.9683889869801104E-3</v>
      </c>
      <c r="M80" s="1146">
        <f t="shared" si="239"/>
        <v>0</v>
      </c>
      <c r="N80" s="1146">
        <f t="shared" si="239"/>
        <v>5.8163195873399106E-4</v>
      </c>
      <c r="O80" s="1146">
        <f t="shared" si="239"/>
        <v>0</v>
      </c>
      <c r="P80" s="1146">
        <f t="shared" si="239"/>
        <v>0</v>
      </c>
      <c r="Q80" s="1146">
        <f t="shared" si="239"/>
        <v>0</v>
      </c>
      <c r="R80" s="1146">
        <f t="shared" si="239"/>
        <v>0</v>
      </c>
      <c r="S80" s="1146">
        <f t="shared" si="239"/>
        <v>4.8020318391797882E-3</v>
      </c>
      <c r="T80" s="1146">
        <f t="shared" si="239"/>
        <v>0</v>
      </c>
      <c r="U80" s="1146">
        <f t="shared" si="239"/>
        <v>0</v>
      </c>
      <c r="V80" s="1146">
        <f t="shared" si="239"/>
        <v>2.1767644067692996E-2</v>
      </c>
      <c r="W80" s="1146">
        <f t="shared" si="239"/>
        <v>7.3467781097211471E-3</v>
      </c>
      <c r="X80" s="1146">
        <f t="shared" si="239"/>
        <v>0</v>
      </c>
      <c r="Y80" s="1146">
        <f t="shared" si="239"/>
        <v>1.7836031007548289E-3</v>
      </c>
      <c r="Z80" s="1146">
        <f t="shared" si="239"/>
        <v>0</v>
      </c>
      <c r="AA80" s="1146">
        <f t="shared" si="239"/>
        <v>0</v>
      </c>
      <c r="AB80" s="1146">
        <f t="shared" si="239"/>
        <v>0</v>
      </c>
      <c r="AC80" s="1146">
        <f t="shared" si="239"/>
        <v>0</v>
      </c>
      <c r="AD80" s="1146">
        <f t="shared" si="239"/>
        <v>1.388899863286747E-2</v>
      </c>
      <c r="AE80" s="1173">
        <f t="shared" ref="AE80:AE115" si="240">SUM(E80:AD80)</f>
        <v>8.5178529813137199E-2</v>
      </c>
      <c r="AG80" s="1164"/>
      <c r="AL80" s="1144" t="s">
        <v>1133</v>
      </c>
      <c r="AM80" s="1144" t="s">
        <v>58</v>
      </c>
      <c r="AN80" s="1135">
        <f>SUMIFS(Table91517[Count of EnergyRating],Table91517[MainSpaceHeatingFuel],AL80,Table91517[EnergyRating (group)],AM80,Table91517[CountyName (group)],AN$4)</f>
        <v>0</v>
      </c>
      <c r="AO80" s="1164">
        <f>SUMIFS(Table91517[Count of EnergyRating],Table91517[MainSpaceHeatingFuel],AL80,Table91517[EnergyRating (group)],AM80,Table91517[CountyName (group)],AO$4)</f>
        <v>0</v>
      </c>
      <c r="AP80" s="1164">
        <f>SUMIFS(Table91517[Count of EnergyRating],Table91517[MainSpaceHeatingFuel],AL80,Table91517[EnergyRating (group)],AM80,Table91517[CountyName (group)],AP$4)</f>
        <v>3</v>
      </c>
      <c r="AQ80" s="1164">
        <f>SUMIFS(Table91517[Count of EnergyRating],Table91517[MainSpaceHeatingFuel],AL80,Table91517[EnergyRating (group)],AM80,Table91517[CountyName (group)],AQ$4)</f>
        <v>1</v>
      </c>
      <c r="AR80" s="1164">
        <f>SUMIFS(Table91517[Count of EnergyRating],Table91517[MainSpaceHeatingFuel],AL80,Table91517[EnergyRating (group)],AM80,Table91517[CountyName (group)],AR$4)</f>
        <v>7</v>
      </c>
      <c r="AS80" s="1164">
        <f>SUMIFS(Table91517[Count of EnergyRating],Table91517[MainSpaceHeatingFuel],AL80,Table91517[EnergyRating (group)],AM80,Table91517[CountyName (group)],AS$4)</f>
        <v>2</v>
      </c>
      <c r="AT80" s="1164">
        <f>SUMIFS(Table91517[Count of EnergyRating],Table91517[MainSpaceHeatingFuel],AL80,Table91517[EnergyRating (group)],AM80,Table91517[CountyName (group)],AT$4)</f>
        <v>0</v>
      </c>
      <c r="AU80" s="1164">
        <f>SUMIFS(Table91517[Count of EnergyRating],Table91517[MainSpaceHeatingFuel],AL80,Table91517[EnergyRating (group)],AM80,Table91517[CountyName (group)],AU$4)</f>
        <v>2</v>
      </c>
      <c r="AV80" s="1164">
        <f>SUMIFS(Table91517[Count of EnergyRating],Table91517[MainSpaceHeatingFuel],AL80,Table91517[EnergyRating (group)],AM80,Table91517[CountyName (group)],AV$4)</f>
        <v>3</v>
      </c>
      <c r="AW80" s="1164">
        <f>SUMIFS(Table91517[Count of EnergyRating],Table91517[MainSpaceHeatingFuel],AL80,Table91517[EnergyRating (group)],AM80,Table91517[CountyName (group)],AW$4)</f>
        <v>4</v>
      </c>
      <c r="AX80" s="1164">
        <f>SUMIFS(Table91517[Count of EnergyRating],Table91517[MainSpaceHeatingFuel],AL80,Table91517[EnergyRating (group)],AM80,Table91517[CountyName (group)],AX$4)</f>
        <v>0</v>
      </c>
      <c r="AY80" s="1164">
        <f>SUMIFS(Table91517[Count of EnergyRating],Table91517[MainSpaceHeatingFuel],AL80,Table91517[EnergyRating (group)],AM80,Table91517[CountyName (group)],AY$4)</f>
        <v>1</v>
      </c>
      <c r="AZ80" s="1164">
        <f>SUMIFS(Table91517[Count of EnergyRating],Table91517[MainSpaceHeatingFuel],AL80,Table91517[EnergyRating (group)],AM80,Table91517[CountyName (group)],AZ$4)</f>
        <v>0</v>
      </c>
      <c r="BA80" s="1164">
        <f>SUMIFS(Table91517[Count of EnergyRating],Table91517[MainSpaceHeatingFuel],AL80,Table91517[EnergyRating (group)],AM80,Table91517[CountyName (group)],BA$4)</f>
        <v>0</v>
      </c>
      <c r="BB80" s="1164">
        <f>SUMIFS(Table91517[Count of EnergyRating],Table91517[MainSpaceHeatingFuel],AL80,Table91517[EnergyRating (group)],AM80,Table91517[CountyName (group)],BB$4)</f>
        <v>1</v>
      </c>
      <c r="BC80" s="1164">
        <f>SUMIFS(Table91517[Count of EnergyRating],Table91517[MainSpaceHeatingFuel],AL80,Table91517[EnergyRating (group)],AM80,Table91517[CountyName (group)],BC$4)</f>
        <v>0</v>
      </c>
      <c r="BD80" s="1164">
        <f>SUMIFS(Table91517[Count of EnergyRating],Table91517[MainSpaceHeatingFuel],AL80,Table91517[EnergyRating (group)],AM80,Table91517[CountyName (group)],BD$4)</f>
        <v>2</v>
      </c>
      <c r="BE80" s="1164">
        <f>SUMIFS(Table91517[Count of EnergyRating],Table91517[MainSpaceHeatingFuel],AL80,Table91517[EnergyRating (group)],AM80,Table91517[CountyName (group)],BE$4)</f>
        <v>0</v>
      </c>
      <c r="BF80" s="1164">
        <f>SUMIFS(Table91517[Count of EnergyRating],Table91517[MainSpaceHeatingFuel],AL80,Table91517[EnergyRating (group)],AM80,Table91517[CountyName (group)],BF$4)</f>
        <v>19</v>
      </c>
      <c r="BG80" s="1164">
        <f>SUMIFS(Table91517[Count of EnergyRating],Table91517[MainSpaceHeatingFuel],AL80,Table91517[EnergyRating (group)],AM80,Table91517[CountyName (group)],BG$4)</f>
        <v>1</v>
      </c>
      <c r="BH80" s="1164">
        <f>SUMIFS(Table91517[Count of EnergyRating],Table91517[MainSpaceHeatingFuel],AL80,Table91517[EnergyRating (group)],AM80,Table91517[CountyName (group)],BH$4)</f>
        <v>6</v>
      </c>
      <c r="BI80" s="1164">
        <f>SUMIFS(Table91517[Count of EnergyRating],Table91517[MainSpaceHeatingFuel],AL80,Table91517[EnergyRating (group)],AM80,Table91517[CountyName (group)],BI$4)</f>
        <v>2</v>
      </c>
      <c r="BJ80" s="1164">
        <f>SUMIFS(Table91517[Count of EnergyRating],Table91517[MainSpaceHeatingFuel],AL80,Table91517[EnergyRating (group)],AM80,Table91517[CountyName (group)],BJ$4)</f>
        <v>2</v>
      </c>
      <c r="BK80" s="1135">
        <f>SUMIFS(Table91517[Count of EnergyRating],Table91517[MainSpaceHeatingFuel],AL80,Table91517[EnergyRating (group)],AM80,Table91517[CountyName (group)],BK$4)</f>
        <v>1</v>
      </c>
      <c r="BL80" s="1164">
        <f>SUMIFS(Table91517[Count of EnergyRating],Table91517[MainSpaceHeatingFuel],AL80,Table91517[EnergyRating (group)],AM80,Table91517[CountyName (group)],BL$4)</f>
        <v>4</v>
      </c>
      <c r="BM80" s="1164">
        <f>SUMIFS(Table91517[Count of EnergyRating],Table91517[MainSpaceHeatingFuel],AL80,Table91517[EnergyRating (group)],AM80,Table91517[CountyName (group)],BM$4)</f>
        <v>0</v>
      </c>
    </row>
    <row r="81" spans="2:65">
      <c r="B81" s="1134" t="s">
        <v>58</v>
      </c>
      <c r="C81" s="1134" t="s">
        <v>1245</v>
      </c>
      <c r="D81" s="1134" t="s">
        <v>1094</v>
      </c>
      <c r="E81" s="1145">
        <f t="shared" ref="E81:AD81" si="241">IFERROR(G196*((SUM(AN$80)/SUM(AN$75:AN$83))/(SUM(G$196)/SUM(G$194:G$199))),G196)</f>
        <v>0</v>
      </c>
      <c r="F81" s="1145">
        <f t="shared" si="241"/>
        <v>0</v>
      </c>
      <c r="G81" s="1145">
        <f t="shared" si="241"/>
        <v>5.8673494611504382E-3</v>
      </c>
      <c r="H81" s="1145">
        <f t="shared" si="241"/>
        <v>1.2134531321335011E-2</v>
      </c>
      <c r="I81" s="1145">
        <f t="shared" si="241"/>
        <v>7.5290804722144833E-3</v>
      </c>
      <c r="J81" s="1145">
        <f t="shared" si="241"/>
        <v>2.0907859674106286E-3</v>
      </c>
      <c r="K81" s="1145">
        <f t="shared" si="241"/>
        <v>1.1359490192799878E-2</v>
      </c>
      <c r="L81" s="1145">
        <f t="shared" si="241"/>
        <v>1.9936777973960221E-2</v>
      </c>
      <c r="M81" s="1145">
        <f t="shared" si="241"/>
        <v>2.1735455295729964E-3</v>
      </c>
      <c r="N81" s="1145">
        <f t="shared" si="241"/>
        <v>2.3265278349359651E-3</v>
      </c>
      <c r="O81" s="1145">
        <f t="shared" si="241"/>
        <v>0</v>
      </c>
      <c r="P81" s="1145">
        <f t="shared" si="241"/>
        <v>1.6357576493533501E-2</v>
      </c>
      <c r="Q81" s="1145">
        <f t="shared" si="241"/>
        <v>0</v>
      </c>
      <c r="R81" s="1145">
        <f t="shared" si="241"/>
        <v>0</v>
      </c>
      <c r="S81" s="1145">
        <f t="shared" si="241"/>
        <v>4.802031839179789E-3</v>
      </c>
      <c r="T81" s="1145">
        <f t="shared" si="241"/>
        <v>0</v>
      </c>
      <c r="U81" s="1145">
        <f t="shared" si="241"/>
        <v>7.811177742833731E-3</v>
      </c>
      <c r="V81" s="1145">
        <f t="shared" si="241"/>
        <v>1.3873453579947959E-2</v>
      </c>
      <c r="W81" s="1145">
        <f t="shared" si="241"/>
        <v>1.5509864898300198E-2</v>
      </c>
      <c r="X81" s="1145">
        <f t="shared" si="241"/>
        <v>4.4052583272949945E-3</v>
      </c>
      <c r="Y81" s="1145">
        <f t="shared" si="241"/>
        <v>5.3508093022644867E-3</v>
      </c>
      <c r="Z81" s="1145">
        <f t="shared" si="241"/>
        <v>4.3758949137987224E-3</v>
      </c>
      <c r="AA81" s="1145">
        <f t="shared" si="241"/>
        <v>7.6534606020438722E-3</v>
      </c>
      <c r="AB81" s="1145">
        <f t="shared" si="241"/>
        <v>2.6311829781965959E-2</v>
      </c>
      <c r="AC81" s="1145">
        <f t="shared" si="241"/>
        <v>1.5774996425379908E-2</v>
      </c>
      <c r="AD81" s="1145">
        <f t="shared" si="241"/>
        <v>1.0397226285809224E-2</v>
      </c>
      <c r="AE81" s="1172">
        <f t="shared" si="240"/>
        <v>0.19604166894573194</v>
      </c>
      <c r="AG81" s="1164"/>
      <c r="AL81" s="1144" t="s">
        <v>1133</v>
      </c>
      <c r="AM81" s="1144" t="s">
        <v>60</v>
      </c>
      <c r="AN81" s="1135">
        <f>SUMIFS(Table91517[Count of EnergyRating],Table91517[MainSpaceHeatingFuel],AL81,Table91517[EnergyRating (group)],AM81,Table91517[CountyName (group)],AN$4)</f>
        <v>3</v>
      </c>
      <c r="AO81" s="1164">
        <f>SUMIFS(Table91517[Count of EnergyRating],Table91517[MainSpaceHeatingFuel],AL81,Table91517[EnergyRating (group)],AM81,Table91517[CountyName (group)],AO$4)</f>
        <v>0</v>
      </c>
      <c r="AP81" s="1164">
        <f>SUMIFS(Table91517[Count of EnergyRating],Table91517[MainSpaceHeatingFuel],AL81,Table91517[EnergyRating (group)],AM81,Table91517[CountyName (group)],AP$4)</f>
        <v>6</v>
      </c>
      <c r="AQ81" s="1164">
        <f>SUMIFS(Table91517[Count of EnergyRating],Table91517[MainSpaceHeatingFuel],AL81,Table91517[EnergyRating (group)],AM81,Table91517[CountyName (group)],AQ$4)</f>
        <v>1</v>
      </c>
      <c r="AR81" s="1164">
        <f>SUMIFS(Table91517[Count of EnergyRating],Table91517[MainSpaceHeatingFuel],AL81,Table91517[EnergyRating (group)],AM81,Table91517[CountyName (group)],AR$4)</f>
        <v>3</v>
      </c>
      <c r="AS81" s="1164">
        <f>SUMIFS(Table91517[Count of EnergyRating],Table91517[MainSpaceHeatingFuel],AL81,Table91517[EnergyRating (group)],AM81,Table91517[CountyName (group)],AS$4)</f>
        <v>6</v>
      </c>
      <c r="AT81" s="1164">
        <f>SUMIFS(Table91517[Count of EnergyRating],Table91517[MainSpaceHeatingFuel],AL81,Table91517[EnergyRating (group)],AM81,Table91517[CountyName (group)],AT$4)</f>
        <v>0</v>
      </c>
      <c r="AU81" s="1164">
        <f>SUMIFS(Table91517[Count of EnergyRating],Table91517[MainSpaceHeatingFuel],AL81,Table91517[EnergyRating (group)],AM81,Table91517[CountyName (group)],AU$4)</f>
        <v>0</v>
      </c>
      <c r="AV81" s="1164">
        <f>SUMIFS(Table91517[Count of EnergyRating],Table91517[MainSpaceHeatingFuel],AL81,Table91517[EnergyRating (group)],AM81,Table91517[CountyName (group)],AV$4)</f>
        <v>9</v>
      </c>
      <c r="AW81" s="1164">
        <f>SUMIFS(Table91517[Count of EnergyRating],Table91517[MainSpaceHeatingFuel],AL81,Table91517[EnergyRating (group)],AM81,Table91517[CountyName (group)],AW$4)</f>
        <v>15</v>
      </c>
      <c r="AX81" s="1164">
        <f>SUMIFS(Table91517[Count of EnergyRating],Table91517[MainSpaceHeatingFuel],AL81,Table91517[EnergyRating (group)],AM81,Table91517[CountyName (group)],AX$4)</f>
        <v>1</v>
      </c>
      <c r="AY81" s="1164">
        <f>SUMIFS(Table91517[Count of EnergyRating],Table91517[MainSpaceHeatingFuel],AL81,Table91517[EnergyRating (group)],AM81,Table91517[CountyName (group)],AY$4)</f>
        <v>1</v>
      </c>
      <c r="AZ81" s="1164">
        <f>SUMIFS(Table91517[Count of EnergyRating],Table91517[MainSpaceHeatingFuel],AL81,Table91517[EnergyRating (group)],AM81,Table91517[CountyName (group)],AZ$4)</f>
        <v>6</v>
      </c>
      <c r="BA81" s="1164">
        <f>SUMIFS(Table91517[Count of EnergyRating],Table91517[MainSpaceHeatingFuel],AL81,Table91517[EnergyRating (group)],AM81,Table91517[CountyName (group)],BA$4)</f>
        <v>1</v>
      </c>
      <c r="BB81" s="1164">
        <f>SUMIFS(Table91517[Count of EnergyRating],Table91517[MainSpaceHeatingFuel],AL81,Table91517[EnergyRating (group)],AM81,Table91517[CountyName (group)],BB$4)</f>
        <v>5</v>
      </c>
      <c r="BC81" s="1164">
        <f>SUMIFS(Table91517[Count of EnergyRating],Table91517[MainSpaceHeatingFuel],AL81,Table91517[EnergyRating (group)],AM81,Table91517[CountyName (group)],BC$4)</f>
        <v>2</v>
      </c>
      <c r="BD81" s="1164">
        <f>SUMIFS(Table91517[Count of EnergyRating],Table91517[MainSpaceHeatingFuel],AL81,Table91517[EnergyRating (group)],AM81,Table91517[CountyName (group)],BD$4)</f>
        <v>6</v>
      </c>
      <c r="BE81" s="1164">
        <f>SUMIFS(Table91517[Count of EnergyRating],Table91517[MainSpaceHeatingFuel],AL81,Table91517[EnergyRating (group)],AM81,Table91517[CountyName (group)],BE$4)</f>
        <v>0</v>
      </c>
      <c r="BF81" s="1164">
        <f>SUMIFS(Table91517[Count of EnergyRating],Table91517[MainSpaceHeatingFuel],AL81,Table91517[EnergyRating (group)],AM81,Table91517[CountyName (group)],BF$4)</f>
        <v>30</v>
      </c>
      <c r="BG81" s="1164">
        <f>SUMIFS(Table91517[Count of EnergyRating],Table91517[MainSpaceHeatingFuel],AL81,Table91517[EnergyRating (group)],AM81,Table91517[CountyName (group)],BG$4)</f>
        <v>0</v>
      </c>
      <c r="BH81" s="1164">
        <f>SUMIFS(Table91517[Count of EnergyRating],Table91517[MainSpaceHeatingFuel],AL81,Table91517[EnergyRating (group)],AM81,Table91517[CountyName (group)],BH$4)</f>
        <v>26</v>
      </c>
      <c r="BI81" s="1164">
        <f>SUMIFS(Table91517[Count of EnergyRating],Table91517[MainSpaceHeatingFuel],AL81,Table91517[EnergyRating (group)],AM81,Table91517[CountyName (group)],BI$4)</f>
        <v>6</v>
      </c>
      <c r="BJ81" s="1164">
        <f>SUMIFS(Table91517[Count of EnergyRating],Table91517[MainSpaceHeatingFuel],AL81,Table91517[EnergyRating (group)],AM81,Table91517[CountyName (group)],BJ$4)</f>
        <v>0</v>
      </c>
      <c r="BK81" s="1135">
        <f>SUMIFS(Table91517[Count of EnergyRating],Table91517[MainSpaceHeatingFuel],AL81,Table91517[EnergyRating (group)],AM81,Table91517[CountyName (group)],BK$4)</f>
        <v>0</v>
      </c>
      <c r="BL81" s="1164">
        <f>SUMIFS(Table91517[Count of EnergyRating],Table91517[MainSpaceHeatingFuel],AL81,Table91517[EnergyRating (group)],AM81,Table91517[CountyName (group)],BL$4)</f>
        <v>3</v>
      </c>
      <c r="BM81" s="1164">
        <f>SUMIFS(Table91517[Count of EnergyRating],Table91517[MainSpaceHeatingFuel],AL81,Table91517[EnergyRating (group)],AM81,Table91517[CountyName (group)],BM$4)</f>
        <v>0</v>
      </c>
    </row>
    <row r="82" spans="2:65">
      <c r="B82" s="1136" t="s">
        <v>60</v>
      </c>
      <c r="C82" s="1136" t="s">
        <v>1245</v>
      </c>
      <c r="D82" s="1136" t="s">
        <v>1094</v>
      </c>
      <c r="E82" s="1146">
        <f t="shared" ref="E82:AD82" si="242">IFERROR(G197*((SUM(AN$81)/SUM(AN$75:AN$83))/(SUM(G$197)/SUM(G$194:G$199))),G197)</f>
        <v>9.4244091556946966E-3</v>
      </c>
      <c r="F82" s="1146">
        <f t="shared" si="242"/>
        <v>0</v>
      </c>
      <c r="G82" s="1146">
        <f t="shared" si="242"/>
        <v>1.1734698922300876E-2</v>
      </c>
      <c r="H82" s="1146">
        <f t="shared" si="242"/>
        <v>1.2134531321335011E-2</v>
      </c>
      <c r="I82" s="1146">
        <f t="shared" si="242"/>
        <v>3.2267487738062068E-3</v>
      </c>
      <c r="J82" s="1146">
        <f t="shared" si="242"/>
        <v>6.2723579022318848E-3</v>
      </c>
      <c r="K82" s="1146">
        <f t="shared" si="242"/>
        <v>5.0027653778391386E-3</v>
      </c>
      <c r="L82" s="1146">
        <f t="shared" si="242"/>
        <v>0</v>
      </c>
      <c r="M82" s="1146">
        <f t="shared" si="242"/>
        <v>6.5206365887189883E-3</v>
      </c>
      <c r="N82" s="1146">
        <f t="shared" si="242"/>
        <v>8.724479381009868E-3</v>
      </c>
      <c r="O82" s="1146">
        <f t="shared" si="242"/>
        <v>1.9677833914293882E-2</v>
      </c>
      <c r="P82" s="1146">
        <f t="shared" si="242"/>
        <v>1.6357576493533501E-2</v>
      </c>
      <c r="Q82" s="1146">
        <f t="shared" si="242"/>
        <v>1.4739166345976823E-2</v>
      </c>
      <c r="R82" s="1146">
        <f t="shared" si="242"/>
        <v>6.4405339607323156E-2</v>
      </c>
      <c r="S82" s="1146">
        <f t="shared" si="242"/>
        <v>2.4010159195898943E-2</v>
      </c>
      <c r="T82" s="1146">
        <f t="shared" si="242"/>
        <v>3.1704934615756568E-2</v>
      </c>
      <c r="U82" s="1146">
        <f t="shared" si="242"/>
        <v>2.3433533228501197E-2</v>
      </c>
      <c r="V82" s="1146">
        <f t="shared" si="242"/>
        <v>4.5958257493010695E-3</v>
      </c>
      <c r="W82" s="1146">
        <f t="shared" si="242"/>
        <v>2.4489260365737162E-2</v>
      </c>
      <c r="X82" s="1146">
        <f t="shared" si="242"/>
        <v>0</v>
      </c>
      <c r="Y82" s="1146">
        <f t="shared" si="242"/>
        <v>2.3186840309812776E-2</v>
      </c>
      <c r="Z82" s="1146">
        <f t="shared" si="242"/>
        <v>1.3127684741396166E-2</v>
      </c>
      <c r="AA82" s="1146">
        <f t="shared" si="242"/>
        <v>0</v>
      </c>
      <c r="AB82" s="1146">
        <f t="shared" si="242"/>
        <v>0</v>
      </c>
      <c r="AC82" s="1146">
        <f t="shared" si="242"/>
        <v>1.1831247319034932E-2</v>
      </c>
      <c r="AD82" s="1146">
        <f t="shared" si="242"/>
        <v>4.7412244329065661E-3</v>
      </c>
      <c r="AE82" s="1173">
        <f t="shared" si="240"/>
        <v>0.33934125374240942</v>
      </c>
      <c r="AG82" s="1164"/>
      <c r="AL82" s="1144" t="s">
        <v>1133</v>
      </c>
      <c r="AM82" s="1144" t="s">
        <v>62</v>
      </c>
      <c r="AN82" s="1135">
        <f>SUMIFS(Table91517[Count of EnergyRating],Table91517[MainSpaceHeatingFuel],AL82,Table91517[EnergyRating (group)],AM82,Table91517[CountyName (group)],AN$4)</f>
        <v>2</v>
      </c>
      <c r="AO82" s="1164">
        <f>SUMIFS(Table91517[Count of EnergyRating],Table91517[MainSpaceHeatingFuel],AL82,Table91517[EnergyRating (group)],AM82,Table91517[CountyName (group)],AO$4)</f>
        <v>1</v>
      </c>
      <c r="AP82" s="1164">
        <f>SUMIFS(Table91517[Count of EnergyRating],Table91517[MainSpaceHeatingFuel],AL82,Table91517[EnergyRating (group)],AM82,Table91517[CountyName (group)],AP$4)</f>
        <v>7</v>
      </c>
      <c r="AQ82" s="1164">
        <f>SUMIFS(Table91517[Count of EnergyRating],Table91517[MainSpaceHeatingFuel],AL82,Table91517[EnergyRating (group)],AM82,Table91517[CountyName (group)],AQ$4)</f>
        <v>2</v>
      </c>
      <c r="AR82" s="1164">
        <f>SUMIFS(Table91517[Count of EnergyRating],Table91517[MainSpaceHeatingFuel],AL82,Table91517[EnergyRating (group)],AM82,Table91517[CountyName (group)],AR$4)</f>
        <v>8</v>
      </c>
      <c r="AS82" s="1164">
        <f>SUMIFS(Table91517[Count of EnergyRating],Table91517[MainSpaceHeatingFuel],AL82,Table91517[EnergyRating (group)],AM82,Table91517[CountyName (group)],AS$4)</f>
        <v>5</v>
      </c>
      <c r="AT82" s="1164">
        <f>SUMIFS(Table91517[Count of EnergyRating],Table91517[MainSpaceHeatingFuel],AL82,Table91517[EnergyRating (group)],AM82,Table91517[CountyName (group)],AT$4)</f>
        <v>0</v>
      </c>
      <c r="AU82" s="1164">
        <f>SUMIFS(Table91517[Count of EnergyRating],Table91517[MainSpaceHeatingFuel],AL82,Table91517[EnergyRating (group)],AM82,Table91517[CountyName (group)],AU$4)</f>
        <v>2</v>
      </c>
      <c r="AV82" s="1164">
        <f>SUMIFS(Table91517[Count of EnergyRating],Table91517[MainSpaceHeatingFuel],AL82,Table91517[EnergyRating (group)],AM82,Table91517[CountyName (group)],AV$4)</f>
        <v>8</v>
      </c>
      <c r="AW82" s="1164">
        <f>SUMIFS(Table91517[Count of EnergyRating],Table91517[MainSpaceHeatingFuel],AL82,Table91517[EnergyRating (group)],AM82,Table91517[CountyName (group)],AW$4)</f>
        <v>13</v>
      </c>
      <c r="AX82" s="1164">
        <f>SUMIFS(Table91517[Count of EnergyRating],Table91517[MainSpaceHeatingFuel],AL82,Table91517[EnergyRating (group)],AM82,Table91517[CountyName (group)],AX$4)</f>
        <v>3</v>
      </c>
      <c r="AY82" s="1164">
        <f>SUMIFS(Table91517[Count of EnergyRating],Table91517[MainSpaceHeatingFuel],AL82,Table91517[EnergyRating (group)],AM82,Table91517[CountyName (group)],AY$4)</f>
        <v>1</v>
      </c>
      <c r="AZ82" s="1164">
        <f>SUMIFS(Table91517[Count of EnergyRating],Table91517[MainSpaceHeatingFuel],AL82,Table91517[EnergyRating (group)],AM82,Table91517[CountyName (group)],AZ$4)</f>
        <v>1</v>
      </c>
      <c r="BA82" s="1164">
        <f>SUMIFS(Table91517[Count of EnergyRating],Table91517[MainSpaceHeatingFuel],AL82,Table91517[EnergyRating (group)],AM82,Table91517[CountyName (group)],BA$4)</f>
        <v>0</v>
      </c>
      <c r="BB82" s="1164">
        <f>SUMIFS(Table91517[Count of EnergyRating],Table91517[MainSpaceHeatingFuel],AL82,Table91517[EnergyRating (group)],AM82,Table91517[CountyName (group)],BB$4)</f>
        <v>3</v>
      </c>
      <c r="BC82" s="1164">
        <f>SUMIFS(Table91517[Count of EnergyRating],Table91517[MainSpaceHeatingFuel],AL82,Table91517[EnergyRating (group)],AM82,Table91517[CountyName (group)],BC$4)</f>
        <v>0</v>
      </c>
      <c r="BD82" s="1164">
        <f>SUMIFS(Table91517[Count of EnergyRating],Table91517[MainSpaceHeatingFuel],AL82,Table91517[EnergyRating (group)],AM82,Table91517[CountyName (group)],BD$4)</f>
        <v>3</v>
      </c>
      <c r="BE82" s="1164">
        <f>SUMIFS(Table91517[Count of EnergyRating],Table91517[MainSpaceHeatingFuel],AL82,Table91517[EnergyRating (group)],AM82,Table91517[CountyName (group)],BE$4)</f>
        <v>0</v>
      </c>
      <c r="BF82" s="1152">
        <f>SUMIFS(Table91517[Count of EnergyRating],Table91517[MainSpaceHeatingFuel],AL82,Table91517[EnergyRating (group)],AM82,Table91517[CountyName (group)],BF$4)</f>
        <v>42</v>
      </c>
      <c r="BG82" s="1164">
        <f>SUMIFS(Table91517[Count of EnergyRating],Table91517[MainSpaceHeatingFuel],AL82,Table91517[EnergyRating (group)],AM82,Table91517[CountyName (group)],BG$4)</f>
        <v>1</v>
      </c>
      <c r="BH82" s="1164">
        <f>SUMIFS(Table91517[Count of EnergyRating],Table91517[MainSpaceHeatingFuel],AL82,Table91517[EnergyRating (group)],AM82,Table91517[CountyName (group)],BH$4)</f>
        <v>25</v>
      </c>
      <c r="BI82" s="1164">
        <f>SUMIFS(Table91517[Count of EnergyRating],Table91517[MainSpaceHeatingFuel],AL82,Table91517[EnergyRating (group)],AM82,Table91517[CountyName (group)],BI$4)</f>
        <v>4</v>
      </c>
      <c r="BJ82" s="1164">
        <f>SUMIFS(Table91517[Count of EnergyRating],Table91517[MainSpaceHeatingFuel],AL82,Table91517[EnergyRating (group)],AM82,Table91517[CountyName (group)],BJ$4)</f>
        <v>1</v>
      </c>
      <c r="BK82" s="1135">
        <f>SUMIFS(Table91517[Count of EnergyRating],Table91517[MainSpaceHeatingFuel],AL82,Table91517[EnergyRating (group)],AM82,Table91517[CountyName (group)],BK$4)</f>
        <v>0</v>
      </c>
      <c r="BL82" s="1164">
        <f>SUMIFS(Table91517[Count of EnergyRating],Table91517[MainSpaceHeatingFuel],AL82,Table91517[EnergyRating (group)],AM82,Table91517[CountyName (group)],BL$4)</f>
        <v>4</v>
      </c>
      <c r="BM82" s="1164">
        <f>SUMIFS(Table91517[Count of EnergyRating],Table91517[MainSpaceHeatingFuel],AL82,Table91517[EnergyRating (group)],AM82,Table91517[CountyName (group)],BM$4)</f>
        <v>0</v>
      </c>
    </row>
    <row r="83" spans="2:65" ht="15">
      <c r="B83" s="1134" t="s">
        <v>62</v>
      </c>
      <c r="C83" s="1134" t="s">
        <v>1245</v>
      </c>
      <c r="D83" s="1134" t="s">
        <v>1094</v>
      </c>
      <c r="E83" s="1145">
        <f t="shared" ref="E83:AD83" si="243">IFERROR(G198*((SUM(AN$82)/SUM(AN$75:AN$83))/(SUM(G$198)/SUM(G$194:G$199))),G198)</f>
        <v>6.2829394371297972E-3</v>
      </c>
      <c r="F83" s="1145">
        <f t="shared" si="243"/>
        <v>0.16309721891134293</v>
      </c>
      <c r="G83" s="1145">
        <f t="shared" si="243"/>
        <v>1.3690482076017689E-2</v>
      </c>
      <c r="H83" s="1145">
        <f t="shared" si="243"/>
        <v>2.4269062642670026E-2</v>
      </c>
      <c r="I83" s="1145">
        <f t="shared" si="243"/>
        <v>8.6046633968165538E-3</v>
      </c>
      <c r="J83" s="1145">
        <f t="shared" si="243"/>
        <v>5.2269649185265714E-3</v>
      </c>
      <c r="K83" s="1145">
        <f t="shared" si="243"/>
        <v>2.2413000851786965E-3</v>
      </c>
      <c r="L83" s="1145">
        <f t="shared" si="243"/>
        <v>1.9936777973960221E-2</v>
      </c>
      <c r="M83" s="1145">
        <f t="shared" si="243"/>
        <v>5.7961214121946573E-3</v>
      </c>
      <c r="N83" s="1145">
        <f t="shared" si="243"/>
        <v>7.561215463541885E-3</v>
      </c>
      <c r="O83" s="1145">
        <f t="shared" si="243"/>
        <v>5.9033501742881633E-2</v>
      </c>
      <c r="P83" s="1145">
        <f t="shared" si="243"/>
        <v>1.6357576493533501E-2</v>
      </c>
      <c r="Q83" s="1145">
        <f t="shared" si="243"/>
        <v>2.4565277243294714E-3</v>
      </c>
      <c r="R83" s="1145">
        <f t="shared" si="243"/>
        <v>0</v>
      </c>
      <c r="S83" s="1145">
        <f t="shared" si="243"/>
        <v>1.4406095517539363E-2</v>
      </c>
      <c r="T83" s="1145">
        <f t="shared" si="243"/>
        <v>0</v>
      </c>
      <c r="U83" s="1145">
        <f t="shared" si="243"/>
        <v>1.1716766614250598E-2</v>
      </c>
      <c r="V83" s="1145">
        <f t="shared" si="243"/>
        <v>2.4854975991118033E-3</v>
      </c>
      <c r="W83" s="1145">
        <f t="shared" si="243"/>
        <v>3.4284964512032022E-2</v>
      </c>
      <c r="X83" s="1145">
        <f t="shared" si="243"/>
        <v>4.4052583272949936E-3</v>
      </c>
      <c r="Y83" s="1145">
        <f t="shared" si="243"/>
        <v>2.2295038759435361E-2</v>
      </c>
      <c r="Z83" s="1145">
        <f t="shared" si="243"/>
        <v>8.7517898275974448E-3</v>
      </c>
      <c r="AA83" s="1145">
        <f t="shared" si="243"/>
        <v>3.8267303010219357E-3</v>
      </c>
      <c r="AB83" s="1145">
        <f t="shared" si="243"/>
        <v>0</v>
      </c>
      <c r="AC83" s="1145">
        <f t="shared" si="243"/>
        <v>1.5774996425379908E-2</v>
      </c>
      <c r="AD83" s="1145">
        <f t="shared" si="243"/>
        <v>2.0638271060887405E-3</v>
      </c>
      <c r="AE83" s="1172">
        <f t="shared" si="240"/>
        <v>0.45456531726787575</v>
      </c>
      <c r="AG83" s="1164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SUMIFS(Table91517[Count of EnergyRating],Table91517[MainSpaceHeatingFuel],AL83,Table91517[EnergyRating (group)],AM83,Table91517[CountyName (group)],AN$4)</f>
        <v>5</v>
      </c>
      <c r="AO83" s="1164">
        <f>SUMIFS(Table91517[Count of EnergyRating],Table91517[MainSpaceHeatingFuel],AL83,Table91517[EnergyRating (group)],AM83,Table91517[CountyName (group)],AO$4)</f>
        <v>0</v>
      </c>
      <c r="AP83" s="1164">
        <f>SUMIFS(Table91517[Count of EnergyRating],Table91517[MainSpaceHeatingFuel],AL83,Table91517[EnergyRating (group)],AM83,Table91517[CountyName (group)],AP$4)</f>
        <v>27</v>
      </c>
      <c r="AQ83" s="1164">
        <f>SUMIFS(Table91517[Count of EnergyRating],Table91517[MainSpaceHeatingFuel],AL83,Table91517[EnergyRating (group)],AM83,Table91517[CountyName (group)],AQ$4)</f>
        <v>1</v>
      </c>
      <c r="AR83" s="1164">
        <f>SUMIFS(Table91517[Count of EnergyRating],Table91517[MainSpaceHeatingFuel],AL83,Table91517[EnergyRating (group)],AM83,Table91517[CountyName (group)],AR$4)</f>
        <v>26</v>
      </c>
      <c r="AS83" s="1164">
        <f>SUMIFS(Table91517[Count of EnergyRating],Table91517[MainSpaceHeatingFuel],AL83,Table91517[EnergyRating (group)],AM83,Table91517[CountyName (group)],AS$4)</f>
        <v>14</v>
      </c>
      <c r="AT83" s="1164">
        <f>SUMIFS(Table91517[Count of EnergyRating],Table91517[MainSpaceHeatingFuel],AL83,Table91517[EnergyRating (group)],AM83,Table91517[CountyName (group)],AT$4)</f>
        <v>0</v>
      </c>
      <c r="AU83" s="1164">
        <f>SUMIFS(Table91517[Count of EnergyRating],Table91517[MainSpaceHeatingFuel],AL83,Table91517[EnergyRating (group)],AM83,Table91517[CountyName (group)],AU$4)</f>
        <v>5</v>
      </c>
      <c r="AV83" s="1164">
        <f>SUMIFS(Table91517[Count of EnergyRating],Table91517[MainSpaceHeatingFuel],AL83,Table91517[EnergyRating (group)],AM83,Table91517[CountyName (group)],AV$4)</f>
        <v>44</v>
      </c>
      <c r="AW83" s="1164">
        <f>SUMIFS(Table91517[Count of EnergyRating],Table91517[MainSpaceHeatingFuel],AL83,Table91517[EnergyRating (group)],AM83,Table91517[CountyName (group)],AW$4)</f>
        <v>51</v>
      </c>
      <c r="AX83" s="1164">
        <f>SUMIFS(Table91517[Count of EnergyRating],Table91517[MainSpaceHeatingFuel],AL83,Table91517[EnergyRating (group)],AM83,Table91517[CountyName (group)],AX$4)</f>
        <v>1</v>
      </c>
      <c r="AY83" s="1164">
        <f>SUMIFS(Table91517[Count of EnergyRating],Table91517[MainSpaceHeatingFuel],AL83,Table91517[EnergyRating (group)],AM83,Table91517[CountyName (group)],AY$4)</f>
        <v>1</v>
      </c>
      <c r="AZ83" s="1164">
        <f>SUMIFS(Table91517[Count of EnergyRating],Table91517[MainSpaceHeatingFuel],AL83,Table91517[EnergyRating (group)],AM83,Table91517[CountyName (group)],AZ$4)</f>
        <v>24</v>
      </c>
      <c r="BA83" s="1164">
        <f>SUMIFS(Table91517[Count of EnergyRating],Table91517[MainSpaceHeatingFuel],AL83,Table91517[EnergyRating (group)],AM83,Table91517[CountyName (group)],BA$4)</f>
        <v>3</v>
      </c>
      <c r="BB83" s="1164">
        <f>SUMIFS(Table91517[Count of EnergyRating],Table91517[MainSpaceHeatingFuel],AL83,Table91517[EnergyRating (group)],AM83,Table91517[CountyName (group)],BB$4)</f>
        <v>12</v>
      </c>
      <c r="BC83" s="1164">
        <f>SUMIFS(Table91517[Count of EnergyRating],Table91517[MainSpaceHeatingFuel],AL83,Table91517[EnergyRating (group)],AM83,Table91517[CountyName (group)],BC$4)</f>
        <v>4</v>
      </c>
      <c r="BD83" s="1164">
        <f>SUMIFS(Table91517[Count of EnergyRating],Table91517[MainSpaceHeatingFuel],AL83,Table91517[EnergyRating (group)],AM83,Table91517[CountyName (group)],BD$4)</f>
        <v>15</v>
      </c>
      <c r="BE83" s="1164">
        <f>SUMIFS(Table91517[Count of EnergyRating],Table91517[MainSpaceHeatingFuel],AL83,Table91517[EnergyRating (group)],AM83,Table91517[CountyName (group)],BE$4)</f>
        <v>0</v>
      </c>
      <c r="BF83" s="1164">
        <f>SUMIFS(Table91517[Count of EnergyRating],Table91517[MainSpaceHeatingFuel],AL83,Table91517[EnergyRating (group)],AM83,Table91517[CountyName (group)],BF$4)</f>
        <v>97</v>
      </c>
      <c r="BG83" s="1164">
        <f>SUMIFS(Table91517[Count of EnergyRating],Table91517[MainSpaceHeatingFuel],AL83,Table91517[EnergyRating (group)],AM83,Table91517[CountyName (group)],BG$4)</f>
        <v>4</v>
      </c>
      <c r="BH83" s="1164">
        <f>SUMIFS(Table91517[Count of EnergyRating],Table91517[MainSpaceHeatingFuel],AL83,Table91517[EnergyRating (group)],AM83,Table91517[CountyName (group)],BH$4)</f>
        <v>54</v>
      </c>
      <c r="BI83" s="1164">
        <f>SUMIFS(Table91517[Count of EnergyRating],Table91517[MainSpaceHeatingFuel],AL83,Table91517[EnergyRating (group)],AM83,Table91517[CountyName (group)],BI$4)</f>
        <v>12</v>
      </c>
      <c r="BJ83" s="1164">
        <f>SUMIFS(Table91517[Count of EnergyRating],Table91517[MainSpaceHeatingFuel],AL83,Table91517[EnergyRating (group)],AM83,Table91517[CountyName (group)],BJ$4)</f>
        <v>8</v>
      </c>
      <c r="BK83" s="1135">
        <f>SUMIFS(Table91517[Count of EnergyRating],Table91517[MainSpaceHeatingFuel],AL83,Table91517[EnergyRating (group)],AM83,Table91517[CountyName (group)],BK$4)</f>
        <v>1</v>
      </c>
      <c r="BL83" s="1164">
        <f>SUMIFS(Table91517[Count of EnergyRating],Table91517[MainSpaceHeatingFuel],AL83,Table91517[EnergyRating (group)],AM83,Table91517[CountyName (group)],BL$4)</f>
        <v>19</v>
      </c>
      <c r="BM83" s="1164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38" t="s">
        <v>64</v>
      </c>
      <c r="C84" s="1138" t="s">
        <v>1245</v>
      </c>
      <c r="D84" s="1138" t="s">
        <v>1094</v>
      </c>
      <c r="E84" s="1147">
        <f t="shared" ref="E84:AD84" si="244">IFERROR(G199*((SUM(AN$83)/SUM(AN$75:AN$83))/(SUM(G$199)/SUM(G$194:G$199))),G199)</f>
        <v>1.5707348592824494E-2</v>
      </c>
      <c r="F84" s="1147">
        <f t="shared" si="244"/>
        <v>0</v>
      </c>
      <c r="G84" s="1147">
        <f t="shared" si="244"/>
        <v>5.280614515035395E-2</v>
      </c>
      <c r="H84" s="1147">
        <f t="shared" si="244"/>
        <v>1.2134531321335011E-2</v>
      </c>
      <c r="I84" s="1147">
        <f t="shared" si="244"/>
        <v>2.7965156039653799E-2</v>
      </c>
      <c r="J84" s="1147">
        <f t="shared" si="244"/>
        <v>1.4635501771874398E-2</v>
      </c>
      <c r="K84" s="1147">
        <f t="shared" si="244"/>
        <v>3.9624349628756481E-3</v>
      </c>
      <c r="L84" s="1147">
        <f t="shared" si="244"/>
        <v>4.9841944934900545E-2</v>
      </c>
      <c r="M84" s="1147">
        <f t="shared" si="244"/>
        <v>3.1878667767070615E-2</v>
      </c>
      <c r="N84" s="1147">
        <f t="shared" si="244"/>
        <v>2.966322989543355E-2</v>
      </c>
      <c r="O84" s="1147">
        <f t="shared" si="244"/>
        <v>1.9677833914293879E-2</v>
      </c>
      <c r="P84" s="1147">
        <f t="shared" si="244"/>
        <v>1.6357576493533497E-2</v>
      </c>
      <c r="Q84" s="1147">
        <f t="shared" si="244"/>
        <v>5.89566653839073E-2</v>
      </c>
      <c r="R84" s="1147">
        <f t="shared" si="244"/>
        <v>0.19321601882196948</v>
      </c>
      <c r="S84" s="1147">
        <f t="shared" si="244"/>
        <v>5.7624382070157451E-2</v>
      </c>
      <c r="T84" s="1147">
        <f t="shared" si="244"/>
        <v>6.340986923151315E-2</v>
      </c>
      <c r="U84" s="1147">
        <f t="shared" si="244"/>
        <v>5.8583833071252985E-2</v>
      </c>
      <c r="V84" s="1147">
        <f t="shared" si="244"/>
        <v>3.2905487082580788E-3</v>
      </c>
      <c r="W84" s="1147">
        <f t="shared" si="244"/>
        <v>7.91819418492168E-2</v>
      </c>
      <c r="X84" s="1147">
        <f t="shared" si="244"/>
        <v>1.7621033309179978E-2</v>
      </c>
      <c r="Y84" s="1147">
        <f t="shared" si="244"/>
        <v>4.8157283720380376E-2</v>
      </c>
      <c r="Z84" s="1147">
        <f t="shared" si="244"/>
        <v>2.6255369482792331E-2</v>
      </c>
      <c r="AA84" s="1147">
        <f t="shared" si="244"/>
        <v>3.0613842408175489E-2</v>
      </c>
      <c r="AB84" s="1147">
        <f t="shared" si="244"/>
        <v>2.6311829781965963E-2</v>
      </c>
      <c r="AC84" s="1147">
        <f t="shared" si="244"/>
        <v>7.4931233020554558E-2</v>
      </c>
      <c r="AD84" s="1147">
        <f t="shared" si="244"/>
        <v>3.4694607026680992E-3</v>
      </c>
      <c r="AE84" s="1174">
        <f t="shared" si="240"/>
        <v>1.0162536824061414</v>
      </c>
      <c r="AG84" s="58" t="s">
        <v>1163</v>
      </c>
      <c r="AH84" s="1158">
        <f>SUM(E88:AD93)</f>
        <v>31.971484995603795</v>
      </c>
      <c r="AI84" s="1140">
        <f>'SHWLP-Det'!S20</f>
        <v>31.971484995603792</v>
      </c>
      <c r="AJ84" s="1160">
        <f>IFERROR((AI84-AH84)/AI84,"N/A")</f>
        <v>-1.1112132199330163E-16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</row>
    <row r="85" spans="2:65" ht="15.75" thickBot="1">
      <c r="B85" s="1138" t="s">
        <v>1075</v>
      </c>
      <c r="C85" s="1138" t="s">
        <v>1245</v>
      </c>
      <c r="D85" s="1138" t="s">
        <v>1094</v>
      </c>
      <c r="E85" s="1147">
        <f>SUM(E79:E84)</f>
        <v>3.1414697185648988E-2</v>
      </c>
      <c r="F85" s="1147">
        <f t="shared" ref="F85" si="245">SUM(F79:F84)</f>
        <v>0.16309721891134293</v>
      </c>
      <c r="G85" s="1147">
        <f t="shared" ref="G85" si="246">SUM(G79:G84)</f>
        <v>8.8010241917256579E-2</v>
      </c>
      <c r="H85" s="1147">
        <f t="shared" ref="H85" si="247">SUM(H79:H84)</f>
        <v>6.0672656606675056E-2</v>
      </c>
      <c r="I85" s="1147">
        <f t="shared" ref="I85" si="248">SUM(I79:I84)</f>
        <v>4.7325648682491041E-2</v>
      </c>
      <c r="J85" s="1147">
        <f t="shared" ref="J85" si="249">SUM(J79:J84)</f>
        <v>2.8225610560043482E-2</v>
      </c>
      <c r="K85" s="1147">
        <f t="shared" ref="K85" si="250">SUM(K79:K84)</f>
        <v>5.4792709783813162E-2</v>
      </c>
      <c r="L85" s="1147">
        <f t="shared" ref="L85" si="251">SUM(L79:L84)</f>
        <v>9.968388986980109E-2</v>
      </c>
      <c r="M85" s="1147">
        <f t="shared" ref="M85" si="252">SUM(M79:M84)</f>
        <v>4.6368971297557258E-2</v>
      </c>
      <c r="N85" s="1147">
        <f t="shared" ref="N85" si="253">SUM(N79:N84)</f>
        <v>4.8857084533655254E-2</v>
      </c>
      <c r="O85" s="1147">
        <f t="shared" ref="O85" si="254">SUM(O79:O84)</f>
        <v>9.8389169571469398E-2</v>
      </c>
      <c r="P85" s="1147">
        <f t="shared" ref="P85" si="255">SUM(P79:P84)</f>
        <v>6.543030597413399E-2</v>
      </c>
      <c r="Q85" s="1147">
        <f t="shared" ref="Q85" si="256">SUM(Q79:Q84)</f>
        <v>7.6152359454213586E-2</v>
      </c>
      <c r="R85" s="1147">
        <f t="shared" ref="R85" si="257">SUM(R79:R84)</f>
        <v>0.25762135842929262</v>
      </c>
      <c r="S85" s="1147">
        <f t="shared" ref="S85" si="258">SUM(S79:S84)</f>
        <v>0.10564470046195533</v>
      </c>
      <c r="T85" s="1147">
        <f t="shared" ref="T85" si="259">SUM(T79:T84)</f>
        <v>9.5114803847269724E-2</v>
      </c>
      <c r="U85" s="1147">
        <f t="shared" ref="U85" si="260">SUM(U79:U84)</f>
        <v>0.1015453106568385</v>
      </c>
      <c r="V85" s="1147">
        <f t="shared" ref="V85" si="261">SUM(V79:V84)</f>
        <v>5.5594151713831169E-2</v>
      </c>
      <c r="W85" s="1147">
        <f t="shared" ref="W85" si="262">SUM(W79:W84)</f>
        <v>0.16081280973500733</v>
      </c>
      <c r="X85" s="1147">
        <f t="shared" ref="X85" si="263">SUM(X79:X84)</f>
        <v>2.6431549963769965E-2</v>
      </c>
      <c r="Y85" s="1147">
        <f t="shared" ref="Y85" si="264">SUM(Y79:Y84)</f>
        <v>0.10077357519264783</v>
      </c>
      <c r="Z85" s="1147">
        <f t="shared" ref="Z85" si="265">SUM(Z79:Z84)</f>
        <v>5.2510738965584669E-2</v>
      </c>
      <c r="AA85" s="1147">
        <f t="shared" ref="AA85" si="266">SUM(AA79:AA84)</f>
        <v>4.20940333112413E-2</v>
      </c>
      <c r="AB85" s="1147">
        <f t="shared" ref="AB85" si="267">SUM(AB79:AB84)</f>
        <v>5.2623659563931918E-2</v>
      </c>
      <c r="AC85" s="1147">
        <f t="shared" ref="AC85" si="268">SUM(AC79:AC84)</f>
        <v>0.11831247319034931</v>
      </c>
      <c r="AD85" s="1147">
        <f t="shared" ref="AD85" si="269">SUM(AD79:AD84)</f>
        <v>4.1109203289755189E-2</v>
      </c>
      <c r="AE85" s="1147">
        <f t="shared" ref="AE85" si="270">SUM(AE79:AE84)</f>
        <v>2.1186089326695763</v>
      </c>
      <c r="AG85" s="58" t="s">
        <v>1107</v>
      </c>
      <c r="AH85" s="1158">
        <f>SUM(E95:AD95)</f>
        <v>28.644125584816756</v>
      </c>
      <c r="AI85" s="1140">
        <f>'SHWLP-Det'!S46</f>
        <v>28.644125584816749</v>
      </c>
      <c r="AJ85" s="1160">
        <f>(AI85-AH85)/AI85</f>
        <v>-2.4805879783488107E-16</v>
      </c>
      <c r="AL85" s="1144" t="s">
        <v>420</v>
      </c>
      <c r="AM85" s="1144" t="s">
        <v>48</v>
      </c>
      <c r="AN85" s="1157">
        <f>SUMIFS(Table91517[Count of EnergyRating],Table91517[MainSpaceHeatingFuel],AL85,Table91517[EnergyRating (group)],AM85,Table91517[CountyName (group)],AN$4)</f>
        <v>0</v>
      </c>
      <c r="AO85" s="1164">
        <f>SUMIFS(Table91517[Count of EnergyRating],Table91517[MainSpaceHeatingFuel],AL85,Table91517[EnergyRating (group)],AM85,Table91517[CountyName (group)],AO$4)</f>
        <v>0</v>
      </c>
      <c r="AP85" s="1164">
        <f>SUMIFS(Table91517[Count of EnergyRating],Table91517[MainSpaceHeatingFuel],AL85,Table91517[EnergyRating (group)],AM85,Table91517[CountyName (group)],AP$4)</f>
        <v>0</v>
      </c>
      <c r="AQ85" s="1164">
        <f>SUMIFS(Table91517[Count of EnergyRating],Table91517[MainSpaceHeatingFuel],AL85,Table91517[EnergyRating (group)],AM85,Table91517[CountyName (group)],AQ$4)</f>
        <v>0</v>
      </c>
      <c r="AR85" s="1164">
        <f>SUMIFS(Table91517[Count of EnergyRating],Table91517[MainSpaceHeatingFuel],AL85,Table91517[EnergyRating (group)],AM85,Table91517[CountyName (group)],AR$4)</f>
        <v>0</v>
      </c>
      <c r="AS85" s="1164">
        <f>SUMIFS(Table91517[Count of EnergyRating],Table91517[MainSpaceHeatingFuel],AL85,Table91517[EnergyRating (group)],AM85,Table91517[CountyName (group)],AS$4)</f>
        <v>0</v>
      </c>
      <c r="AT85" s="1164">
        <f>SUMIFS(Table91517[Count of EnergyRating],Table91517[MainSpaceHeatingFuel],AL85,Table91517[EnergyRating (group)],AM85,Table91517[CountyName (group)],AT$4)</f>
        <v>0</v>
      </c>
      <c r="AU85" s="1164">
        <f>SUMIFS(Table91517[Count of EnergyRating],Table91517[MainSpaceHeatingFuel],AL85,Table91517[EnergyRating (group)],AM85,Table91517[CountyName (group)],AU$4)</f>
        <v>0</v>
      </c>
      <c r="AV85" s="1164">
        <f>SUMIFS(Table91517[Count of EnergyRating],Table91517[MainSpaceHeatingFuel],AL85,Table91517[EnergyRating (group)],AM85,Table91517[CountyName (group)],AV$4)</f>
        <v>0</v>
      </c>
      <c r="AW85" s="1164">
        <f>SUMIFS(Table91517[Count of EnergyRating],Table91517[MainSpaceHeatingFuel],AL85,Table91517[EnergyRating (group)],AM85,Table91517[CountyName (group)],AW$4)</f>
        <v>0</v>
      </c>
      <c r="AX85" s="1164">
        <f>SUMIFS(Table91517[Count of EnergyRating],Table91517[MainSpaceHeatingFuel],AL85,Table91517[EnergyRating (group)],AM85,Table91517[CountyName (group)],AX$4)</f>
        <v>0</v>
      </c>
      <c r="AY85" s="1164">
        <f>SUMIFS(Table91517[Count of EnergyRating],Table91517[MainSpaceHeatingFuel],AL85,Table91517[EnergyRating (group)],AM85,Table91517[CountyName (group)],AY$4)</f>
        <v>0</v>
      </c>
      <c r="AZ85" s="1164">
        <f>SUMIFS(Table91517[Count of EnergyRating],Table91517[MainSpaceHeatingFuel],AL85,Table91517[EnergyRating (group)],AM85,Table91517[CountyName (group)],AZ$4)</f>
        <v>0</v>
      </c>
      <c r="BA85" s="1164">
        <f>SUMIFS(Table91517[Count of EnergyRating],Table91517[MainSpaceHeatingFuel],AL85,Table91517[EnergyRating (group)],AM85,Table91517[CountyName (group)],BA$4)</f>
        <v>0</v>
      </c>
      <c r="BB85" s="1164">
        <f>SUMIFS(Table91517[Count of EnergyRating],Table91517[MainSpaceHeatingFuel],AL85,Table91517[EnergyRating (group)],AM85,Table91517[CountyName (group)],BB$4)</f>
        <v>0</v>
      </c>
      <c r="BC85" s="1164">
        <f>SUMIFS(Table91517[Count of EnergyRating],Table91517[MainSpaceHeatingFuel],AL85,Table91517[EnergyRating (group)],AM85,Table91517[CountyName (group)],BC$4)</f>
        <v>0</v>
      </c>
      <c r="BD85" s="1164">
        <f>SUMIFS(Table91517[Count of EnergyRating],Table91517[MainSpaceHeatingFuel],AL85,Table91517[EnergyRating (group)],AM85,Table91517[CountyName (group)],BD$4)</f>
        <v>0</v>
      </c>
      <c r="BE85" s="1164">
        <f>SUMIFS(Table91517[Count of EnergyRating],Table91517[MainSpaceHeatingFuel],AL85,Table91517[EnergyRating (group)],AM85,Table91517[CountyName (group)],BE$4)</f>
        <v>0</v>
      </c>
      <c r="BF85" s="1164">
        <f>SUMIFS(Table91517[Count of EnergyRating],Table91517[MainSpaceHeatingFuel],AL85,Table91517[EnergyRating (group)],AM85,Table91517[CountyName (group)],BF$4)</f>
        <v>1</v>
      </c>
      <c r="BG85" s="1164">
        <f>SUMIFS(Table91517[Count of EnergyRating],Table91517[MainSpaceHeatingFuel],AL85,Table91517[EnergyRating (group)],AM85,Table91517[CountyName (group)],BG$4)</f>
        <v>0</v>
      </c>
      <c r="BH85" s="1164">
        <f>SUMIFS(Table91517[Count of EnergyRating],Table91517[MainSpaceHeatingFuel],AL85,Table91517[EnergyRating (group)],AM85,Table91517[CountyName (group)],BH$4)</f>
        <v>0</v>
      </c>
      <c r="BI85" s="1164">
        <f>SUMIFS(Table91517[Count of EnergyRating],Table91517[MainSpaceHeatingFuel],AL85,Table91517[EnergyRating (group)],AM85,Table91517[CountyName (group)],BI$4)</f>
        <v>0</v>
      </c>
      <c r="BJ85" s="1164">
        <f>SUMIFS(Table91517[Count of EnergyRating],Table91517[MainSpaceHeatingFuel],AL85,Table91517[EnergyRating (group)],AM85,Table91517[CountyName (group)],BJ$4)</f>
        <v>0</v>
      </c>
      <c r="BK85" s="1135">
        <f>SUMIFS(Table91517[Count of EnergyRating],Table91517[MainSpaceHeatingFuel],AL85,Table91517[EnergyRating (group)],AM85,Table91517[CountyName (group)],BK$4)</f>
        <v>0</v>
      </c>
      <c r="BL85" s="1164">
        <f>SUMIFS(Table91517[Count of EnergyRating],Table91517[MainSpaceHeatingFuel],AL85,Table91517[EnergyRating (group)],AM85,Table91517[CountyName (group)],BL$4)</f>
        <v>1</v>
      </c>
      <c r="BM85" s="1164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65"/>
      <c r="C86" s="1165" t="s">
        <v>1246</v>
      </c>
      <c r="D86" s="1165" t="s">
        <v>1094</v>
      </c>
      <c r="E86" s="1166">
        <f t="shared" ref="E86:AD86" si="271">G200</f>
        <v>3.2597333058773111E-2</v>
      </c>
      <c r="F86" s="1166">
        <f t="shared" si="271"/>
        <v>0.16923716738041328</v>
      </c>
      <c r="G86" s="1166">
        <f t="shared" si="271"/>
        <v>9.1323470393679038E-2</v>
      </c>
      <c r="H86" s="1166">
        <f t="shared" si="271"/>
        <v>6.2956735927788943E-2</v>
      </c>
      <c r="I86" s="1166">
        <f t="shared" si="271"/>
        <v>4.9107267315324839E-2</v>
      </c>
      <c r="J86" s="1166">
        <f t="shared" si="271"/>
        <v>2.9288190262527072E-2</v>
      </c>
      <c r="K86" s="1166">
        <f t="shared" si="271"/>
        <v>5.6855432966948567E-2</v>
      </c>
      <c r="L86" s="1166">
        <f t="shared" si="271"/>
        <v>0.10343658382180383</v>
      </c>
      <c r="M86" s="1166">
        <f t="shared" si="271"/>
        <v>4.8114574908895126E-2</v>
      </c>
      <c r="N86" s="1166">
        <f t="shared" si="271"/>
        <v>5.0696355511958835E-2</v>
      </c>
      <c r="O86" s="1166">
        <f t="shared" si="271"/>
        <v>0.10209312255801191</v>
      </c>
      <c r="P86" s="1166">
        <f t="shared" si="271"/>
        <v>6.7893491488137572E-2</v>
      </c>
      <c r="Q86" s="1166">
        <f t="shared" si="271"/>
        <v>7.901918677333028E-2</v>
      </c>
      <c r="R86" s="1166">
        <f t="shared" si="271"/>
        <v>0.2673197571870764</v>
      </c>
      <c r="S86" s="1166">
        <f t="shared" si="271"/>
        <v>0.10962179474471791</v>
      </c>
      <c r="T86" s="1166">
        <f t="shared" si="271"/>
        <v>9.8695490251158841E-2</v>
      </c>
      <c r="U86" s="1166">
        <f t="shared" si="271"/>
        <v>0.1053680795481195</v>
      </c>
      <c r="V86" s="1166">
        <f t="shared" si="271"/>
        <v>5.7687045933506056E-2</v>
      </c>
      <c r="W86" s="1166">
        <f t="shared" si="271"/>
        <v>0.16686675946836288</v>
      </c>
      <c r="X86" s="1166">
        <f t="shared" si="271"/>
        <v>2.7426590564820452E-2</v>
      </c>
      <c r="Y86" s="1166">
        <f t="shared" si="271"/>
        <v>0.10456729137528355</v>
      </c>
      <c r="Z86" s="1166">
        <f t="shared" si="271"/>
        <v>5.4487555207293557E-2</v>
      </c>
      <c r="AA86" s="1166">
        <f t="shared" si="271"/>
        <v>4.3678702854422428E-2</v>
      </c>
      <c r="AB86" s="1166">
        <f t="shared" si="271"/>
        <v>5.4604726807954501E-2</v>
      </c>
      <c r="AC86" s="1166">
        <f t="shared" si="271"/>
        <v>0.12276645771250043</v>
      </c>
      <c r="AD86" s="1166">
        <f t="shared" si="271"/>
        <v>4.2656797978913183E-2</v>
      </c>
      <c r="AE86" s="1175">
        <f t="shared" si="240"/>
        <v>2.1983659620017222</v>
      </c>
      <c r="AG86" s="1164"/>
      <c r="AL86" s="1144" t="s">
        <v>420</v>
      </c>
      <c r="AM86" s="1144" t="s">
        <v>50</v>
      </c>
      <c r="AN86" s="1157">
        <f>SUMIFS(Table91517[Count of EnergyRating],Table91517[MainSpaceHeatingFuel],AL86,Table91517[EnergyRating (group)],AM86,Table91517[CountyName (group)],AN$4)</f>
        <v>0</v>
      </c>
      <c r="AO86" s="1164">
        <f>SUMIFS(Table91517[Count of EnergyRating],Table91517[MainSpaceHeatingFuel],AL86,Table91517[EnergyRating (group)],AM86,Table91517[CountyName (group)],AO$4)</f>
        <v>0</v>
      </c>
      <c r="AP86" s="1164">
        <f>SUMIFS(Table91517[Count of EnergyRating],Table91517[MainSpaceHeatingFuel],AL86,Table91517[EnergyRating (group)],AM86,Table91517[CountyName (group)],AP$4)</f>
        <v>0</v>
      </c>
      <c r="AQ86" s="1164">
        <f>SUMIFS(Table91517[Count of EnergyRating],Table91517[MainSpaceHeatingFuel],AL86,Table91517[EnergyRating (group)],AM86,Table91517[CountyName (group)],AQ$4)</f>
        <v>0</v>
      </c>
      <c r="AR86" s="1164">
        <f>SUMIFS(Table91517[Count of EnergyRating],Table91517[MainSpaceHeatingFuel],AL86,Table91517[EnergyRating (group)],AM86,Table91517[CountyName (group)],AR$4)</f>
        <v>0</v>
      </c>
      <c r="AS86" s="1164">
        <f>SUMIFS(Table91517[Count of EnergyRating],Table91517[MainSpaceHeatingFuel],AL86,Table91517[EnergyRating (group)],AM86,Table91517[CountyName (group)],AS$4)</f>
        <v>0</v>
      </c>
      <c r="AT86" s="1164">
        <f>SUMIFS(Table91517[Count of EnergyRating],Table91517[MainSpaceHeatingFuel],AL86,Table91517[EnergyRating (group)],AM86,Table91517[CountyName (group)],AT$4)</f>
        <v>0</v>
      </c>
      <c r="AU86" s="1164">
        <f>SUMIFS(Table91517[Count of EnergyRating],Table91517[MainSpaceHeatingFuel],AL86,Table91517[EnergyRating (group)],AM86,Table91517[CountyName (group)],AU$4)</f>
        <v>0</v>
      </c>
      <c r="AV86" s="1164">
        <f>SUMIFS(Table91517[Count of EnergyRating],Table91517[MainSpaceHeatingFuel],AL86,Table91517[EnergyRating (group)],AM86,Table91517[CountyName (group)],AV$4)</f>
        <v>0</v>
      </c>
      <c r="AW86" s="1164">
        <f>SUMIFS(Table91517[Count of EnergyRating],Table91517[MainSpaceHeatingFuel],AL86,Table91517[EnergyRating (group)],AM86,Table91517[CountyName (group)],AW$4)</f>
        <v>0</v>
      </c>
      <c r="AX86" s="1164">
        <f>SUMIFS(Table91517[Count of EnergyRating],Table91517[MainSpaceHeatingFuel],AL86,Table91517[EnergyRating (group)],AM86,Table91517[CountyName (group)],AX$4)</f>
        <v>0</v>
      </c>
      <c r="AY86" s="1164">
        <f>SUMIFS(Table91517[Count of EnergyRating],Table91517[MainSpaceHeatingFuel],AL86,Table91517[EnergyRating (group)],AM86,Table91517[CountyName (group)],AY$4)</f>
        <v>0</v>
      </c>
      <c r="AZ86" s="1164">
        <f>SUMIFS(Table91517[Count of EnergyRating],Table91517[MainSpaceHeatingFuel],AL86,Table91517[EnergyRating (group)],AM86,Table91517[CountyName (group)],AZ$4)</f>
        <v>0</v>
      </c>
      <c r="BA86" s="1164">
        <f>SUMIFS(Table91517[Count of EnergyRating],Table91517[MainSpaceHeatingFuel],AL86,Table91517[EnergyRating (group)],AM86,Table91517[CountyName (group)],BA$4)</f>
        <v>0</v>
      </c>
      <c r="BB86" s="1164">
        <f>SUMIFS(Table91517[Count of EnergyRating],Table91517[MainSpaceHeatingFuel],AL86,Table91517[EnergyRating (group)],AM86,Table91517[CountyName (group)],BB$4)</f>
        <v>0</v>
      </c>
      <c r="BC86" s="1164">
        <f>SUMIFS(Table91517[Count of EnergyRating],Table91517[MainSpaceHeatingFuel],AL86,Table91517[EnergyRating (group)],AM86,Table91517[CountyName (group)],BC$4)</f>
        <v>0</v>
      </c>
      <c r="BD86" s="1164">
        <f>SUMIFS(Table91517[Count of EnergyRating],Table91517[MainSpaceHeatingFuel],AL86,Table91517[EnergyRating (group)],AM86,Table91517[CountyName (group)],BD$4)</f>
        <v>0</v>
      </c>
      <c r="BE86" s="1164">
        <f>SUMIFS(Table91517[Count of EnergyRating],Table91517[MainSpaceHeatingFuel],AL86,Table91517[EnergyRating (group)],AM86,Table91517[CountyName (group)],BE$4)</f>
        <v>0</v>
      </c>
      <c r="BF86" s="1164">
        <f>SUMIFS(Table91517[Count of EnergyRating],Table91517[MainSpaceHeatingFuel],AL86,Table91517[EnergyRating (group)],AM86,Table91517[CountyName (group)],BF$4)</f>
        <v>0</v>
      </c>
      <c r="BG86" s="1164">
        <f>SUMIFS(Table91517[Count of EnergyRating],Table91517[MainSpaceHeatingFuel],AL86,Table91517[EnergyRating (group)],AM86,Table91517[CountyName (group)],BG$4)</f>
        <v>0</v>
      </c>
      <c r="BH86" s="1164">
        <f>SUMIFS(Table91517[Count of EnergyRating],Table91517[MainSpaceHeatingFuel],AL86,Table91517[EnergyRating (group)],AM86,Table91517[CountyName (group)],BH$4)</f>
        <v>1</v>
      </c>
      <c r="BI86" s="1164">
        <f>SUMIFS(Table91517[Count of EnergyRating],Table91517[MainSpaceHeatingFuel],AL86,Table91517[EnergyRating (group)],AM86,Table91517[CountyName (group)],BI$4)</f>
        <v>1</v>
      </c>
      <c r="BJ86" s="1164">
        <f>SUMIFS(Table91517[Count of EnergyRating],Table91517[MainSpaceHeatingFuel],AL86,Table91517[EnergyRating (group)],AM86,Table91517[CountyName (group)],BJ$4)</f>
        <v>1</v>
      </c>
      <c r="BK86" s="1135">
        <f>SUMIFS(Table91517[Count of EnergyRating],Table91517[MainSpaceHeatingFuel],AL86,Table91517[EnergyRating (group)],AM86,Table91517[CountyName (group)],BK$4)</f>
        <v>0</v>
      </c>
      <c r="BL86" s="1164">
        <f>SUMIFS(Table91517[Count of EnergyRating],Table91517[MainSpaceHeatingFuel],AL86,Table91517[EnergyRating (group)],AM86,Table91517[CountyName (group)],BL$4)</f>
        <v>0</v>
      </c>
      <c r="BM86" s="1164">
        <f>SUMIFS(Table91517[Count of EnergyRating],Table91517[MainSpaceHeatingFuel],AL86,Table91517[EnergyRating (group)],AM86,Table91517[CountyName (group)],BM$4)</f>
        <v>0</v>
      </c>
    </row>
    <row r="87" spans="2:65" ht="15">
      <c r="B87" s="1137"/>
      <c r="C87" s="1137" t="s">
        <v>1219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G87" s="1164"/>
      <c r="AL87" s="1144" t="s">
        <v>420</v>
      </c>
      <c r="AM87" s="1144" t="s">
        <v>52</v>
      </c>
      <c r="AN87" s="1157">
        <f>SUMIFS(Table91517[Count of EnergyRating],Table91517[MainSpaceHeatingFuel],AL87,Table91517[EnergyRating (group)],AM87,Table91517[CountyName (group)],AN$4)</f>
        <v>0</v>
      </c>
      <c r="AO87" s="1164">
        <f>SUMIFS(Table91517[Count of EnergyRating],Table91517[MainSpaceHeatingFuel],AL87,Table91517[EnergyRating (group)],AM87,Table91517[CountyName (group)],AO$4)</f>
        <v>0</v>
      </c>
      <c r="AP87" s="1164">
        <f>SUMIFS(Table91517[Count of EnergyRating],Table91517[MainSpaceHeatingFuel],AL87,Table91517[EnergyRating (group)],AM87,Table91517[CountyName (group)],AP$4)</f>
        <v>0</v>
      </c>
      <c r="AQ87" s="1164">
        <f>SUMIFS(Table91517[Count of EnergyRating],Table91517[MainSpaceHeatingFuel],AL87,Table91517[EnergyRating (group)],AM87,Table91517[CountyName (group)],AQ$4)</f>
        <v>0</v>
      </c>
      <c r="AR87" s="1164">
        <f>SUMIFS(Table91517[Count of EnergyRating],Table91517[MainSpaceHeatingFuel],AL87,Table91517[EnergyRating (group)],AM87,Table91517[CountyName (group)],AR$4)</f>
        <v>0</v>
      </c>
      <c r="AS87" s="1164">
        <f>SUMIFS(Table91517[Count of EnergyRating],Table91517[MainSpaceHeatingFuel],AL87,Table91517[EnergyRating (group)],AM87,Table91517[CountyName (group)],AS$4)</f>
        <v>0</v>
      </c>
      <c r="AT87" s="1164">
        <f>SUMIFS(Table91517[Count of EnergyRating],Table91517[MainSpaceHeatingFuel],AL87,Table91517[EnergyRating (group)],AM87,Table91517[CountyName (group)],AT$4)</f>
        <v>0</v>
      </c>
      <c r="AU87" s="1164">
        <f>SUMIFS(Table91517[Count of EnergyRating],Table91517[MainSpaceHeatingFuel],AL87,Table91517[EnergyRating (group)],AM87,Table91517[CountyName (group)],AU$4)</f>
        <v>0</v>
      </c>
      <c r="AV87" s="1164">
        <f>SUMIFS(Table91517[Count of EnergyRating],Table91517[MainSpaceHeatingFuel],AL87,Table91517[EnergyRating (group)],AM87,Table91517[CountyName (group)],AV$4)</f>
        <v>1</v>
      </c>
      <c r="AW87" s="1164">
        <f>SUMIFS(Table91517[Count of EnergyRating],Table91517[MainSpaceHeatingFuel],AL87,Table91517[EnergyRating (group)],AM87,Table91517[CountyName (group)],AW$4)</f>
        <v>2</v>
      </c>
      <c r="AX87" s="1164">
        <f>SUMIFS(Table91517[Count of EnergyRating],Table91517[MainSpaceHeatingFuel],AL87,Table91517[EnergyRating (group)],AM87,Table91517[CountyName (group)],AX$4)</f>
        <v>0</v>
      </c>
      <c r="AY87" s="1164">
        <f>SUMIFS(Table91517[Count of EnergyRating],Table91517[MainSpaceHeatingFuel],AL87,Table91517[EnergyRating (group)],AM87,Table91517[CountyName (group)],AY$4)</f>
        <v>0</v>
      </c>
      <c r="AZ87" s="1164">
        <f>SUMIFS(Table91517[Count of EnergyRating],Table91517[MainSpaceHeatingFuel],AL87,Table91517[EnergyRating (group)],AM87,Table91517[CountyName (group)],AZ$4)</f>
        <v>2</v>
      </c>
      <c r="BA87" s="1164">
        <f>SUMIFS(Table91517[Count of EnergyRating],Table91517[MainSpaceHeatingFuel],AL87,Table91517[EnergyRating (group)],AM87,Table91517[CountyName (group)],BA$4)</f>
        <v>1</v>
      </c>
      <c r="BB87" s="1164">
        <f>SUMIFS(Table91517[Count of EnergyRating],Table91517[MainSpaceHeatingFuel],AL87,Table91517[EnergyRating (group)],AM87,Table91517[CountyName (group)],BB$4)</f>
        <v>0</v>
      </c>
      <c r="BC87" s="1164">
        <f>SUMIFS(Table91517[Count of EnergyRating],Table91517[MainSpaceHeatingFuel],AL87,Table91517[EnergyRating (group)],AM87,Table91517[CountyName (group)],BC$4)</f>
        <v>0</v>
      </c>
      <c r="BD87" s="1164">
        <f>SUMIFS(Table91517[Count of EnergyRating],Table91517[MainSpaceHeatingFuel],AL87,Table91517[EnergyRating (group)],AM87,Table91517[CountyName (group)],BD$4)</f>
        <v>0</v>
      </c>
      <c r="BE87" s="1164">
        <f>SUMIFS(Table91517[Count of EnergyRating],Table91517[MainSpaceHeatingFuel],AL87,Table91517[EnergyRating (group)],AM87,Table91517[CountyName (group)],BE$4)</f>
        <v>0</v>
      </c>
      <c r="BF87" s="1164">
        <f>SUMIFS(Table91517[Count of EnergyRating],Table91517[MainSpaceHeatingFuel],AL87,Table91517[EnergyRating (group)],AM87,Table91517[CountyName (group)],BF$4)</f>
        <v>2</v>
      </c>
      <c r="BG87" s="1164">
        <f>SUMIFS(Table91517[Count of EnergyRating],Table91517[MainSpaceHeatingFuel],AL87,Table91517[EnergyRating (group)],AM87,Table91517[CountyName (group)],BG$4)</f>
        <v>0</v>
      </c>
      <c r="BH87" s="1164">
        <f>SUMIFS(Table91517[Count of EnergyRating],Table91517[MainSpaceHeatingFuel],AL87,Table91517[EnergyRating (group)],AM87,Table91517[CountyName (group)],BH$4)</f>
        <v>2</v>
      </c>
      <c r="BI87" s="1164">
        <f>SUMIFS(Table91517[Count of EnergyRating],Table91517[MainSpaceHeatingFuel],AL87,Table91517[EnergyRating (group)],AM87,Table91517[CountyName (group)],BI$4)</f>
        <v>0</v>
      </c>
      <c r="BJ87" s="1164">
        <f>SUMIFS(Table91517[Count of EnergyRating],Table91517[MainSpaceHeatingFuel],AL87,Table91517[EnergyRating (group)],AM87,Table91517[CountyName (group)],BJ$4)</f>
        <v>0</v>
      </c>
      <c r="BK87" s="1135">
        <f>SUMIFS(Table91517[Count of EnergyRating],Table91517[MainSpaceHeatingFuel],AL87,Table91517[EnergyRating (group)],AM87,Table91517[CountyName (group)],BK$4)</f>
        <v>0</v>
      </c>
      <c r="BL87" s="1164">
        <f>SUMIFS(Table91517[Count of EnergyRating],Table91517[MainSpaceHeatingFuel],AL87,Table91517[EnergyRating (group)],AM87,Table91517[CountyName (group)],BL$4)</f>
        <v>0</v>
      </c>
      <c r="BM87" s="1164">
        <f>SUMIFS(Table91517[Count of EnergyRating],Table91517[MainSpaceHeatingFuel],AL87,Table91517[EnergyRating (group)],AM87,Table91517[CountyName (group)],BM$4)</f>
        <v>0</v>
      </c>
    </row>
    <row r="88" spans="2:65">
      <c r="B88" s="1134" t="s">
        <v>1259</v>
      </c>
      <c r="C88" s="1134" t="s">
        <v>1247</v>
      </c>
      <c r="D88" s="1134" t="s">
        <v>1094</v>
      </c>
      <c r="E88" s="1145">
        <f t="shared" ref="E88:AD88" si="272">IFERROR(G202*((SUM(AN$85:AN$88)/SUM(AN$85:AN$93))/(SUM(G$202)/SUM(G$202:G$207))),G202)</f>
        <v>0</v>
      </c>
      <c r="F88" s="1145">
        <f t="shared" si="272"/>
        <v>4.7332039859160804E-2</v>
      </c>
      <c r="G88" s="1145">
        <f t="shared" si="272"/>
        <v>0</v>
      </c>
      <c r="H88" s="1145">
        <f t="shared" si="272"/>
        <v>0</v>
      </c>
      <c r="I88" s="1145">
        <f t="shared" si="272"/>
        <v>1.6804270158565135E-3</v>
      </c>
      <c r="J88" s="1145">
        <f t="shared" si="272"/>
        <v>1.0810832357808962E-3</v>
      </c>
      <c r="K88" s="1145">
        <f t="shared" si="272"/>
        <v>0</v>
      </c>
      <c r="L88" s="1145">
        <f t="shared" si="272"/>
        <v>0</v>
      </c>
      <c r="M88" s="1145">
        <f t="shared" si="272"/>
        <v>2.5538119091097853E-3</v>
      </c>
      <c r="N88" s="1145">
        <f t="shared" si="272"/>
        <v>5.3426960896734805E-3</v>
      </c>
      <c r="O88" s="1145">
        <f t="shared" si="272"/>
        <v>0</v>
      </c>
      <c r="P88" s="1145">
        <f t="shared" si="272"/>
        <v>0</v>
      </c>
      <c r="Q88" s="1145">
        <f t="shared" si="272"/>
        <v>4.1042834086055914E-3</v>
      </c>
      <c r="R88" s="1145">
        <f t="shared" si="272"/>
        <v>1.7453244101629177E-2</v>
      </c>
      <c r="S88" s="1145">
        <f t="shared" si="272"/>
        <v>3.8323608509018333E-3</v>
      </c>
      <c r="T88" s="1145">
        <f t="shared" si="272"/>
        <v>0</v>
      </c>
      <c r="U88" s="1145">
        <f t="shared" si="272"/>
        <v>5.6269244007082766E-3</v>
      </c>
      <c r="V88" s="1145">
        <f t="shared" si="272"/>
        <v>0</v>
      </c>
      <c r="W88" s="1145">
        <f t="shared" si="272"/>
        <v>1.1490494937622888E-2</v>
      </c>
      <c r="X88" s="1145">
        <f t="shared" si="272"/>
        <v>0</v>
      </c>
      <c r="Y88" s="1145">
        <f t="shared" si="272"/>
        <v>6.6481004578056039E-3</v>
      </c>
      <c r="Z88" s="1145">
        <f t="shared" si="272"/>
        <v>3.3086788995912763E-3</v>
      </c>
      <c r="AA88" s="1145">
        <f t="shared" si="272"/>
        <v>1.6456794472433092E-3</v>
      </c>
      <c r="AB88" s="1145">
        <f t="shared" si="272"/>
        <v>0</v>
      </c>
      <c r="AC88" s="1145">
        <f t="shared" si="272"/>
        <v>3.0836421881496874E-3</v>
      </c>
      <c r="AD88" s="1145">
        <f t="shared" si="272"/>
        <v>0</v>
      </c>
      <c r="AE88" s="1172">
        <f t="shared" si="240"/>
        <v>0.11518346680183912</v>
      </c>
      <c r="AG88" s="1164"/>
      <c r="AL88" s="1144" t="s">
        <v>420</v>
      </c>
      <c r="AM88" s="1144" t="s">
        <v>54</v>
      </c>
      <c r="AN88" s="1157">
        <f>SUMIFS(Table91517[Count of EnergyRating],Table91517[MainSpaceHeatingFuel],AL88,Table91517[EnergyRating (group)],AM88,Table91517[CountyName (group)],AN$4)</f>
        <v>0</v>
      </c>
      <c r="AO88" s="1164">
        <f>SUMIFS(Table91517[Count of EnergyRating],Table91517[MainSpaceHeatingFuel],AL88,Table91517[EnergyRating (group)],AM88,Table91517[CountyName (group)],AO$4)</f>
        <v>1</v>
      </c>
      <c r="AP88" s="1164">
        <f>SUMIFS(Table91517[Count of EnergyRating],Table91517[MainSpaceHeatingFuel],AL88,Table91517[EnergyRating (group)],AM88,Table91517[CountyName (group)],AP$4)</f>
        <v>0</v>
      </c>
      <c r="AQ88" s="1164">
        <f>SUMIFS(Table91517[Count of EnergyRating],Table91517[MainSpaceHeatingFuel],AL88,Table91517[EnergyRating (group)],AM88,Table91517[CountyName (group)],AQ$4)</f>
        <v>0</v>
      </c>
      <c r="AR88" s="1164">
        <f>SUMIFS(Table91517[Count of EnergyRating],Table91517[MainSpaceHeatingFuel],AL88,Table91517[EnergyRating (group)],AM88,Table91517[CountyName (group)],AR$4)</f>
        <v>1</v>
      </c>
      <c r="AS88" s="1164">
        <f>SUMIFS(Table91517[Count of EnergyRating],Table91517[MainSpaceHeatingFuel],AL88,Table91517[EnergyRating (group)],AM88,Table91517[CountyName (group)],AS$4)</f>
        <v>1</v>
      </c>
      <c r="AT88" s="1164">
        <f>SUMIFS(Table91517[Count of EnergyRating],Table91517[MainSpaceHeatingFuel],AL88,Table91517[EnergyRating (group)],AM88,Table91517[CountyName (group)],AT$4)</f>
        <v>0</v>
      </c>
      <c r="AU88" s="1164">
        <f>SUMIFS(Table91517[Count of EnergyRating],Table91517[MainSpaceHeatingFuel],AL88,Table91517[EnergyRating (group)],AM88,Table91517[CountyName (group)],AU$4)</f>
        <v>0</v>
      </c>
      <c r="AV88" s="1164">
        <f>SUMIFS(Table91517[Count of EnergyRating],Table91517[MainSpaceHeatingFuel],AL88,Table91517[EnergyRating (group)],AM88,Table91517[CountyName (group)],AV$4)</f>
        <v>1</v>
      </c>
      <c r="AW88" s="1164">
        <f>SUMIFS(Table91517[Count of EnergyRating],Table91517[MainSpaceHeatingFuel],AL88,Table91517[EnergyRating (group)],AM88,Table91517[CountyName (group)],AW$4)</f>
        <v>1</v>
      </c>
      <c r="AX88" s="1164">
        <f>SUMIFS(Table91517[Count of EnergyRating],Table91517[MainSpaceHeatingFuel],AL88,Table91517[EnergyRating (group)],AM88,Table91517[CountyName (group)],AX$4)</f>
        <v>0</v>
      </c>
      <c r="AY88" s="1164">
        <f>SUMIFS(Table91517[Count of EnergyRating],Table91517[MainSpaceHeatingFuel],AL88,Table91517[EnergyRating (group)],AM88,Table91517[CountyName (group)],AY$4)</f>
        <v>0</v>
      </c>
      <c r="AZ88" s="1164">
        <f>SUMIFS(Table91517[Count of EnergyRating],Table91517[MainSpaceHeatingFuel],AL88,Table91517[EnergyRating (group)],AM88,Table91517[CountyName (group)],AZ$4)</f>
        <v>0</v>
      </c>
      <c r="BA88" s="1164">
        <f>SUMIFS(Table91517[Count of EnergyRating],Table91517[MainSpaceHeatingFuel],AL88,Table91517[EnergyRating (group)],AM88,Table91517[CountyName (group)],BA$4)</f>
        <v>3</v>
      </c>
      <c r="BB88" s="1164">
        <f>SUMIFS(Table91517[Count of EnergyRating],Table91517[MainSpaceHeatingFuel],AL88,Table91517[EnergyRating (group)],AM88,Table91517[CountyName (group)],BB$4)</f>
        <v>2</v>
      </c>
      <c r="BC88" s="1164">
        <f>SUMIFS(Table91517[Count of EnergyRating],Table91517[MainSpaceHeatingFuel],AL88,Table91517[EnergyRating (group)],AM88,Table91517[CountyName (group)],BC$4)</f>
        <v>0</v>
      </c>
      <c r="BD88" s="1164">
        <f>SUMIFS(Table91517[Count of EnergyRating],Table91517[MainSpaceHeatingFuel],AL88,Table91517[EnergyRating (group)],AM88,Table91517[CountyName (group)],BD$4)</f>
        <v>3</v>
      </c>
      <c r="BE88" s="1164">
        <f>SUMIFS(Table91517[Count of EnergyRating],Table91517[MainSpaceHeatingFuel],AL88,Table91517[EnergyRating (group)],AM88,Table91517[CountyName (group)],BE$4)</f>
        <v>0</v>
      </c>
      <c r="BF88" s="1164">
        <f>SUMIFS(Table91517[Count of EnergyRating],Table91517[MainSpaceHeatingFuel],AL88,Table91517[EnergyRating (group)],AM88,Table91517[CountyName (group)],BF$4)</f>
        <v>2</v>
      </c>
      <c r="BG88" s="1164">
        <f>SUMIFS(Table91517[Count of EnergyRating],Table91517[MainSpaceHeatingFuel],AL88,Table91517[EnergyRating (group)],AM88,Table91517[CountyName (group)],BG$4)</f>
        <v>0</v>
      </c>
      <c r="BH88" s="1164">
        <f>SUMIFS(Table91517[Count of EnergyRating],Table91517[MainSpaceHeatingFuel],AL88,Table91517[EnergyRating (group)],AM88,Table91517[CountyName (group)],BH$4)</f>
        <v>1</v>
      </c>
      <c r="BI88" s="1164">
        <f>SUMIFS(Table91517[Count of EnergyRating],Table91517[MainSpaceHeatingFuel],AL88,Table91517[EnergyRating (group)],AM88,Table91517[CountyName (group)],BI$4)</f>
        <v>1</v>
      </c>
      <c r="BJ88" s="1164">
        <f>SUMIFS(Table91517[Count of EnergyRating],Table91517[MainSpaceHeatingFuel],AL88,Table91517[EnergyRating (group)],AM88,Table91517[CountyName (group)],BJ$4)</f>
        <v>0</v>
      </c>
      <c r="BK88" s="1135">
        <f>SUMIFS(Table91517[Count of EnergyRating],Table91517[MainSpaceHeatingFuel],AL88,Table91517[EnergyRating (group)],AM88,Table91517[CountyName (group)],BK$4)</f>
        <v>0</v>
      </c>
      <c r="BL88" s="1164">
        <f>SUMIFS(Table91517[Count of EnergyRating],Table91517[MainSpaceHeatingFuel],AL88,Table91517[EnergyRating (group)],AM88,Table91517[CountyName (group)],BL$4)</f>
        <v>0</v>
      </c>
      <c r="BM88" s="1164">
        <f>SUMIFS(Table91517[Count of EnergyRating],Table91517[MainSpaceHeatingFuel],AL88,Table91517[EnergyRating (group)],AM88,Table91517[CountyName (group)],BM$4)</f>
        <v>0</v>
      </c>
    </row>
    <row r="89" spans="2:65">
      <c r="B89" s="1136" t="s">
        <v>56</v>
      </c>
      <c r="C89" s="1136" t="s">
        <v>1247</v>
      </c>
      <c r="D89" s="1136" t="s">
        <v>1094</v>
      </c>
      <c r="E89" s="1146">
        <f t="shared" ref="E89:AD89" si="273">IFERROR(G203*((SUM(AN$89)/SUM(AN$85:AN$93))/(SUM(G$203)/SUM(G$202:G$207))),G203)</f>
        <v>2.5083208212726264E-3</v>
      </c>
      <c r="F89" s="1146">
        <f t="shared" si="273"/>
        <v>9.4664079718321623E-2</v>
      </c>
      <c r="G89" s="1146">
        <f t="shared" si="273"/>
        <v>2.7216069313518748E-2</v>
      </c>
      <c r="H89" s="1146">
        <f t="shared" si="273"/>
        <v>3.9808625704543181E-2</v>
      </c>
      <c r="I89" s="1146">
        <f t="shared" si="273"/>
        <v>2.0165124190278168E-2</v>
      </c>
      <c r="J89" s="1146">
        <f t="shared" si="273"/>
        <v>8.6486658862471675E-3</v>
      </c>
      <c r="K89" s="1146">
        <f t="shared" si="273"/>
        <v>0</v>
      </c>
      <c r="L89" s="1146">
        <f t="shared" si="273"/>
        <v>1.3675534236942998E-2</v>
      </c>
      <c r="M89" s="1146">
        <f t="shared" si="273"/>
        <v>8.9383416818842477E-3</v>
      </c>
      <c r="N89" s="1146">
        <f t="shared" si="273"/>
        <v>1.4247189572462616E-2</v>
      </c>
      <c r="O89" s="1146">
        <f t="shared" si="273"/>
        <v>2.8159438855951766E-2</v>
      </c>
      <c r="P89" s="1146">
        <f t="shared" si="273"/>
        <v>2.254326676524733E-2</v>
      </c>
      <c r="Q89" s="1146">
        <f t="shared" si="273"/>
        <v>3.4886408973147529E-2</v>
      </c>
      <c r="R89" s="1146">
        <f t="shared" si="273"/>
        <v>6.9812976406516694E-2</v>
      </c>
      <c r="S89" s="1146">
        <f t="shared" si="273"/>
        <v>4.9820691061723828E-2</v>
      </c>
      <c r="T89" s="1146">
        <f t="shared" si="273"/>
        <v>3.0702837283699425E-2</v>
      </c>
      <c r="U89" s="1146">
        <f t="shared" si="273"/>
        <v>3.1885904937346908E-2</v>
      </c>
      <c r="V89" s="1146">
        <f t="shared" si="273"/>
        <v>1.0231216272664982E-2</v>
      </c>
      <c r="W89" s="1146">
        <f t="shared" si="273"/>
        <v>5.2856276713065281E-2</v>
      </c>
      <c r="X89" s="1146">
        <f t="shared" si="273"/>
        <v>1.1770022982527148E-2</v>
      </c>
      <c r="Y89" s="1146">
        <f t="shared" si="273"/>
        <v>3.4902527403479419E-2</v>
      </c>
      <c r="Z89" s="1146">
        <f t="shared" si="273"/>
        <v>1.1580376148569469E-2</v>
      </c>
      <c r="AA89" s="1146">
        <f t="shared" si="273"/>
        <v>1.6456794472433093E-2</v>
      </c>
      <c r="AB89" s="1146">
        <f t="shared" si="273"/>
        <v>2.992383927270258E-2</v>
      </c>
      <c r="AC89" s="1146">
        <f t="shared" si="273"/>
        <v>3.0836421881496871E-2</v>
      </c>
      <c r="AD89" s="1146">
        <f t="shared" si="273"/>
        <v>2.2477188493970828E-2</v>
      </c>
      <c r="AE89" s="1173">
        <f t="shared" si="240"/>
        <v>0.71871813905001447</v>
      </c>
      <c r="AG89" s="1164"/>
      <c r="AL89" s="1144" t="s">
        <v>420</v>
      </c>
      <c r="AM89" s="1144" t="s">
        <v>56</v>
      </c>
      <c r="AN89" s="1157">
        <f>SUMIFS(Table91517[Count of EnergyRating],Table91517[MainSpaceHeatingFuel],AL89,Table91517[EnergyRating (group)],AM89,Table91517[CountyName (group)],AN$4)</f>
        <v>1</v>
      </c>
      <c r="AO89" s="1164">
        <f>SUMIFS(Table91517[Count of EnergyRating],Table91517[MainSpaceHeatingFuel],AL89,Table91517[EnergyRating (group)],AM89,Table91517[CountyName (group)],AO$4)</f>
        <v>2</v>
      </c>
      <c r="AP89" s="1164">
        <f>SUMIFS(Table91517[Count of EnergyRating],Table91517[MainSpaceHeatingFuel],AL89,Table91517[EnergyRating (group)],AM89,Table91517[CountyName (group)],AP$4)</f>
        <v>5</v>
      </c>
      <c r="AQ89" s="1164">
        <f>SUMIFS(Table91517[Count of EnergyRating],Table91517[MainSpaceHeatingFuel],AL89,Table91517[EnergyRating (group)],AM89,Table91517[CountyName (group)],AQ$4)</f>
        <v>11</v>
      </c>
      <c r="AR89" s="1164">
        <f>SUMIFS(Table91517[Count of EnergyRating],Table91517[MainSpaceHeatingFuel],AL89,Table91517[EnergyRating (group)],AM89,Table91517[CountyName (group)],AR$4)</f>
        <v>12</v>
      </c>
      <c r="AS89" s="1164">
        <f>SUMIFS(Table91517[Count of EnergyRating],Table91517[MainSpaceHeatingFuel],AL89,Table91517[EnergyRating (group)],AM89,Table91517[CountyName (group)],AS$4)</f>
        <v>8</v>
      </c>
      <c r="AT89" s="1164">
        <f>SUMIFS(Table91517[Count of EnergyRating],Table91517[MainSpaceHeatingFuel],AL89,Table91517[EnergyRating (group)],AM89,Table91517[CountyName (group)],AT$4)</f>
        <v>0</v>
      </c>
      <c r="AU89" s="1164">
        <f>SUMIFS(Table91517[Count of EnergyRating],Table91517[MainSpaceHeatingFuel],AL89,Table91517[EnergyRating (group)],AM89,Table91517[CountyName (group)],AU$4)</f>
        <v>2</v>
      </c>
      <c r="AV89" s="1164">
        <f>SUMIFS(Table91517[Count of EnergyRating],Table91517[MainSpaceHeatingFuel],AL89,Table91517[EnergyRating (group)],AM89,Table91517[CountyName (group)],AV$4)</f>
        <v>7</v>
      </c>
      <c r="AW89" s="1164">
        <f>SUMIFS(Table91517[Count of EnergyRating],Table91517[MainSpaceHeatingFuel],AL89,Table91517[EnergyRating (group)],AM89,Table91517[CountyName (group)],AW$4)</f>
        <v>8</v>
      </c>
      <c r="AX89" s="1164">
        <f>SUMIFS(Table91517[Count of EnergyRating],Table91517[MainSpaceHeatingFuel],AL89,Table91517[EnergyRating (group)],AM89,Table91517[CountyName (group)],AX$4)</f>
        <v>11</v>
      </c>
      <c r="AY89" s="1164">
        <f>SUMIFS(Table91517[Count of EnergyRating],Table91517[MainSpaceHeatingFuel],AL89,Table91517[EnergyRating (group)],AM89,Table91517[CountyName (group)],AY$4)</f>
        <v>5</v>
      </c>
      <c r="AZ89" s="1164">
        <f>SUMIFS(Table91517[Count of EnergyRating],Table91517[MainSpaceHeatingFuel],AL89,Table91517[EnergyRating (group)],AM89,Table91517[CountyName (group)],AZ$4)</f>
        <v>17</v>
      </c>
      <c r="BA89" s="1164">
        <f>SUMIFS(Table91517[Count of EnergyRating],Table91517[MainSpaceHeatingFuel],AL89,Table91517[EnergyRating (group)],AM89,Table91517[CountyName (group)],BA$4)</f>
        <v>16</v>
      </c>
      <c r="BB89" s="1164">
        <f>SUMIFS(Table91517[Count of EnergyRating],Table91517[MainSpaceHeatingFuel],AL89,Table91517[EnergyRating (group)],AM89,Table91517[CountyName (group)],BB$4)</f>
        <v>26</v>
      </c>
      <c r="BC89" s="1164">
        <f>SUMIFS(Table91517[Count of EnergyRating],Table91517[MainSpaceHeatingFuel],AL89,Table91517[EnergyRating (group)],AM89,Table91517[CountyName (group)],BC$4)</f>
        <v>12</v>
      </c>
      <c r="BD89" s="1164">
        <f>SUMIFS(Table91517[Count of EnergyRating],Table91517[MainSpaceHeatingFuel],AL89,Table91517[EnergyRating (group)],AM89,Table91517[CountyName (group)],BD$4)</f>
        <v>17</v>
      </c>
      <c r="BE89" s="1164">
        <f>SUMIFS(Table91517[Count of EnergyRating],Table91517[MainSpaceHeatingFuel],AL89,Table91517[EnergyRating (group)],AM89,Table91517[CountyName (group)],BE$4)</f>
        <v>2</v>
      </c>
      <c r="BF89" s="1164">
        <f>SUMIFS(Table91517[Count of EnergyRating],Table91517[MainSpaceHeatingFuel],AL89,Table91517[EnergyRating (group)],AM89,Table91517[CountyName (group)],BF$4)</f>
        <v>23</v>
      </c>
      <c r="BG89" s="1164">
        <f>SUMIFS(Table91517[Count of EnergyRating],Table91517[MainSpaceHeatingFuel],AL89,Table91517[EnergyRating (group)],AM89,Table91517[CountyName (group)],BG$4)</f>
        <v>9</v>
      </c>
      <c r="BH89" s="1164">
        <f>SUMIFS(Table91517[Count of EnergyRating],Table91517[MainSpaceHeatingFuel],AL89,Table91517[EnergyRating (group)],AM89,Table91517[CountyName (group)],BH$4)</f>
        <v>21</v>
      </c>
      <c r="BI89" s="1164">
        <f>SUMIFS(Table91517[Count of EnergyRating],Table91517[MainSpaceHeatingFuel],AL89,Table91517[EnergyRating (group)],AM89,Table91517[CountyName (group)],BI$4)</f>
        <v>7</v>
      </c>
      <c r="BJ89" s="1164">
        <f>SUMIFS(Table91517[Count of EnergyRating],Table91517[MainSpaceHeatingFuel],AL89,Table91517[EnergyRating (group)],AM89,Table91517[CountyName (group)],BJ$4)</f>
        <v>10</v>
      </c>
      <c r="BK89" s="1135">
        <f>SUMIFS(Table91517[Count of EnergyRating],Table91517[MainSpaceHeatingFuel],AL89,Table91517[EnergyRating (group)],AM89,Table91517[CountyName (group)],BK$4)</f>
        <v>13</v>
      </c>
      <c r="BL89" s="1164">
        <f>SUMIFS(Table91517[Count of EnergyRating],Table91517[MainSpaceHeatingFuel],AL89,Table91517[EnergyRating (group)],AM89,Table91517[CountyName (group)],BL$4)</f>
        <v>10</v>
      </c>
      <c r="BM89" s="1164">
        <f>SUMIFS(Table91517[Count of EnergyRating],Table91517[MainSpaceHeatingFuel],AL89,Table91517[EnergyRating (group)],AM89,Table91517[CountyName (group)],BM$4)</f>
        <v>5</v>
      </c>
    </row>
    <row r="90" spans="2:65">
      <c r="B90" s="1134" t="s">
        <v>58</v>
      </c>
      <c r="C90" s="1134" t="s">
        <v>1247</v>
      </c>
      <c r="D90" s="1134" t="s">
        <v>1094</v>
      </c>
      <c r="E90" s="1145">
        <f t="shared" ref="E90:AD90" si="274">IFERROR(G204*((SUM(AN$90)/SUM(AN$85:AN$93))/(SUM(G$204)/SUM(G$202:G$207))),G204)</f>
        <v>4.5149774782907284E-2</v>
      </c>
      <c r="F90" s="1145">
        <f t="shared" si="274"/>
        <v>9.4664079718321623E-2</v>
      </c>
      <c r="G90" s="1145">
        <f t="shared" si="274"/>
        <v>9.2534635665963719E-2</v>
      </c>
      <c r="H90" s="1145">
        <f t="shared" si="274"/>
        <v>0.12666380905991012</v>
      </c>
      <c r="I90" s="1145">
        <f t="shared" si="274"/>
        <v>7.2258361681830099E-2</v>
      </c>
      <c r="J90" s="1145">
        <f t="shared" si="274"/>
        <v>3.7837913252331365E-2</v>
      </c>
      <c r="K90" s="1145">
        <f t="shared" si="274"/>
        <v>7.1901334047782789E-2</v>
      </c>
      <c r="L90" s="1145">
        <f t="shared" si="274"/>
        <v>0.10940427389554398</v>
      </c>
      <c r="M90" s="1145">
        <f t="shared" si="274"/>
        <v>0.11109081804627566</v>
      </c>
      <c r="N90" s="1145">
        <f t="shared" si="274"/>
        <v>9.6168529614122644E-2</v>
      </c>
      <c r="O90" s="1145">
        <f t="shared" si="274"/>
        <v>0.26367474565118471</v>
      </c>
      <c r="P90" s="1145">
        <f t="shared" si="274"/>
        <v>9.0173067060989306E-2</v>
      </c>
      <c r="Q90" s="1145">
        <f t="shared" si="274"/>
        <v>8.8242093285020237E-2</v>
      </c>
      <c r="R90" s="1145">
        <f t="shared" si="274"/>
        <v>0.36651812613421264</v>
      </c>
      <c r="S90" s="1145">
        <f t="shared" si="274"/>
        <v>0.21461220765050262</v>
      </c>
      <c r="T90" s="1145">
        <f t="shared" si="274"/>
        <v>0.14072133755028904</v>
      </c>
      <c r="U90" s="1145">
        <f t="shared" si="274"/>
        <v>0.17255901495505382</v>
      </c>
      <c r="V90" s="1145">
        <f t="shared" si="274"/>
        <v>0.12789020340831225</v>
      </c>
      <c r="W90" s="1145">
        <f t="shared" si="274"/>
        <v>0.24130039369008061</v>
      </c>
      <c r="X90" s="1145">
        <f t="shared" si="274"/>
        <v>3.4002288616189535E-2</v>
      </c>
      <c r="Y90" s="1145">
        <f t="shared" si="274"/>
        <v>0.1711885867884943</v>
      </c>
      <c r="Z90" s="1145">
        <f t="shared" si="274"/>
        <v>5.7901880742847342E-2</v>
      </c>
      <c r="AA90" s="1145">
        <f t="shared" si="274"/>
        <v>8.2283972362165447E-2</v>
      </c>
      <c r="AB90" s="1145">
        <f t="shared" si="274"/>
        <v>6.445134612582093E-2</v>
      </c>
      <c r="AC90" s="1145">
        <f t="shared" si="274"/>
        <v>0.23744044848752596</v>
      </c>
      <c r="AD90" s="1145">
        <f t="shared" si="274"/>
        <v>0.12587225556623666</v>
      </c>
      <c r="AE90" s="1172">
        <f t="shared" si="240"/>
        <v>3.3365054978399145</v>
      </c>
      <c r="AG90" s="1164"/>
      <c r="AL90" s="1144" t="s">
        <v>420</v>
      </c>
      <c r="AM90" s="1144" t="s">
        <v>58</v>
      </c>
      <c r="AN90" s="1157">
        <f>SUMIFS(Table91517[Count of EnergyRating],Table91517[MainSpaceHeatingFuel],AL90,Table91517[EnergyRating (group)],AM90,Table91517[CountyName (group)],AN$4)</f>
        <v>18</v>
      </c>
      <c r="AO90" s="1164">
        <f>SUMIFS(Table91517[Count of EnergyRating],Table91517[MainSpaceHeatingFuel],AL90,Table91517[EnergyRating (group)],AM90,Table91517[CountyName (group)],AO$4)</f>
        <v>2</v>
      </c>
      <c r="AP90" s="1164">
        <f>SUMIFS(Table91517[Count of EnergyRating],Table91517[MainSpaceHeatingFuel],AL90,Table91517[EnergyRating (group)],AM90,Table91517[CountyName (group)],AP$4)</f>
        <v>17</v>
      </c>
      <c r="AQ90" s="1164">
        <f>SUMIFS(Table91517[Count of EnergyRating],Table91517[MainSpaceHeatingFuel],AL90,Table91517[EnergyRating (group)],AM90,Table91517[CountyName (group)],AQ$4)</f>
        <v>35</v>
      </c>
      <c r="AR90" s="1164">
        <f>SUMIFS(Table91517[Count of EnergyRating],Table91517[MainSpaceHeatingFuel],AL90,Table91517[EnergyRating (group)],AM90,Table91517[CountyName (group)],AR$4)</f>
        <v>43</v>
      </c>
      <c r="AS90" s="1164">
        <f>SUMIFS(Table91517[Count of EnergyRating],Table91517[MainSpaceHeatingFuel],AL90,Table91517[EnergyRating (group)],AM90,Table91517[CountyName (group)],AS$4)</f>
        <v>35</v>
      </c>
      <c r="AT90" s="1164">
        <f>SUMIFS(Table91517[Count of EnergyRating],Table91517[MainSpaceHeatingFuel],AL90,Table91517[EnergyRating (group)],AM90,Table91517[CountyName (group)],AT$4)</f>
        <v>6</v>
      </c>
      <c r="AU90" s="1164">
        <f>SUMIFS(Table91517[Count of EnergyRating],Table91517[MainSpaceHeatingFuel],AL90,Table91517[EnergyRating (group)],AM90,Table91517[CountyName (group)],AU$4)</f>
        <v>16</v>
      </c>
      <c r="AV90" s="1164">
        <f>SUMIFS(Table91517[Count of EnergyRating],Table91517[MainSpaceHeatingFuel],AL90,Table91517[EnergyRating (group)],AM90,Table91517[CountyName (group)],AV$4)</f>
        <v>87</v>
      </c>
      <c r="AW90" s="1164">
        <f>SUMIFS(Table91517[Count of EnergyRating],Table91517[MainSpaceHeatingFuel],AL90,Table91517[EnergyRating (group)],AM90,Table91517[CountyName (group)],AW$4)</f>
        <v>54</v>
      </c>
      <c r="AX90" s="1164">
        <f>SUMIFS(Table91517[Count of EnergyRating],Table91517[MainSpaceHeatingFuel],AL90,Table91517[EnergyRating (group)],AM90,Table91517[CountyName (group)],AX$4)</f>
        <v>103</v>
      </c>
      <c r="AY90" s="1164">
        <f>SUMIFS(Table91517[Count of EnergyRating],Table91517[MainSpaceHeatingFuel],AL90,Table91517[EnergyRating (group)],AM90,Table91517[CountyName (group)],AY$4)</f>
        <v>20</v>
      </c>
      <c r="AZ90" s="1164">
        <f>SUMIFS(Table91517[Count of EnergyRating],Table91517[MainSpaceHeatingFuel],AL90,Table91517[EnergyRating (group)],AM90,Table91517[CountyName (group)],AZ$4)</f>
        <v>43</v>
      </c>
      <c r="BA90" s="1164">
        <f>SUMIFS(Table91517[Count of EnergyRating],Table91517[MainSpaceHeatingFuel],AL90,Table91517[EnergyRating (group)],AM90,Table91517[CountyName (group)],BA$4)</f>
        <v>84</v>
      </c>
      <c r="BB90" s="1164">
        <f>SUMIFS(Table91517[Count of EnergyRating],Table91517[MainSpaceHeatingFuel],AL90,Table91517[EnergyRating (group)],AM90,Table91517[CountyName (group)],BB$4)</f>
        <v>112</v>
      </c>
      <c r="BC90" s="1164">
        <f>SUMIFS(Table91517[Count of EnergyRating],Table91517[MainSpaceHeatingFuel],AL90,Table91517[EnergyRating (group)],AM90,Table91517[CountyName (group)],BC$4)</f>
        <v>55</v>
      </c>
      <c r="BD90" s="1164">
        <f>SUMIFS(Table91517[Count of EnergyRating],Table91517[MainSpaceHeatingFuel],AL90,Table91517[EnergyRating (group)],AM90,Table91517[CountyName (group)],BD$4)</f>
        <v>92</v>
      </c>
      <c r="BE90" s="1164">
        <f>SUMIFS(Table91517[Count of EnergyRating],Table91517[MainSpaceHeatingFuel],AL90,Table91517[EnergyRating (group)],AM90,Table91517[CountyName (group)],BE$4)</f>
        <v>25</v>
      </c>
      <c r="BF90" s="1164">
        <f>SUMIFS(Table91517[Count of EnergyRating],Table91517[MainSpaceHeatingFuel],AL90,Table91517[EnergyRating (group)],AM90,Table91517[CountyName (group)],BF$4)</f>
        <v>105</v>
      </c>
      <c r="BG90" s="1164">
        <f>SUMIFS(Table91517[Count of EnergyRating],Table91517[MainSpaceHeatingFuel],AL90,Table91517[EnergyRating (group)],AM90,Table91517[CountyName (group)],BG$4)</f>
        <v>26</v>
      </c>
      <c r="BH90" s="1164">
        <f>SUMIFS(Table91517[Count of EnergyRating],Table91517[MainSpaceHeatingFuel],AL90,Table91517[EnergyRating (group)],AM90,Table91517[CountyName (group)],BH$4)</f>
        <v>103</v>
      </c>
      <c r="BI90" s="1164">
        <f>SUMIFS(Table91517[Count of EnergyRating],Table91517[MainSpaceHeatingFuel],AL90,Table91517[EnergyRating (group)],AM90,Table91517[CountyName (group)],BI$4)</f>
        <v>35</v>
      </c>
      <c r="BJ90" s="1164">
        <f>SUMIFS(Table91517[Count of EnergyRating],Table91517[MainSpaceHeatingFuel],AL90,Table91517[EnergyRating (group)],AM90,Table91517[CountyName (group)],BJ$4)</f>
        <v>50</v>
      </c>
      <c r="BK90" s="1135">
        <f>SUMIFS(Table91517[Count of EnergyRating],Table91517[MainSpaceHeatingFuel],AL90,Table91517[EnergyRating (group)],AM90,Table91517[CountyName (group)],BK$4)</f>
        <v>28</v>
      </c>
      <c r="BL90" s="1164">
        <f>SUMIFS(Table91517[Count of EnergyRating],Table91517[MainSpaceHeatingFuel],AL90,Table91517[EnergyRating (group)],AM90,Table91517[CountyName (group)],BL$4)</f>
        <v>77</v>
      </c>
      <c r="BM90" s="1164">
        <f>SUMIFS(Table91517[Count of EnergyRating],Table91517[MainSpaceHeatingFuel],AL90,Table91517[EnergyRating (group)],AM90,Table91517[CountyName (group)],BM$4)</f>
        <v>28</v>
      </c>
    </row>
    <row r="91" spans="2:65" ht="15">
      <c r="B91" s="1136" t="s">
        <v>60</v>
      </c>
      <c r="C91" s="1136" t="s">
        <v>1247</v>
      </c>
      <c r="D91" s="1136" t="s">
        <v>1094</v>
      </c>
      <c r="E91" s="1146">
        <f t="shared" ref="E91:AD91" si="275">IFERROR(G205*((SUM(AN$91)/SUM(AN$85:AN$93))/(SUM(G$205)/SUM(G$202:G$207))),G205)</f>
        <v>9.531619120835981E-2</v>
      </c>
      <c r="F91" s="1146">
        <f t="shared" si="275"/>
        <v>0.14199611957748243</v>
      </c>
      <c r="G91" s="1146">
        <f t="shared" si="275"/>
        <v>0.26127426540977999</v>
      </c>
      <c r="H91" s="1146">
        <f t="shared" si="275"/>
        <v>0.1592345028181727</v>
      </c>
      <c r="I91" s="1146">
        <f t="shared" si="275"/>
        <v>0.11762989110995598</v>
      </c>
      <c r="J91" s="1146">
        <f t="shared" si="275"/>
        <v>5.8378494732168391E-2</v>
      </c>
      <c r="K91" s="1146">
        <f t="shared" si="275"/>
        <v>7.1901334047782775E-2</v>
      </c>
      <c r="L91" s="1146">
        <f t="shared" si="275"/>
        <v>0.17094417796178749</v>
      </c>
      <c r="M91" s="1146">
        <f t="shared" si="275"/>
        <v>0.1340751252282637</v>
      </c>
      <c r="N91" s="1146">
        <f t="shared" si="275"/>
        <v>9.438763091756483E-2</v>
      </c>
      <c r="O91" s="1146">
        <f t="shared" si="275"/>
        <v>0.45567091966903772</v>
      </c>
      <c r="P91" s="1146">
        <f t="shared" si="275"/>
        <v>0.12173364053233555</v>
      </c>
      <c r="Q91" s="1146">
        <f t="shared" si="275"/>
        <v>0.22573558747330755</v>
      </c>
      <c r="R91" s="1146">
        <f t="shared" si="275"/>
        <v>0.58032036637916995</v>
      </c>
      <c r="S91" s="1146">
        <f t="shared" si="275"/>
        <v>0.42539205445010347</v>
      </c>
      <c r="T91" s="1146">
        <f t="shared" si="275"/>
        <v>0.28144267510057808</v>
      </c>
      <c r="U91" s="1146">
        <f t="shared" si="275"/>
        <v>0.26821672976709454</v>
      </c>
      <c r="V91" s="1146">
        <f t="shared" si="275"/>
        <v>9.7196554590317327E-2</v>
      </c>
      <c r="W91" s="1146">
        <f t="shared" si="275"/>
        <v>0.45502359952986632</v>
      </c>
      <c r="X91" s="1146">
        <f t="shared" si="275"/>
        <v>6.5389016569595268E-2</v>
      </c>
      <c r="Y91" s="1146">
        <f t="shared" si="275"/>
        <v>0.28919236991454378</v>
      </c>
      <c r="Z91" s="1146">
        <f t="shared" si="275"/>
        <v>0.10587772478692085</v>
      </c>
      <c r="AA91" s="1146">
        <f t="shared" si="275"/>
        <v>9.2158049045625301E-2</v>
      </c>
      <c r="AB91" s="1146">
        <f t="shared" si="275"/>
        <v>0.14731736257330499</v>
      </c>
      <c r="AC91" s="1146">
        <f t="shared" si="275"/>
        <v>0.3731207047661122</v>
      </c>
      <c r="AD91" s="1146">
        <f t="shared" si="275"/>
        <v>0.11688138016864831</v>
      </c>
      <c r="AE91" s="1173">
        <f t="shared" si="240"/>
        <v>5.4058064683278788</v>
      </c>
      <c r="AF91" s="1179"/>
      <c r="AG91" s="1164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SUMIFS(Table91517[Count of EnergyRating],Table91517[MainSpaceHeatingFuel],AL91,Table91517[EnergyRating (group)],AM91,Table91517[CountyName (group)],AN$4)</f>
        <v>38</v>
      </c>
      <c r="AO91" s="1164">
        <f>SUMIFS(Table91517[Count of EnergyRating],Table91517[MainSpaceHeatingFuel],AL91,Table91517[EnergyRating (group)],AM91,Table91517[CountyName (group)],AO$4)</f>
        <v>3</v>
      </c>
      <c r="AP91" s="1164">
        <f>SUMIFS(Table91517[Count of EnergyRating],Table91517[MainSpaceHeatingFuel],AL91,Table91517[EnergyRating (group)],AM91,Table91517[CountyName (group)],AP$4)</f>
        <v>48</v>
      </c>
      <c r="AQ91" s="1164">
        <f>SUMIFS(Table91517[Count of EnergyRating],Table91517[MainSpaceHeatingFuel],AL91,Table91517[EnergyRating (group)],AM91,Table91517[CountyName (group)],AQ$4)</f>
        <v>44</v>
      </c>
      <c r="AR91" s="1164">
        <f>SUMIFS(Table91517[Count of EnergyRating],Table91517[MainSpaceHeatingFuel],AL91,Table91517[EnergyRating (group)],AM91,Table91517[CountyName (group)],AR$4)</f>
        <v>70</v>
      </c>
      <c r="AS91" s="1164">
        <f>SUMIFS(Table91517[Count of EnergyRating],Table91517[MainSpaceHeatingFuel],AL91,Table91517[EnergyRating (group)],AM91,Table91517[CountyName (group)],AS$4)</f>
        <v>54</v>
      </c>
      <c r="AT91" s="1164">
        <f>SUMIFS(Table91517[Count of EnergyRating],Table91517[MainSpaceHeatingFuel],AL91,Table91517[EnergyRating (group)],AM91,Table91517[CountyName (group)],AT$4)</f>
        <v>6</v>
      </c>
      <c r="AU91" s="1164">
        <f>SUMIFS(Table91517[Count of EnergyRating],Table91517[MainSpaceHeatingFuel],AL91,Table91517[EnergyRating (group)],AM91,Table91517[CountyName (group)],AU$4)</f>
        <v>25</v>
      </c>
      <c r="AV91" s="1164">
        <f>SUMIFS(Table91517[Count of EnergyRating],Table91517[MainSpaceHeatingFuel],AL91,Table91517[EnergyRating (group)],AM91,Table91517[CountyName (group)],AV$4)</f>
        <v>105</v>
      </c>
      <c r="AW91" s="1164">
        <f>SUMIFS(Table91517[Count of EnergyRating],Table91517[MainSpaceHeatingFuel],AL91,Table91517[EnergyRating (group)],AM91,Table91517[CountyName (group)],AW$4)</f>
        <v>53</v>
      </c>
      <c r="AX91" s="1164">
        <f>SUMIFS(Table91517[Count of EnergyRating],Table91517[MainSpaceHeatingFuel],AL91,Table91517[EnergyRating (group)],AM91,Table91517[CountyName (group)],AX$4)</f>
        <v>178</v>
      </c>
      <c r="AY91" s="1164">
        <f>SUMIFS(Table91517[Count of EnergyRating],Table91517[MainSpaceHeatingFuel],AL91,Table91517[EnergyRating (group)],AM91,Table91517[CountyName (group)],AY$4)</f>
        <v>27</v>
      </c>
      <c r="AZ91" s="1164">
        <f>SUMIFS(Table91517[Count of EnergyRating],Table91517[MainSpaceHeatingFuel],AL91,Table91517[EnergyRating (group)],AM91,Table91517[CountyName (group)],AZ$4)</f>
        <v>110</v>
      </c>
      <c r="BA91" s="1164">
        <f>SUMIFS(Table91517[Count of EnergyRating],Table91517[MainSpaceHeatingFuel],AL91,Table91517[EnergyRating (group)],AM91,Table91517[CountyName (group)],BA$4)</f>
        <v>133</v>
      </c>
      <c r="BB91" s="1164">
        <f>SUMIFS(Table91517[Count of EnergyRating],Table91517[MainSpaceHeatingFuel],AL91,Table91517[EnergyRating (group)],AM91,Table91517[CountyName (group)],BB$4)</f>
        <v>222</v>
      </c>
      <c r="BC91" s="1164">
        <f>SUMIFS(Table91517[Count of EnergyRating],Table91517[MainSpaceHeatingFuel],AL91,Table91517[EnergyRating (group)],AM91,Table91517[CountyName (group)],BC$4)</f>
        <v>110</v>
      </c>
      <c r="BD91" s="1164">
        <f>SUMIFS(Table91517[Count of EnergyRating],Table91517[MainSpaceHeatingFuel],AL91,Table91517[EnergyRating (group)],AM91,Table91517[CountyName (group)],BD$4)</f>
        <v>143</v>
      </c>
      <c r="BE91" s="1164">
        <f>SUMIFS(Table91517[Count of EnergyRating],Table91517[MainSpaceHeatingFuel],AL91,Table91517[EnergyRating (group)],AM91,Table91517[CountyName (group)],BE$4)</f>
        <v>19</v>
      </c>
      <c r="BF91" s="1164">
        <f>SUMIFS(Table91517[Count of EnergyRating],Table91517[MainSpaceHeatingFuel],AL91,Table91517[EnergyRating (group)],AM91,Table91517[CountyName (group)],BF$4)</f>
        <v>198</v>
      </c>
      <c r="BG91" s="1164">
        <f>SUMIFS(Table91517[Count of EnergyRating],Table91517[MainSpaceHeatingFuel],AL91,Table91517[EnergyRating (group)],AM91,Table91517[CountyName (group)],BG$4)</f>
        <v>50</v>
      </c>
      <c r="BH91" s="1164">
        <f>SUMIFS(Table91517[Count of EnergyRating],Table91517[MainSpaceHeatingFuel],AL91,Table91517[EnergyRating (group)],AM91,Table91517[CountyName (group)],BH$4)</f>
        <v>174</v>
      </c>
      <c r="BI91" s="1164">
        <f>SUMIFS(Table91517[Count of EnergyRating],Table91517[MainSpaceHeatingFuel],AL91,Table91517[EnergyRating (group)],AM91,Table91517[CountyName (group)],BI$4)</f>
        <v>64</v>
      </c>
      <c r="BJ91" s="1164">
        <f>SUMIFS(Table91517[Count of EnergyRating],Table91517[MainSpaceHeatingFuel],AL91,Table91517[EnergyRating (group)],AM91,Table91517[CountyName (group)],BJ$4)</f>
        <v>56</v>
      </c>
      <c r="BK91" s="1135">
        <f>SUMIFS(Table91517[Count of EnergyRating],Table91517[MainSpaceHeatingFuel],AL91,Table91517[EnergyRating (group)],AM91,Table91517[CountyName (group)],BK$4)</f>
        <v>64</v>
      </c>
      <c r="BL91" s="1164">
        <f>SUMIFS(Table91517[Count of EnergyRating],Table91517[MainSpaceHeatingFuel],AL91,Table91517[EnergyRating (group)],AM91,Table91517[CountyName (group)],BL$4)</f>
        <v>121</v>
      </c>
      <c r="BM91" s="1164">
        <f>SUMIFS(Table91517[Count of EnergyRating],Table91517[MainSpaceHeatingFuel],AL91,Table91517[EnergyRating (group)],AM91,Table91517[CountyName (group)],BM$4)</f>
        <v>26</v>
      </c>
    </row>
    <row r="92" spans="2:65" ht="15">
      <c r="B92" s="1134" t="s">
        <v>62</v>
      </c>
      <c r="C92" s="1134" t="s">
        <v>1247</v>
      </c>
      <c r="D92" s="1134" t="s">
        <v>1094</v>
      </c>
      <c r="E92" s="1145">
        <f t="shared" ref="E92:AD92" si="276">IFERROR(G206*((SUM(AN$92)/SUM(AN$85:AN$93))/(SUM(G$206)/SUM(G$202:G$207))),G206)</f>
        <v>6.772466217436092E-2</v>
      </c>
      <c r="F92" s="1145">
        <f t="shared" si="276"/>
        <v>0.37865631887328643</v>
      </c>
      <c r="G92" s="1145">
        <f t="shared" si="276"/>
        <v>0.16329641588111249</v>
      </c>
      <c r="H92" s="1145">
        <f t="shared" si="276"/>
        <v>9.7712081274787796E-2</v>
      </c>
      <c r="I92" s="1145">
        <f t="shared" si="276"/>
        <v>0.12939288022095158</v>
      </c>
      <c r="J92" s="1145">
        <f t="shared" si="276"/>
        <v>0.11135157328543231</v>
      </c>
      <c r="K92" s="1145">
        <f t="shared" si="276"/>
        <v>7.1901334047782789E-2</v>
      </c>
      <c r="L92" s="1145">
        <f t="shared" si="276"/>
        <v>0.21197078067261643</v>
      </c>
      <c r="M92" s="1145">
        <f t="shared" si="276"/>
        <v>0.12258297163726971</v>
      </c>
      <c r="N92" s="1145">
        <f t="shared" si="276"/>
        <v>0.10685392179346961</v>
      </c>
      <c r="O92" s="1145">
        <f t="shared" si="276"/>
        <v>0.17407653110952004</v>
      </c>
      <c r="P92" s="1145">
        <f t="shared" si="276"/>
        <v>0.16231152070978075</v>
      </c>
      <c r="Q92" s="1145">
        <f t="shared" si="276"/>
        <v>0.13338921077968174</v>
      </c>
      <c r="R92" s="1145">
        <f t="shared" si="276"/>
        <v>0.4101512363882856</v>
      </c>
      <c r="S92" s="1145">
        <f t="shared" si="276"/>
        <v>0.23377401190501185</v>
      </c>
      <c r="T92" s="1145">
        <f t="shared" si="276"/>
        <v>0.20468558189132952</v>
      </c>
      <c r="U92" s="1145">
        <f t="shared" si="276"/>
        <v>0.29447571030373321</v>
      </c>
      <c r="V92" s="1145">
        <f t="shared" si="276"/>
        <v>0.18416189290796964</v>
      </c>
      <c r="W92" s="1145">
        <f t="shared" si="276"/>
        <v>0.35620534306630952</v>
      </c>
      <c r="X92" s="1145">
        <f t="shared" si="276"/>
        <v>6.5389016569595254E-2</v>
      </c>
      <c r="Y92" s="1145">
        <f t="shared" si="276"/>
        <v>0.26924806854112693</v>
      </c>
      <c r="Z92" s="1145">
        <f t="shared" si="276"/>
        <v>0.11414942203589905</v>
      </c>
      <c r="AA92" s="1145">
        <f t="shared" si="276"/>
        <v>0.13330003522670802</v>
      </c>
      <c r="AB92" s="1145">
        <f t="shared" si="276"/>
        <v>0.15652469773413658</v>
      </c>
      <c r="AC92" s="1145">
        <f t="shared" si="276"/>
        <v>0.35770249382536373</v>
      </c>
      <c r="AD92" s="1145">
        <f t="shared" si="276"/>
        <v>6.2936127783118329E-2</v>
      </c>
      <c r="AE92" s="1172">
        <f t="shared" si="240"/>
        <v>4.7739238406386395</v>
      </c>
      <c r="AF92" s="1179"/>
      <c r="AG92" s="58" t="s">
        <v>1163</v>
      </c>
      <c r="AH92" s="1158">
        <f>SUM(E97:AD102)</f>
        <v>3.6189467760386922</v>
      </c>
      <c r="AI92" s="1140">
        <f>'SHWLP-Det'!S23</f>
        <v>3.6189467760386935</v>
      </c>
      <c r="AJ92" s="1160">
        <f>IFERROR((AI92-AH92)/AI92,"N/A")</f>
        <v>3.6813683980411857E-16</v>
      </c>
      <c r="AL92" s="1144" t="s">
        <v>420</v>
      </c>
      <c r="AM92" s="1144" t="s">
        <v>62</v>
      </c>
      <c r="AN92" s="1157">
        <f>SUMIFS(Table91517[Count of EnergyRating],Table91517[MainSpaceHeatingFuel],AL92,Table91517[EnergyRating (group)],AM92,Table91517[CountyName (group)],AN$4)</f>
        <v>27</v>
      </c>
      <c r="AO92" s="1164">
        <f>SUMIFS(Table91517[Count of EnergyRating],Table91517[MainSpaceHeatingFuel],AL92,Table91517[EnergyRating (group)],AM92,Table91517[CountyName (group)],AO$4)</f>
        <v>8</v>
      </c>
      <c r="AP92" s="1164">
        <f>SUMIFS(Table91517[Count of EnergyRating],Table91517[MainSpaceHeatingFuel],AL92,Table91517[EnergyRating (group)],AM92,Table91517[CountyName (group)],AP$4)</f>
        <v>30</v>
      </c>
      <c r="AQ92" s="1164">
        <f>SUMIFS(Table91517[Count of EnergyRating],Table91517[MainSpaceHeatingFuel],AL92,Table91517[EnergyRating (group)],AM92,Table91517[CountyName (group)],AQ$4)</f>
        <v>27</v>
      </c>
      <c r="AR92" s="1164">
        <f>SUMIFS(Table91517[Count of EnergyRating],Table91517[MainSpaceHeatingFuel],AL92,Table91517[EnergyRating (group)],AM92,Table91517[CountyName (group)],AR$4)</f>
        <v>77</v>
      </c>
      <c r="AS92" s="1164">
        <f>SUMIFS(Table91517[Count of EnergyRating],Table91517[MainSpaceHeatingFuel],AL92,Table91517[EnergyRating (group)],AM92,Table91517[CountyName (group)],AS$4)</f>
        <v>103</v>
      </c>
      <c r="AT92" s="1164">
        <f>SUMIFS(Table91517[Count of EnergyRating],Table91517[MainSpaceHeatingFuel],AL92,Table91517[EnergyRating (group)],AM92,Table91517[CountyName (group)],AT$4)</f>
        <v>6</v>
      </c>
      <c r="AU92" s="1164">
        <f>SUMIFS(Table91517[Count of EnergyRating],Table91517[MainSpaceHeatingFuel],AL92,Table91517[EnergyRating (group)],AM92,Table91517[CountyName (group)],AU$4)</f>
        <v>31</v>
      </c>
      <c r="AV92" s="1164">
        <f>SUMIFS(Table91517[Count of EnergyRating],Table91517[MainSpaceHeatingFuel],AL92,Table91517[EnergyRating (group)],AM92,Table91517[CountyName (group)],AV$4)</f>
        <v>96</v>
      </c>
      <c r="AW92" s="1164">
        <f>SUMIFS(Table91517[Count of EnergyRating],Table91517[MainSpaceHeatingFuel],AL92,Table91517[EnergyRating (group)],AM92,Table91517[CountyName (group)],AW$4)</f>
        <v>60</v>
      </c>
      <c r="AX92" s="1164">
        <f>SUMIFS(Table91517[Count of EnergyRating],Table91517[MainSpaceHeatingFuel],AL92,Table91517[EnergyRating (group)],AM92,Table91517[CountyName (group)],AX$4)</f>
        <v>68</v>
      </c>
      <c r="AY92" s="1164">
        <f>SUMIFS(Table91517[Count of EnergyRating],Table91517[MainSpaceHeatingFuel],AL92,Table91517[EnergyRating (group)],AM92,Table91517[CountyName (group)],AY$4)</f>
        <v>36</v>
      </c>
      <c r="AZ92" s="1164">
        <f>SUMIFS(Table91517[Count of EnergyRating],Table91517[MainSpaceHeatingFuel],AL92,Table91517[EnergyRating (group)],AM92,Table91517[CountyName (group)],AZ$4)</f>
        <v>65</v>
      </c>
      <c r="BA92" s="1164">
        <f>SUMIFS(Table91517[Count of EnergyRating],Table91517[MainSpaceHeatingFuel],AL92,Table91517[EnergyRating (group)],AM92,Table91517[CountyName (group)],BA$4)</f>
        <v>94</v>
      </c>
      <c r="BB92" s="1164">
        <f>SUMIFS(Table91517[Count of EnergyRating],Table91517[MainSpaceHeatingFuel],AL92,Table91517[EnergyRating (group)],AM92,Table91517[CountyName (group)],BB$4)</f>
        <v>122</v>
      </c>
      <c r="BC92" s="1164">
        <f>SUMIFS(Table91517[Count of EnergyRating],Table91517[MainSpaceHeatingFuel],AL92,Table91517[EnergyRating (group)],AM92,Table91517[CountyName (group)],BC$4)</f>
        <v>80</v>
      </c>
      <c r="BD92" s="1164">
        <f>SUMIFS(Table91517[Count of EnergyRating],Table91517[MainSpaceHeatingFuel],AL92,Table91517[EnergyRating (group)],AM92,Table91517[CountyName (group)],BD$4)</f>
        <v>157</v>
      </c>
      <c r="BE92" s="1164">
        <f>SUMIFS(Table91517[Count of EnergyRating],Table91517[MainSpaceHeatingFuel],AL92,Table91517[EnergyRating (group)],AM92,Table91517[CountyName (group)],BE$4)</f>
        <v>36</v>
      </c>
      <c r="BF92" s="1152">
        <f>SUMIFS(Table91517[Count of EnergyRating],Table91517[MainSpaceHeatingFuel],AL92,Table91517[EnergyRating (group)],AM92,Table91517[CountyName (group)],BF$4)</f>
        <v>155</v>
      </c>
      <c r="BG92" s="1164">
        <f>SUMIFS(Table91517[Count of EnergyRating],Table91517[MainSpaceHeatingFuel],AL92,Table91517[EnergyRating (group)],AM92,Table91517[CountyName (group)],BG$4)</f>
        <v>50</v>
      </c>
      <c r="BH92" s="1164">
        <f>SUMIFS(Table91517[Count of EnergyRating],Table91517[MainSpaceHeatingFuel],AL92,Table91517[EnergyRating (group)],AM92,Table91517[CountyName (group)],BH$4)</f>
        <v>162</v>
      </c>
      <c r="BI92" s="1164">
        <f>SUMIFS(Table91517[Count of EnergyRating],Table91517[MainSpaceHeatingFuel],AL92,Table91517[EnergyRating (group)],AM92,Table91517[CountyName (group)],BI$4)</f>
        <v>69</v>
      </c>
      <c r="BJ92" s="1164">
        <f>SUMIFS(Table91517[Count of EnergyRating],Table91517[MainSpaceHeatingFuel],AL92,Table91517[EnergyRating (group)],AM92,Table91517[CountyName (group)],BJ$4)</f>
        <v>81</v>
      </c>
      <c r="BK92" s="1135">
        <f>SUMIFS(Table91517[Count of EnergyRating],Table91517[MainSpaceHeatingFuel],AL92,Table91517[EnergyRating (group)],AM92,Table91517[CountyName (group)],BK$4)</f>
        <v>68</v>
      </c>
      <c r="BL92" s="1164">
        <f>SUMIFS(Table91517[Count of EnergyRating],Table91517[MainSpaceHeatingFuel],AL92,Table91517[EnergyRating (group)],AM92,Table91517[CountyName (group)],BL$4)</f>
        <v>116</v>
      </c>
      <c r="BM92" s="1164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38" t="s">
        <v>64</v>
      </c>
      <c r="C93" s="1138" t="s">
        <v>1247</v>
      </c>
      <c r="D93" s="1138" t="s">
        <v>1094</v>
      </c>
      <c r="E93" s="1147">
        <f t="shared" ref="E93:AD93" si="277">IFERROR(G207*((SUM(AN$93)/SUM(AN$85:AN$93))/(SUM(G$207)/SUM(G$202:G$207))),G207)</f>
        <v>0.26337368623362578</v>
      </c>
      <c r="F93" s="1147">
        <f t="shared" si="277"/>
        <v>1.7039534349297889</v>
      </c>
      <c r="G93" s="1147">
        <f t="shared" si="277"/>
        <v>0.78382279622933992</v>
      </c>
      <c r="H93" s="1147">
        <f t="shared" si="277"/>
        <v>0.49217937234707931</v>
      </c>
      <c r="I93" s="1147">
        <f t="shared" si="277"/>
        <v>0.37305479752014609</v>
      </c>
      <c r="J93" s="1147">
        <f t="shared" si="277"/>
        <v>0.20864906450571297</v>
      </c>
      <c r="K93" s="1147">
        <f t="shared" si="277"/>
        <v>0.61116133940615358</v>
      </c>
      <c r="L93" s="1147">
        <f t="shared" si="277"/>
        <v>0.99831399929683884</v>
      </c>
      <c r="M93" s="1147">
        <f t="shared" si="277"/>
        <v>0.32050339459327815</v>
      </c>
      <c r="N93" s="1147">
        <f t="shared" si="277"/>
        <v>0.42029209238764714</v>
      </c>
      <c r="O93" s="1147">
        <f t="shared" si="277"/>
        <v>0.56318877711903526</v>
      </c>
      <c r="P93" s="1147">
        <f t="shared" si="277"/>
        <v>0.59063358924947995</v>
      </c>
      <c r="Q93" s="1147">
        <f t="shared" si="277"/>
        <v>0.66284177048980308</v>
      </c>
      <c r="R93" s="1147">
        <f t="shared" si="277"/>
        <v>2.4434541742280844</v>
      </c>
      <c r="S93" s="1147">
        <f t="shared" si="277"/>
        <v>0.66683078805691887</v>
      </c>
      <c r="T93" s="1147">
        <f t="shared" si="277"/>
        <v>0.77780521118705215</v>
      </c>
      <c r="U93" s="1147">
        <f t="shared" si="277"/>
        <v>0.75963479409561729</v>
      </c>
      <c r="V93" s="1147">
        <f t="shared" si="277"/>
        <v>0.41947986717926422</v>
      </c>
      <c r="W93" s="1147">
        <f t="shared" si="277"/>
        <v>1.3099164228890092</v>
      </c>
      <c r="X93" s="1147">
        <f t="shared" si="277"/>
        <v>0.2223226563366239</v>
      </c>
      <c r="Y93" s="1147">
        <f t="shared" si="277"/>
        <v>0.7495733266175818</v>
      </c>
      <c r="Z93" s="1147">
        <f t="shared" si="277"/>
        <v>0.49961051383828287</v>
      </c>
      <c r="AA93" s="1147">
        <f t="shared" si="277"/>
        <v>0.30938773608174214</v>
      </c>
      <c r="AB93" s="1147">
        <f t="shared" si="277"/>
        <v>0.39591541191575719</v>
      </c>
      <c r="AC93" s="1147">
        <f t="shared" si="277"/>
        <v>0.78324511579002065</v>
      </c>
      <c r="AD93" s="1147">
        <f t="shared" si="277"/>
        <v>0.29220345042162077</v>
      </c>
      <c r="AE93" s="1174">
        <f t="shared" si="240"/>
        <v>17.621347582945507</v>
      </c>
      <c r="AF93" s="1179"/>
      <c r="AG93" s="58" t="s">
        <v>1107</v>
      </c>
      <c r="AH93" s="1158">
        <f>SUM(E104:AD104)</f>
        <v>3.5390361130709547</v>
      </c>
      <c r="AI93" s="1140">
        <f>'SHWLP-Det'!S49</f>
        <v>3.5390361130709538</v>
      </c>
      <c r="AJ93" s="1160">
        <f>(AI93-AH93)/AI93</f>
        <v>-2.509661928624457E-16</v>
      </c>
      <c r="AL93" s="1144" t="s">
        <v>420</v>
      </c>
      <c r="AM93" s="1144" t="s">
        <v>64</v>
      </c>
      <c r="AN93" s="1157">
        <f>SUMIFS(Table91517[Count of EnergyRating],Table91517[MainSpaceHeatingFuel],AL93,Table91517[EnergyRating (group)],AM93,Table91517[CountyName (group)],AN$4)</f>
        <v>105</v>
      </c>
      <c r="AO93" s="1164">
        <f>SUMIFS(Table91517[Count of EnergyRating],Table91517[MainSpaceHeatingFuel],AL93,Table91517[EnergyRating (group)],AM93,Table91517[CountyName (group)],AO$4)</f>
        <v>36</v>
      </c>
      <c r="AP93" s="1164">
        <f>SUMIFS(Table91517[Count of EnergyRating],Table91517[MainSpaceHeatingFuel],AL93,Table91517[EnergyRating (group)],AM93,Table91517[CountyName (group)],AP$4)</f>
        <v>144</v>
      </c>
      <c r="AQ93" s="1164">
        <f>SUMIFS(Table91517[Count of EnergyRating],Table91517[MainSpaceHeatingFuel],AL93,Table91517[EnergyRating (group)],AM93,Table91517[CountyName (group)],AQ$4)</f>
        <v>136</v>
      </c>
      <c r="AR93" s="1164">
        <f>SUMIFS(Table91517[Count of EnergyRating],Table91517[MainSpaceHeatingFuel],AL93,Table91517[EnergyRating (group)],AM93,Table91517[CountyName (group)],AR$4)</f>
        <v>222</v>
      </c>
      <c r="AS93" s="1164">
        <f>SUMIFS(Table91517[Count of EnergyRating],Table91517[MainSpaceHeatingFuel],AL93,Table91517[EnergyRating (group)],AM93,Table91517[CountyName (group)],AS$4)</f>
        <v>193</v>
      </c>
      <c r="AT93" s="1164">
        <f>SUMIFS(Table91517[Count of EnergyRating],Table91517[MainSpaceHeatingFuel],AL93,Table91517[EnergyRating (group)],AM93,Table91517[CountyName (group)],AT$4)</f>
        <v>51</v>
      </c>
      <c r="AU93" s="1164">
        <f>SUMIFS(Table91517[Count of EnergyRating],Table91517[MainSpaceHeatingFuel],AL93,Table91517[EnergyRating (group)],AM93,Table91517[CountyName (group)],AU$4)</f>
        <v>146</v>
      </c>
      <c r="AV93" s="1164">
        <f>SUMIFS(Table91517[Count of EnergyRating],Table91517[MainSpaceHeatingFuel],AL93,Table91517[EnergyRating (group)],AM93,Table91517[CountyName (group)],AV$4)</f>
        <v>251</v>
      </c>
      <c r="AW93" s="1164">
        <f>SUMIFS(Table91517[Count of EnergyRating],Table91517[MainSpaceHeatingFuel],AL93,Table91517[EnergyRating (group)],AM93,Table91517[CountyName (group)],AW$4)</f>
        <v>236</v>
      </c>
      <c r="AX93" s="1164">
        <f>SUMIFS(Table91517[Count of EnergyRating],Table91517[MainSpaceHeatingFuel],AL93,Table91517[EnergyRating (group)],AM93,Table91517[CountyName (group)],AX$4)</f>
        <v>220</v>
      </c>
      <c r="AY93" s="1164">
        <f>SUMIFS(Table91517[Count of EnergyRating],Table91517[MainSpaceHeatingFuel],AL93,Table91517[EnergyRating (group)],AM93,Table91517[CountyName (group)],AY$4)</f>
        <v>131</v>
      </c>
      <c r="AZ93" s="1164">
        <f>SUMIFS(Table91517[Count of EnergyRating],Table91517[MainSpaceHeatingFuel],AL93,Table91517[EnergyRating (group)],AM93,Table91517[CountyName (group)],AZ$4)</f>
        <v>323</v>
      </c>
      <c r="BA93" s="1164">
        <f>SUMIFS(Table91517[Count of EnergyRating],Table91517[MainSpaceHeatingFuel],AL93,Table91517[EnergyRating (group)],AM93,Table91517[CountyName (group)],BA$4)</f>
        <v>560</v>
      </c>
      <c r="BB93" s="1164">
        <f>SUMIFS(Table91517[Count of EnergyRating],Table91517[MainSpaceHeatingFuel],AL93,Table91517[EnergyRating (group)],AM93,Table91517[CountyName (group)],BB$4)</f>
        <v>348</v>
      </c>
      <c r="BC93" s="1164">
        <f>SUMIFS(Table91517[Count of EnergyRating],Table91517[MainSpaceHeatingFuel],AL93,Table91517[EnergyRating (group)],AM93,Table91517[CountyName (group)],BC$4)</f>
        <v>304</v>
      </c>
      <c r="BD93" s="1164">
        <f>SUMIFS(Table91517[Count of EnergyRating],Table91517[MainSpaceHeatingFuel],AL93,Table91517[EnergyRating (group)],AM93,Table91517[CountyName (group)],BD$4)</f>
        <v>405</v>
      </c>
      <c r="BE93" s="1164">
        <f>SUMIFS(Table91517[Count of EnergyRating],Table91517[MainSpaceHeatingFuel],AL93,Table91517[EnergyRating (group)],AM93,Table91517[CountyName (group)],BE$4)</f>
        <v>82</v>
      </c>
      <c r="BF93" s="1164">
        <f>SUMIFS(Table91517[Count of EnergyRating],Table91517[MainSpaceHeatingFuel],AL93,Table91517[EnergyRating (group)],AM93,Table91517[CountyName (group)],BF$4)</f>
        <v>570</v>
      </c>
      <c r="BG93" s="1164">
        <f>SUMIFS(Table91517[Count of EnergyRating],Table91517[MainSpaceHeatingFuel],AL93,Table91517[EnergyRating (group)],AM93,Table91517[CountyName (group)],BG$4)</f>
        <v>170</v>
      </c>
      <c r="BH93" s="1164">
        <f>SUMIFS(Table91517[Count of EnergyRating],Table91517[MainSpaceHeatingFuel],AL93,Table91517[EnergyRating (group)],AM93,Table91517[CountyName (group)],BH$4)</f>
        <v>451</v>
      </c>
      <c r="BI93" s="1164">
        <f>SUMIFS(Table91517[Count of EnergyRating],Table91517[MainSpaceHeatingFuel],AL93,Table91517[EnergyRating (group)],AM93,Table91517[CountyName (group)],BI$4)</f>
        <v>302</v>
      </c>
      <c r="BJ93" s="1164">
        <f>SUMIFS(Table91517[Count of EnergyRating],Table91517[MainSpaceHeatingFuel],AL93,Table91517[EnergyRating (group)],AM93,Table91517[CountyName (group)],BJ$4)</f>
        <v>188</v>
      </c>
      <c r="BK93" s="1135">
        <f>SUMIFS(Table91517[Count of EnergyRating],Table91517[MainSpaceHeatingFuel],AL93,Table91517[EnergyRating (group)],AM93,Table91517[CountyName (group)],BK$4)</f>
        <v>172</v>
      </c>
      <c r="BL93" s="1164">
        <f>SUMIFS(Table91517[Count of EnergyRating],Table91517[MainSpaceHeatingFuel],AL93,Table91517[EnergyRating (group)],AM93,Table91517[CountyName (group)],BL$4)</f>
        <v>254</v>
      </c>
      <c r="BM93" s="1164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38" t="s">
        <v>1075</v>
      </c>
      <c r="C94" s="1134" t="s">
        <v>1247</v>
      </c>
      <c r="D94" s="1134" t="s">
        <v>1094</v>
      </c>
      <c r="E94" s="1147">
        <f>SUM(E88:E93)</f>
        <v>0.47407263522052639</v>
      </c>
      <c r="F94" s="1147">
        <f t="shared" ref="F94" si="278">SUM(F88:F93)</f>
        <v>2.461266072676362</v>
      </c>
      <c r="G94" s="1147">
        <f t="shared" ref="G94" si="279">SUM(G88:G93)</f>
        <v>1.3281441824997149</v>
      </c>
      <c r="H94" s="1147">
        <f t="shared" ref="H94" si="280">SUM(H88:H93)</f>
        <v>0.91559839120449316</v>
      </c>
      <c r="I94" s="1147">
        <f t="shared" ref="I94" si="281">SUM(I88:I93)</f>
        <v>0.71418148173901841</v>
      </c>
      <c r="J94" s="1147">
        <f t="shared" ref="J94" si="282">SUM(J88:J93)</f>
        <v>0.42594679489767312</v>
      </c>
      <c r="K94" s="1147">
        <f t="shared" ref="K94" si="283">SUM(K88:K93)</f>
        <v>0.82686534154950198</v>
      </c>
      <c r="L94" s="1147">
        <f t="shared" ref="L94" si="284">SUM(L88:L93)</f>
        <v>1.5043087660637298</v>
      </c>
      <c r="M94" s="1147">
        <f t="shared" ref="M94" si="285">SUM(M88:M93)</f>
        <v>0.69974446309608129</v>
      </c>
      <c r="N94" s="1147">
        <f t="shared" ref="N94" si="286">SUM(N88:N93)</f>
        <v>0.73729206037494033</v>
      </c>
      <c r="O94" s="1147">
        <f t="shared" ref="O94" si="287">SUM(O88:O93)</f>
        <v>1.4847704124047296</v>
      </c>
      <c r="P94" s="1147">
        <f t="shared" ref="P94" si="288">SUM(P88:P93)</f>
        <v>0.98739508431783285</v>
      </c>
      <c r="Q94" s="1147">
        <f t="shared" ref="Q94" si="289">SUM(Q88:Q93)</f>
        <v>1.1491993544095658</v>
      </c>
      <c r="R94" s="1147">
        <f t="shared" ref="R94" si="290">SUM(R88:R93)</f>
        <v>3.8877101236378984</v>
      </c>
      <c r="S94" s="1147">
        <f t="shared" ref="S94" si="291">SUM(S88:S93)</f>
        <v>1.5942621139751625</v>
      </c>
      <c r="T94" s="1147">
        <f t="shared" ref="T94" si="292">SUM(T88:T93)</f>
        <v>1.4353576430129482</v>
      </c>
      <c r="U94" s="1147">
        <f t="shared" ref="U94" si="293">SUM(U88:U93)</f>
        <v>1.532399078459554</v>
      </c>
      <c r="V94" s="1147">
        <f t="shared" ref="V94" si="294">SUM(V88:V93)</f>
        <v>0.83895973435852844</v>
      </c>
      <c r="W94" s="1147">
        <f t="shared" ref="W94" si="295">SUM(W88:W93)</f>
        <v>2.4267925308259537</v>
      </c>
      <c r="X94" s="1147">
        <f t="shared" ref="X94" si="296">SUM(X88:X93)</f>
        <v>0.39887300107453111</v>
      </c>
      <c r="Y94" s="1147">
        <f t="shared" ref="Y94" si="297">SUM(Y88:Y93)</f>
        <v>1.5207529797230319</v>
      </c>
      <c r="Z94" s="1147">
        <f t="shared" ref="Z94" si="298">SUM(Z88:Z93)</f>
        <v>0.79242859645211094</v>
      </c>
      <c r="AA94" s="1147">
        <f t="shared" ref="AA94" si="299">SUM(AA88:AA93)</f>
        <v>0.63523226663591736</v>
      </c>
      <c r="AB94" s="1147">
        <f t="shared" ref="AB94" si="300">SUM(AB88:AB93)</f>
        <v>0.79413265762172225</v>
      </c>
      <c r="AC94" s="1147">
        <f t="shared" ref="AC94" si="301">SUM(AC88:AC93)</f>
        <v>1.7854288269386691</v>
      </c>
      <c r="AD94" s="1147">
        <f t="shared" ref="AD94" si="302">SUM(AD88:AD93)</f>
        <v>0.62037040243359487</v>
      </c>
      <c r="AE94" s="1147">
        <f t="shared" ref="AE94" si="303">SUM(AE88:AE93)</f>
        <v>31.971484995603795</v>
      </c>
      <c r="AF94" s="1179"/>
      <c r="AG94" s="1164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</row>
    <row r="95" spans="2:65" ht="13.5" thickBot="1">
      <c r="B95" s="1165"/>
      <c r="C95" s="1165" t="s">
        <v>1248</v>
      </c>
      <c r="D95" s="1165" t="s">
        <v>1094</v>
      </c>
      <c r="E95" s="1166">
        <f t="shared" ref="E95:AD95" si="304">G208</f>
        <v>0.42473460652356315</v>
      </c>
      <c r="F95" s="1166">
        <f t="shared" si="304"/>
        <v>2.2051154174754339</v>
      </c>
      <c r="G95" s="1166">
        <f t="shared" si="304"/>
        <v>1.1899206046730939</v>
      </c>
      <c r="H95" s="1166">
        <f t="shared" si="304"/>
        <v>0.82030957606516963</v>
      </c>
      <c r="I95" s="1166">
        <f t="shared" si="304"/>
        <v>0.63985467225234904</v>
      </c>
      <c r="J95" s="1166">
        <f t="shared" si="304"/>
        <v>0.38161735331270352</v>
      </c>
      <c r="K95" s="1166">
        <f t="shared" si="304"/>
        <v>0.74081121625514401</v>
      </c>
      <c r="L95" s="1166">
        <f t="shared" si="304"/>
        <v>1.3477512608311812</v>
      </c>
      <c r="M95" s="1166">
        <f t="shared" si="304"/>
        <v>0.62692015341046547</v>
      </c>
      <c r="N95" s="1166">
        <f t="shared" si="304"/>
        <v>0.6605600701053469</v>
      </c>
      <c r="O95" s="1166">
        <f t="shared" si="304"/>
        <v>1.3302463167847622</v>
      </c>
      <c r="P95" s="1166">
        <f t="shared" si="304"/>
        <v>0.88463419202829552</v>
      </c>
      <c r="Q95" s="1166">
        <f t="shared" si="304"/>
        <v>1.0295990515993945</v>
      </c>
      <c r="R95" s="1166">
        <f t="shared" si="304"/>
        <v>3.4831055559089568</v>
      </c>
      <c r="S95" s="1166">
        <f t="shared" si="304"/>
        <v>1.428342919138704</v>
      </c>
      <c r="T95" s="1166">
        <f t="shared" si="304"/>
        <v>1.2859760687138206</v>
      </c>
      <c r="U95" s="1166">
        <f t="shared" si="304"/>
        <v>1.372918138006056</v>
      </c>
      <c r="V95" s="1166">
        <f t="shared" si="304"/>
        <v>0.75164691270594997</v>
      </c>
      <c r="W95" s="1166">
        <f t="shared" si="304"/>
        <v>2.1742296308986666</v>
      </c>
      <c r="X95" s="1166">
        <f t="shared" si="304"/>
        <v>0.35736120285756673</v>
      </c>
      <c r="Y95" s="1166">
        <f t="shared" si="304"/>
        <v>1.3624840804442011</v>
      </c>
      <c r="Z95" s="1166">
        <f t="shared" si="304"/>
        <v>0.70995839689321483</v>
      </c>
      <c r="AA95" s="1166">
        <f t="shared" si="304"/>
        <v>0.56912191671888246</v>
      </c>
      <c r="AB95" s="1166">
        <f t="shared" si="304"/>
        <v>0.71148511178159946</v>
      </c>
      <c r="AC95" s="1166">
        <f t="shared" si="304"/>
        <v>1.5996143922816082</v>
      </c>
      <c r="AD95" s="1166">
        <f t="shared" si="304"/>
        <v>0.55580676715062305</v>
      </c>
      <c r="AE95" s="1175">
        <f t="shared" si="240"/>
        <v>28.644125584816756</v>
      </c>
      <c r="AF95" s="1179"/>
      <c r="AG95" s="1164"/>
      <c r="AL95" s="1144" t="s">
        <v>1134</v>
      </c>
      <c r="AM95" s="1144" t="s">
        <v>48</v>
      </c>
      <c r="AN95" s="1135">
        <f>SUMIFS(Table91517[Count of EnergyRating],Table91517[MainSpaceHeatingFuel],AL95,Table91517[EnergyRating (group)],AM95,Table91517[CountyName (group)],AN$4)</f>
        <v>0</v>
      </c>
      <c r="AO95" s="1164">
        <f>SUMIFS(Table91517[Count of EnergyRating],Table91517[MainSpaceHeatingFuel],AL95,Table91517[EnergyRating (group)],AM95,Table91517[CountyName (group)],AO$4)</f>
        <v>1</v>
      </c>
      <c r="AP95" s="1164">
        <f>SUMIFS(Table91517[Count of EnergyRating],Table91517[MainSpaceHeatingFuel],AL95,Table91517[EnergyRating (group)],AM95,Table91517[CountyName (group)],AP$4)</f>
        <v>3</v>
      </c>
      <c r="AQ95" s="1164">
        <f>SUMIFS(Table91517[Count of EnergyRating],Table91517[MainSpaceHeatingFuel],AL95,Table91517[EnergyRating (group)],AM95,Table91517[CountyName (group)],AQ$4)</f>
        <v>0</v>
      </c>
      <c r="AR95" s="1164">
        <f>SUMIFS(Table91517[Count of EnergyRating],Table91517[MainSpaceHeatingFuel],AL95,Table91517[EnergyRating (group)],AM95,Table91517[CountyName (group)],AR$4)</f>
        <v>2</v>
      </c>
      <c r="AS95" s="1164">
        <f>SUMIFS(Table91517[Count of EnergyRating],Table91517[MainSpaceHeatingFuel],AL95,Table91517[EnergyRating (group)],AM95,Table91517[CountyName (group)],AS$4)</f>
        <v>4</v>
      </c>
      <c r="AT95" s="1164">
        <f>SUMIFS(Table91517[Count of EnergyRating],Table91517[MainSpaceHeatingFuel],AL95,Table91517[EnergyRating (group)],AM95,Table91517[CountyName (group)],AT$4)</f>
        <v>2</v>
      </c>
      <c r="AU95" s="1164">
        <f>SUMIFS(Table91517[Count of EnergyRating],Table91517[MainSpaceHeatingFuel],AL95,Table91517[EnergyRating (group)],AM95,Table91517[CountyName (group)],AU$4)</f>
        <v>3</v>
      </c>
      <c r="AV95" s="1164">
        <f>SUMIFS(Table91517[Count of EnergyRating],Table91517[MainSpaceHeatingFuel],AL95,Table91517[EnergyRating (group)],AM95,Table91517[CountyName (group)],AV$4)</f>
        <v>4</v>
      </c>
      <c r="AW95" s="1164">
        <f>SUMIFS(Table91517[Count of EnergyRating],Table91517[MainSpaceHeatingFuel],AL95,Table91517[EnergyRating (group)],AM95,Table91517[CountyName (group)],AW$4)</f>
        <v>0</v>
      </c>
      <c r="AX95" s="1164">
        <f>SUMIFS(Table91517[Count of EnergyRating],Table91517[MainSpaceHeatingFuel],AL95,Table91517[EnergyRating (group)],AM95,Table91517[CountyName (group)],AX$4)</f>
        <v>2</v>
      </c>
      <c r="AY95" s="1164">
        <f>SUMIFS(Table91517[Count of EnergyRating],Table91517[MainSpaceHeatingFuel],AL95,Table91517[EnergyRating (group)],AM95,Table91517[CountyName (group)],AY$4)</f>
        <v>3</v>
      </c>
      <c r="AZ95" s="1164">
        <f>SUMIFS(Table91517[Count of EnergyRating],Table91517[MainSpaceHeatingFuel],AL95,Table91517[EnergyRating (group)],AM95,Table91517[CountyName (group)],AZ$4)</f>
        <v>0</v>
      </c>
      <c r="BA95" s="1164">
        <f>SUMIFS(Table91517[Count of EnergyRating],Table91517[MainSpaceHeatingFuel],AL95,Table91517[EnergyRating (group)],AM95,Table91517[CountyName (group)],BA$4)</f>
        <v>13</v>
      </c>
      <c r="BB95" s="1164">
        <f>SUMIFS(Table91517[Count of EnergyRating],Table91517[MainSpaceHeatingFuel],AL95,Table91517[EnergyRating (group)],AM95,Table91517[CountyName (group)],BB$4)</f>
        <v>3</v>
      </c>
      <c r="BC95" s="1164">
        <f>SUMIFS(Table91517[Count of EnergyRating],Table91517[MainSpaceHeatingFuel],AL95,Table91517[EnergyRating (group)],AM95,Table91517[CountyName (group)],BC$4)</f>
        <v>3</v>
      </c>
      <c r="BD95" s="1164">
        <f>SUMIFS(Table91517[Count of EnergyRating],Table91517[MainSpaceHeatingFuel],AL95,Table91517[EnergyRating (group)],AM95,Table91517[CountyName (group)],BD$4)</f>
        <v>0</v>
      </c>
      <c r="BE95" s="1164">
        <f>SUMIFS(Table91517[Count of EnergyRating],Table91517[MainSpaceHeatingFuel],AL95,Table91517[EnergyRating (group)],AM95,Table91517[CountyName (group)],BE$4)</f>
        <v>0</v>
      </c>
      <c r="BF95" s="1164">
        <f>SUMIFS(Table91517[Count of EnergyRating],Table91517[MainSpaceHeatingFuel],AL95,Table91517[EnergyRating (group)],AM95,Table91517[CountyName (group)],BF$4)</f>
        <v>9</v>
      </c>
      <c r="BG95" s="1164">
        <f>SUMIFS(Table91517[Count of EnergyRating],Table91517[MainSpaceHeatingFuel],AL95,Table91517[EnergyRating (group)],AM95,Table91517[CountyName (group)],BG$4)</f>
        <v>0</v>
      </c>
      <c r="BH95" s="1164">
        <f>SUMIFS(Table91517[Count of EnergyRating],Table91517[MainSpaceHeatingFuel],AL95,Table91517[EnergyRating (group)],AM95,Table91517[CountyName (group)],BH$4)</f>
        <v>2</v>
      </c>
      <c r="BI95" s="1164">
        <f>SUMIFS(Table91517[Count of EnergyRating],Table91517[MainSpaceHeatingFuel],AL95,Table91517[EnergyRating (group)],AM95,Table91517[CountyName (group)],BI$4)</f>
        <v>0</v>
      </c>
      <c r="BJ95" s="1164">
        <f>SUMIFS(Table91517[Count of EnergyRating],Table91517[MainSpaceHeatingFuel],AL95,Table91517[EnergyRating (group)],AM95,Table91517[CountyName (group)],BJ$4)</f>
        <v>0</v>
      </c>
      <c r="BK95" s="1135">
        <f>SUMIFS(Table91517[Count of EnergyRating],Table91517[MainSpaceHeatingFuel],AL95,Table91517[EnergyRating (group)],AM95,Table91517[CountyName (group)],BK$4)</f>
        <v>1</v>
      </c>
      <c r="BL95" s="1164">
        <f>SUMIFS(Table91517[Count of EnergyRating],Table91517[MainSpaceHeatingFuel],AL95,Table91517[EnergyRating (group)],AM95,Table91517[CountyName (group)],BL$4)</f>
        <v>1</v>
      </c>
      <c r="BM95" s="1164">
        <f>SUMIFS(Table91517[Count of EnergyRating],Table91517[MainSpaceHeatingFuel],AL95,Table91517[EnergyRating (group)],AM95,Table91517[CountyName (group)],BM$4)</f>
        <v>0</v>
      </c>
    </row>
    <row r="96" spans="2:65" ht="15">
      <c r="B96" s="1137"/>
      <c r="C96" s="1137" t="s">
        <v>1220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79"/>
      <c r="AG96" s="1164"/>
      <c r="AL96" s="1144" t="s">
        <v>1134</v>
      </c>
      <c r="AM96" s="1144" t="s">
        <v>50</v>
      </c>
      <c r="AN96" s="1135">
        <f>SUMIFS(Table91517[Count of EnergyRating],Table91517[MainSpaceHeatingFuel],AL96,Table91517[EnergyRating (group)],AM96,Table91517[CountyName (group)],AN$4)</f>
        <v>1</v>
      </c>
      <c r="AO96" s="1164">
        <f>SUMIFS(Table91517[Count of EnergyRating],Table91517[MainSpaceHeatingFuel],AL96,Table91517[EnergyRating (group)],AM96,Table91517[CountyName (group)],AO$4)</f>
        <v>2</v>
      </c>
      <c r="AP96" s="1164">
        <f>SUMIFS(Table91517[Count of EnergyRating],Table91517[MainSpaceHeatingFuel],AL96,Table91517[EnergyRating (group)],AM96,Table91517[CountyName (group)],AP$4)</f>
        <v>1</v>
      </c>
      <c r="AQ96" s="1164">
        <f>SUMIFS(Table91517[Count of EnergyRating],Table91517[MainSpaceHeatingFuel],AL96,Table91517[EnergyRating (group)],AM96,Table91517[CountyName (group)],AQ$4)</f>
        <v>0</v>
      </c>
      <c r="AR96" s="1164">
        <f>SUMIFS(Table91517[Count of EnergyRating],Table91517[MainSpaceHeatingFuel],AL96,Table91517[EnergyRating (group)],AM96,Table91517[CountyName (group)],AR$4)</f>
        <v>0</v>
      </c>
      <c r="AS96" s="1164">
        <f>SUMIFS(Table91517[Count of EnergyRating],Table91517[MainSpaceHeatingFuel],AL96,Table91517[EnergyRating (group)],AM96,Table91517[CountyName (group)],AS$4)</f>
        <v>2</v>
      </c>
      <c r="AT96" s="1164">
        <f>SUMIFS(Table91517[Count of EnergyRating],Table91517[MainSpaceHeatingFuel],AL96,Table91517[EnergyRating (group)],AM96,Table91517[CountyName (group)],AT$4)</f>
        <v>0</v>
      </c>
      <c r="AU96" s="1164">
        <f>SUMIFS(Table91517[Count of EnergyRating],Table91517[MainSpaceHeatingFuel],AL96,Table91517[EnergyRating (group)],AM96,Table91517[CountyName (group)],AU$4)</f>
        <v>0</v>
      </c>
      <c r="AV96" s="1164">
        <f>SUMIFS(Table91517[Count of EnergyRating],Table91517[MainSpaceHeatingFuel],AL96,Table91517[EnergyRating (group)],AM96,Table91517[CountyName (group)],AV$4)</f>
        <v>4</v>
      </c>
      <c r="AW96" s="1164">
        <f>SUMIFS(Table91517[Count of EnergyRating],Table91517[MainSpaceHeatingFuel],AL96,Table91517[EnergyRating (group)],AM96,Table91517[CountyName (group)],AW$4)</f>
        <v>3</v>
      </c>
      <c r="AX96" s="1164">
        <f>SUMIFS(Table91517[Count of EnergyRating],Table91517[MainSpaceHeatingFuel],AL96,Table91517[EnergyRating (group)],AM96,Table91517[CountyName (group)],AX$4)</f>
        <v>3</v>
      </c>
      <c r="AY96" s="1164">
        <f>SUMIFS(Table91517[Count of EnergyRating],Table91517[MainSpaceHeatingFuel],AL96,Table91517[EnergyRating (group)],AM96,Table91517[CountyName (group)],AY$4)</f>
        <v>2</v>
      </c>
      <c r="AZ96" s="1164">
        <f>SUMIFS(Table91517[Count of EnergyRating],Table91517[MainSpaceHeatingFuel],AL96,Table91517[EnergyRating (group)],AM96,Table91517[CountyName (group)],AZ$4)</f>
        <v>0</v>
      </c>
      <c r="BA96" s="1164">
        <f>SUMIFS(Table91517[Count of EnergyRating],Table91517[MainSpaceHeatingFuel],AL96,Table91517[EnergyRating (group)],AM96,Table91517[CountyName (group)],BA$4)</f>
        <v>12</v>
      </c>
      <c r="BB96" s="1164">
        <f>SUMIFS(Table91517[Count of EnergyRating],Table91517[MainSpaceHeatingFuel],AL96,Table91517[EnergyRating (group)],AM96,Table91517[CountyName (group)],BB$4)</f>
        <v>3</v>
      </c>
      <c r="BC96" s="1164">
        <f>SUMIFS(Table91517[Count of EnergyRating],Table91517[MainSpaceHeatingFuel],AL96,Table91517[EnergyRating (group)],AM96,Table91517[CountyName (group)],BC$4)</f>
        <v>1</v>
      </c>
      <c r="BD96" s="1164">
        <f>SUMIFS(Table91517[Count of EnergyRating],Table91517[MainSpaceHeatingFuel],AL96,Table91517[EnergyRating (group)],AM96,Table91517[CountyName (group)],BD$4)</f>
        <v>2</v>
      </c>
      <c r="BE96" s="1164">
        <f>SUMIFS(Table91517[Count of EnergyRating],Table91517[MainSpaceHeatingFuel],AL96,Table91517[EnergyRating (group)],AM96,Table91517[CountyName (group)],BE$4)</f>
        <v>0</v>
      </c>
      <c r="BF96" s="1164">
        <f>SUMIFS(Table91517[Count of EnergyRating],Table91517[MainSpaceHeatingFuel],AL96,Table91517[EnergyRating (group)],AM96,Table91517[CountyName (group)],BF$4)</f>
        <v>6</v>
      </c>
      <c r="BG96" s="1164">
        <f>SUMIFS(Table91517[Count of EnergyRating],Table91517[MainSpaceHeatingFuel],AL96,Table91517[EnergyRating (group)],AM96,Table91517[CountyName (group)],BG$4)</f>
        <v>0</v>
      </c>
      <c r="BH96" s="1164">
        <f>SUMIFS(Table91517[Count of EnergyRating],Table91517[MainSpaceHeatingFuel],AL96,Table91517[EnergyRating (group)],AM96,Table91517[CountyName (group)],BH$4)</f>
        <v>1</v>
      </c>
      <c r="BI96" s="1164">
        <f>SUMIFS(Table91517[Count of EnergyRating],Table91517[MainSpaceHeatingFuel],AL96,Table91517[EnergyRating (group)],AM96,Table91517[CountyName (group)],BI$4)</f>
        <v>0</v>
      </c>
      <c r="BJ96" s="1164">
        <f>SUMIFS(Table91517[Count of EnergyRating],Table91517[MainSpaceHeatingFuel],AL96,Table91517[EnergyRating (group)],AM96,Table91517[CountyName (group)],BJ$4)</f>
        <v>1</v>
      </c>
      <c r="BK96" s="1135">
        <f>SUMIFS(Table91517[Count of EnergyRating],Table91517[MainSpaceHeatingFuel],AL96,Table91517[EnergyRating (group)],AM96,Table91517[CountyName (group)],BK$4)</f>
        <v>1</v>
      </c>
      <c r="BL96" s="1164">
        <f>SUMIFS(Table91517[Count of EnergyRating],Table91517[MainSpaceHeatingFuel],AL96,Table91517[EnergyRating (group)],AM96,Table91517[CountyName (group)],BL$4)</f>
        <v>1</v>
      </c>
      <c r="BM96" s="1164">
        <f>SUMIFS(Table91517[Count of EnergyRating],Table91517[MainSpaceHeatingFuel],AL96,Table91517[EnergyRating (group)],AM96,Table91517[CountyName (group)],BM$4)</f>
        <v>3</v>
      </c>
    </row>
    <row r="97" spans="2:65">
      <c r="B97" s="1134" t="s">
        <v>1259</v>
      </c>
      <c r="C97" s="1134" t="s">
        <v>1249</v>
      </c>
      <c r="D97" s="1134" t="s">
        <v>1094</v>
      </c>
      <c r="E97" s="1145">
        <f t="shared" ref="E97:AD97" si="305">IFERROR(G210*((SUM(AN$95:AN$98)/SUM(AN$95:AN$103))/(SUM(G$210)/SUM(G$210:G$215))),G210)</f>
        <v>9.3324662930129622E-3</v>
      </c>
      <c r="F97" s="1145">
        <f t="shared" si="305"/>
        <v>0.10975071669933192</v>
      </c>
      <c r="G97" s="1145">
        <f t="shared" si="305"/>
        <v>7.9344296134007494E-2</v>
      </c>
      <c r="H97" s="1145">
        <f t="shared" si="305"/>
        <v>1.1306103820444438E-2</v>
      </c>
      <c r="I97" s="1145">
        <f t="shared" si="305"/>
        <v>2.8871539426922697E-2</v>
      </c>
      <c r="J97" s="1145">
        <f t="shared" si="305"/>
        <v>1.9852895685743565E-2</v>
      </c>
      <c r="K97" s="1145">
        <f t="shared" si="305"/>
        <v>2.4067370356403089E-2</v>
      </c>
      <c r="L97" s="1145">
        <f t="shared" si="305"/>
        <v>3.295686781938699E-2</v>
      </c>
      <c r="M97" s="1145">
        <f t="shared" si="305"/>
        <v>2.5741996030657511E-2</v>
      </c>
      <c r="N97" s="1145">
        <f t="shared" si="305"/>
        <v>1.9870539290600949E-2</v>
      </c>
      <c r="O97" s="1145">
        <f t="shared" si="305"/>
        <v>3.1123249345637028E-2</v>
      </c>
      <c r="P97" s="1145">
        <f t="shared" si="305"/>
        <v>2.6520784839215696E-2</v>
      </c>
      <c r="Q97" s="1145">
        <f t="shared" si="305"/>
        <v>3.1315860743997476E-2</v>
      </c>
      <c r="R97" s="1145">
        <f t="shared" si="305"/>
        <v>0.194997261118246</v>
      </c>
      <c r="S97" s="1145">
        <f t="shared" si="305"/>
        <v>4.6334128013101779E-2</v>
      </c>
      <c r="T97" s="1145">
        <f t="shared" si="305"/>
        <v>3.4369155026823216E-2</v>
      </c>
      <c r="U97" s="1145">
        <f t="shared" si="305"/>
        <v>2.6347864677152409E-2</v>
      </c>
      <c r="V97" s="1145">
        <f t="shared" si="305"/>
        <v>1.2253461831239803E-2</v>
      </c>
      <c r="W97" s="1145">
        <f t="shared" si="305"/>
        <v>9.8105646850567274E-2</v>
      </c>
      <c r="X97" s="1145">
        <f t="shared" si="305"/>
        <v>1.2541559051118692E-2</v>
      </c>
      <c r="Y97" s="1145">
        <f t="shared" si="305"/>
        <v>3.4965636771913985E-2</v>
      </c>
      <c r="Z97" s="1145">
        <f t="shared" si="305"/>
        <v>2.3743411496111814E-2</v>
      </c>
      <c r="AA97" s="1145">
        <f t="shared" si="305"/>
        <v>1.9973282126713062E-2</v>
      </c>
      <c r="AB97" s="1145">
        <f t="shared" si="305"/>
        <v>1.1724811308695371E-2</v>
      </c>
      <c r="AC97" s="1145">
        <f t="shared" si="305"/>
        <v>3.2480029292320051E-2</v>
      </c>
      <c r="AD97" s="1145">
        <f t="shared" si="305"/>
        <v>2.0063302105839387E-2</v>
      </c>
      <c r="AE97" s="1172">
        <f t="shared" si="240"/>
        <v>1.0179542361552048</v>
      </c>
      <c r="AF97" s="1179"/>
      <c r="AG97" s="1164"/>
      <c r="AL97" s="1144" t="s">
        <v>1134</v>
      </c>
      <c r="AM97" s="1144" t="s">
        <v>52</v>
      </c>
      <c r="AN97" s="1135">
        <f>SUMIFS(Table91517[Count of EnergyRating],Table91517[MainSpaceHeatingFuel],AL97,Table91517[EnergyRating (group)],AM97,Table91517[CountyName (group)],AN$4)</f>
        <v>0</v>
      </c>
      <c r="AO97" s="1164">
        <f>SUMIFS(Table91517[Count of EnergyRating],Table91517[MainSpaceHeatingFuel],AL97,Table91517[EnergyRating (group)],AM97,Table91517[CountyName (group)],AO$4)</f>
        <v>2</v>
      </c>
      <c r="AP97" s="1164">
        <f>SUMIFS(Table91517[Count of EnergyRating],Table91517[MainSpaceHeatingFuel],AL97,Table91517[EnergyRating (group)],AM97,Table91517[CountyName (group)],AP$4)</f>
        <v>3</v>
      </c>
      <c r="AQ97" s="1164">
        <f>SUMIFS(Table91517[Count of EnergyRating],Table91517[MainSpaceHeatingFuel],AL97,Table91517[EnergyRating (group)],AM97,Table91517[CountyName (group)],AQ$4)</f>
        <v>2</v>
      </c>
      <c r="AR97" s="1164">
        <f>SUMIFS(Table91517[Count of EnergyRating],Table91517[MainSpaceHeatingFuel],AL97,Table91517[EnergyRating (group)],AM97,Table91517[CountyName (group)],AR$4)</f>
        <v>3</v>
      </c>
      <c r="AS97" s="1164">
        <f>SUMIFS(Table91517[Count of EnergyRating],Table91517[MainSpaceHeatingFuel],AL97,Table91517[EnergyRating (group)],AM97,Table91517[CountyName (group)],AS$4)</f>
        <v>1</v>
      </c>
      <c r="AT97" s="1164">
        <f>SUMIFS(Table91517[Count of EnergyRating],Table91517[MainSpaceHeatingFuel],AL97,Table91517[EnergyRating (group)],AM97,Table91517[CountyName (group)],AT$4)</f>
        <v>2</v>
      </c>
      <c r="AU97" s="1164">
        <f>SUMIFS(Table91517[Count of EnergyRating],Table91517[MainSpaceHeatingFuel],AL97,Table91517[EnergyRating (group)],AM97,Table91517[CountyName (group)],AU$4)</f>
        <v>2</v>
      </c>
      <c r="AV97" s="1164">
        <f>SUMIFS(Table91517[Count of EnergyRating],Table91517[MainSpaceHeatingFuel],AL97,Table91517[EnergyRating (group)],AM97,Table91517[CountyName (group)],AV$4)</f>
        <v>1</v>
      </c>
      <c r="AW97" s="1164">
        <f>SUMIFS(Table91517[Count of EnergyRating],Table91517[MainSpaceHeatingFuel],AL97,Table91517[EnergyRating (group)],AM97,Table91517[CountyName (group)],AW$4)</f>
        <v>5</v>
      </c>
      <c r="AX97" s="1164">
        <f>SUMIFS(Table91517[Count of EnergyRating],Table91517[MainSpaceHeatingFuel],AL97,Table91517[EnergyRating (group)],AM97,Table91517[CountyName (group)],AX$4)</f>
        <v>2</v>
      </c>
      <c r="AY97" s="1164">
        <f>SUMIFS(Table91517[Count of EnergyRating],Table91517[MainSpaceHeatingFuel],AL97,Table91517[EnergyRating (group)],AM97,Table91517[CountyName (group)],AY$4)</f>
        <v>4</v>
      </c>
      <c r="AZ97" s="1164">
        <f>SUMIFS(Table91517[Count of EnergyRating],Table91517[MainSpaceHeatingFuel],AL97,Table91517[EnergyRating (group)],AM97,Table91517[CountyName (group)],AZ$4)</f>
        <v>4</v>
      </c>
      <c r="BA97" s="1164">
        <f>SUMIFS(Table91517[Count of EnergyRating],Table91517[MainSpaceHeatingFuel],AL97,Table91517[EnergyRating (group)],AM97,Table91517[CountyName (group)],BA$4)</f>
        <v>21</v>
      </c>
      <c r="BB97" s="1164">
        <f>SUMIFS(Table91517[Count of EnergyRating],Table91517[MainSpaceHeatingFuel],AL97,Table91517[EnergyRating (group)],AM97,Table91517[CountyName (group)],BB$4)</f>
        <v>6</v>
      </c>
      <c r="BC97" s="1164">
        <f>SUMIFS(Table91517[Count of EnergyRating],Table91517[MainSpaceHeatingFuel],AL97,Table91517[EnergyRating (group)],AM97,Table91517[CountyName (group)],BC$4)</f>
        <v>1</v>
      </c>
      <c r="BD97" s="1164">
        <f>SUMIFS(Table91517[Count of EnergyRating],Table91517[MainSpaceHeatingFuel],AL97,Table91517[EnergyRating (group)],AM97,Table91517[CountyName (group)],BD$4)</f>
        <v>1</v>
      </c>
      <c r="BE97" s="1164">
        <f>SUMIFS(Table91517[Count of EnergyRating],Table91517[MainSpaceHeatingFuel],AL97,Table91517[EnergyRating (group)],AM97,Table91517[CountyName (group)],BE$4)</f>
        <v>1</v>
      </c>
      <c r="BF97" s="1164">
        <f>SUMIFS(Table91517[Count of EnergyRating],Table91517[MainSpaceHeatingFuel],AL97,Table91517[EnergyRating (group)],AM97,Table91517[CountyName (group)],BF$4)</f>
        <v>8</v>
      </c>
      <c r="BG97" s="1164">
        <f>SUMIFS(Table91517[Count of EnergyRating],Table91517[MainSpaceHeatingFuel],AL97,Table91517[EnergyRating (group)],AM97,Table91517[CountyName (group)],BG$4)</f>
        <v>2</v>
      </c>
      <c r="BH97" s="1164">
        <f>SUMIFS(Table91517[Count of EnergyRating],Table91517[MainSpaceHeatingFuel],AL97,Table91517[EnergyRating (group)],AM97,Table91517[CountyName (group)],BH$4)</f>
        <v>1</v>
      </c>
      <c r="BI97" s="1164">
        <f>SUMIFS(Table91517[Count of EnergyRating],Table91517[MainSpaceHeatingFuel],AL97,Table91517[EnergyRating (group)],AM97,Table91517[CountyName (group)],BI$4)</f>
        <v>1</v>
      </c>
      <c r="BJ97" s="1164">
        <f>SUMIFS(Table91517[Count of EnergyRating],Table91517[MainSpaceHeatingFuel],AL97,Table91517[EnergyRating (group)],AM97,Table91517[CountyName (group)],BJ$4)</f>
        <v>2</v>
      </c>
      <c r="BK97" s="1135">
        <f>SUMIFS(Table91517[Count of EnergyRating],Table91517[MainSpaceHeatingFuel],AL97,Table91517[EnergyRating (group)],AM97,Table91517[CountyName (group)],BK$4)</f>
        <v>1</v>
      </c>
      <c r="BL97" s="1164">
        <f>SUMIFS(Table91517[Count of EnergyRating],Table91517[MainSpaceHeatingFuel],AL97,Table91517[EnergyRating (group)],AM97,Table91517[CountyName (group)],BL$4)</f>
        <v>1</v>
      </c>
      <c r="BM97" s="1164">
        <f>SUMIFS(Table91517[Count of EnergyRating],Table91517[MainSpaceHeatingFuel],AL97,Table91517[EnergyRating (group)],AM97,Table91517[CountyName (group)],BM$4)</f>
        <v>1</v>
      </c>
    </row>
    <row r="98" spans="2:65">
      <c r="B98" s="1136" t="s">
        <v>56</v>
      </c>
      <c r="C98" s="1136" t="s">
        <v>1249</v>
      </c>
      <c r="D98" s="1136" t="s">
        <v>1094</v>
      </c>
      <c r="E98" s="1146">
        <f t="shared" ref="E98:AD98" si="306">IFERROR(G211*((SUM(AN$99)/SUM(AN$95:AN$103))/(SUM(G$211)/SUM(G$210:G$215))),G211)</f>
        <v>1.8664932586025921E-2</v>
      </c>
      <c r="F98" s="1146">
        <f t="shared" si="306"/>
        <v>6.7538902584204266E-2</v>
      </c>
      <c r="G98" s="1146">
        <f t="shared" si="306"/>
        <v>5.0112187032004721E-2</v>
      </c>
      <c r="H98" s="1146">
        <f t="shared" si="306"/>
        <v>2.2612207640888872E-2</v>
      </c>
      <c r="I98" s="1146">
        <f t="shared" si="306"/>
        <v>3.4645847312307229E-2</v>
      </c>
      <c r="J98" s="1146">
        <f t="shared" si="306"/>
        <v>1.5598703753084231E-2</v>
      </c>
      <c r="K98" s="1146">
        <f t="shared" si="306"/>
        <v>3.743813166551592E-2</v>
      </c>
      <c r="L98" s="1146">
        <f t="shared" si="306"/>
        <v>6.5913735638773979E-2</v>
      </c>
      <c r="M98" s="1146">
        <f t="shared" si="306"/>
        <v>3.5642763734756555E-2</v>
      </c>
      <c r="N98" s="1146">
        <f t="shared" si="306"/>
        <v>2.5831701077781235E-2</v>
      </c>
      <c r="O98" s="1146">
        <f t="shared" si="306"/>
        <v>6.8471148560401457E-2</v>
      </c>
      <c r="P98" s="1146">
        <f t="shared" si="306"/>
        <v>3.4098151936134469E-2</v>
      </c>
      <c r="Q98" s="1146">
        <f t="shared" si="306"/>
        <v>5.0587159663380538E-2</v>
      </c>
      <c r="R98" s="1146">
        <f t="shared" si="306"/>
        <v>8.695823806624485E-2</v>
      </c>
      <c r="S98" s="1146">
        <f t="shared" si="306"/>
        <v>5.6088681279017935E-2</v>
      </c>
      <c r="T98" s="1146">
        <f t="shared" si="306"/>
        <v>3.7493623665625336E-2</v>
      </c>
      <c r="U98" s="1146">
        <f t="shared" si="306"/>
        <v>4.3913107795254022E-2</v>
      </c>
      <c r="V98" s="1146">
        <f t="shared" si="306"/>
        <v>4.5950481867149257E-2</v>
      </c>
      <c r="W98" s="1146">
        <f t="shared" si="306"/>
        <v>7.2878480517564265E-2</v>
      </c>
      <c r="X98" s="1146">
        <f t="shared" si="306"/>
        <v>1.504987086134243E-2</v>
      </c>
      <c r="Y98" s="1146">
        <f t="shared" si="306"/>
        <v>8.3379595379179508E-2</v>
      </c>
      <c r="Z98" s="1146">
        <f t="shared" si="306"/>
        <v>2.3743411496111814E-2</v>
      </c>
      <c r="AA98" s="1146">
        <f t="shared" si="306"/>
        <v>1.9973282126713059E-2</v>
      </c>
      <c r="AB98" s="1146">
        <f t="shared" si="306"/>
        <v>4.2990974798549693E-2</v>
      </c>
      <c r="AC98" s="1146">
        <f t="shared" si="306"/>
        <v>0.12631122502568906</v>
      </c>
      <c r="AD98" s="1146">
        <f t="shared" si="306"/>
        <v>2.3407185790145949E-2</v>
      </c>
      <c r="AE98" s="1173">
        <f t="shared" si="240"/>
        <v>1.2052937318538464</v>
      </c>
      <c r="AF98" s="1179"/>
      <c r="AG98" s="1164"/>
      <c r="AL98" s="1144" t="s">
        <v>1134</v>
      </c>
      <c r="AM98" s="1144" t="s">
        <v>54</v>
      </c>
      <c r="AN98" s="1135">
        <f>SUMIFS(Table91517[Count of EnergyRating],Table91517[MainSpaceHeatingFuel],AL98,Table91517[EnergyRating (group)],AM98,Table91517[CountyName (group)],AN$4)</f>
        <v>3</v>
      </c>
      <c r="AO98" s="1164">
        <f>SUMIFS(Table91517[Count of EnergyRating],Table91517[MainSpaceHeatingFuel],AL98,Table91517[EnergyRating (group)],AM98,Table91517[CountyName (group)],AO$4)</f>
        <v>8</v>
      </c>
      <c r="AP98" s="1164">
        <f>SUMIFS(Table91517[Count of EnergyRating],Table91517[MainSpaceHeatingFuel],AL98,Table91517[EnergyRating (group)],AM98,Table91517[CountyName (group)],AP$4)</f>
        <v>12</v>
      </c>
      <c r="AQ98" s="1164">
        <f>SUMIFS(Table91517[Count of EnergyRating],Table91517[MainSpaceHeatingFuel],AL98,Table91517[EnergyRating (group)],AM98,Table91517[CountyName (group)],AQ$4)</f>
        <v>4</v>
      </c>
      <c r="AR98" s="1164">
        <f>SUMIFS(Table91517[Count of EnergyRating],Table91517[MainSpaceHeatingFuel],AL98,Table91517[EnergyRating (group)],AM98,Table91517[CountyName (group)],AR$4)</f>
        <v>5</v>
      </c>
      <c r="AS98" s="1164">
        <f>SUMIFS(Table91517[Count of EnergyRating],Table91517[MainSpaceHeatingFuel],AL98,Table91517[EnergyRating (group)],AM98,Table91517[CountyName (group)],AS$4)</f>
        <v>7</v>
      </c>
      <c r="AT98" s="1164">
        <f>SUMIFS(Table91517[Count of EnergyRating],Table91517[MainSpaceHeatingFuel],AL98,Table91517[EnergyRating (group)],AM98,Table91517[CountyName (group)],AT$4)</f>
        <v>5</v>
      </c>
      <c r="AU98" s="1164">
        <f>SUMIFS(Table91517[Count of EnergyRating],Table91517[MainSpaceHeatingFuel],AL98,Table91517[EnergyRating (group)],AM98,Table91517[CountyName (group)],AU$4)</f>
        <v>7</v>
      </c>
      <c r="AV98" s="1164">
        <f>SUMIFS(Table91517[Count of EnergyRating],Table91517[MainSpaceHeatingFuel],AL98,Table91517[EnergyRating (group)],AM98,Table91517[CountyName (group)],AV$4)</f>
        <v>4</v>
      </c>
      <c r="AW98" s="1164">
        <f>SUMIFS(Table91517[Count of EnergyRating],Table91517[MainSpaceHeatingFuel],AL98,Table91517[EnergyRating (group)],AM98,Table91517[CountyName (group)],AW$4)</f>
        <v>2</v>
      </c>
      <c r="AX98" s="1164">
        <f>SUMIFS(Table91517[Count of EnergyRating],Table91517[MainSpaceHeatingFuel],AL98,Table91517[EnergyRating (group)],AM98,Table91517[CountyName (group)],AX$4)</f>
        <v>8</v>
      </c>
      <c r="AY98" s="1164">
        <f>SUMIFS(Table91517[Count of EnergyRating],Table91517[MainSpaceHeatingFuel],AL98,Table91517[EnergyRating (group)],AM98,Table91517[CountyName (group)],AY$4)</f>
        <v>5</v>
      </c>
      <c r="AZ98" s="1164">
        <f>SUMIFS(Table91517[Count of EnergyRating],Table91517[MainSpaceHeatingFuel],AL98,Table91517[EnergyRating (group)],AM98,Table91517[CountyName (group)],AZ$4)</f>
        <v>9</v>
      </c>
      <c r="BA98" s="1164">
        <f>SUMIFS(Table91517[Count of EnergyRating],Table91517[MainSpaceHeatingFuel],AL98,Table91517[EnergyRating (group)],AM98,Table91517[CountyName (group)],BA$4)</f>
        <v>28</v>
      </c>
      <c r="BB98" s="1164">
        <f>SUMIFS(Table91517[Count of EnergyRating],Table91517[MainSpaceHeatingFuel],AL98,Table91517[EnergyRating (group)],AM98,Table91517[CountyName (group)],BB$4)</f>
        <v>7</v>
      </c>
      <c r="BC98" s="1164">
        <f>SUMIFS(Table91517[Count of EnergyRating],Table91517[MainSpaceHeatingFuel],AL98,Table91517[EnergyRating (group)],AM98,Table91517[CountyName (group)],BC$4)</f>
        <v>6</v>
      </c>
      <c r="BD98" s="1164">
        <f>SUMIFS(Table91517[Count of EnergyRating],Table91517[MainSpaceHeatingFuel],AL98,Table91517[EnergyRating (group)],AM98,Table91517[CountyName (group)],BD$4)</f>
        <v>9</v>
      </c>
      <c r="BE98" s="1164">
        <f>SUMIFS(Table91517[Count of EnergyRating],Table91517[MainSpaceHeatingFuel],AL98,Table91517[EnergyRating (group)],AM98,Table91517[CountyName (group)],BE$4)</f>
        <v>3</v>
      </c>
      <c r="BF98" s="1164">
        <f>SUMIFS(Table91517[Count of EnergyRating],Table91517[MainSpaceHeatingFuel],AL98,Table91517[EnergyRating (group)],AM98,Table91517[CountyName (group)],BF$4)</f>
        <v>12</v>
      </c>
      <c r="BG98" s="1164">
        <f>SUMIFS(Table91517[Count of EnergyRating],Table91517[MainSpaceHeatingFuel],AL98,Table91517[EnergyRating (group)],AM98,Table91517[CountyName (group)],BG$4)</f>
        <v>3</v>
      </c>
      <c r="BH98" s="1164">
        <f>SUMIFS(Table91517[Count of EnergyRating],Table91517[MainSpaceHeatingFuel],AL98,Table91517[EnergyRating (group)],AM98,Table91517[CountyName (group)],BH$4)</f>
        <v>9</v>
      </c>
      <c r="BI98" s="1164">
        <f>SUMIFS(Table91517[Count of EnergyRating],Table91517[MainSpaceHeatingFuel],AL98,Table91517[EnergyRating (group)],AM98,Table91517[CountyName (group)],BI$4)</f>
        <v>8</v>
      </c>
      <c r="BJ98" s="1164">
        <f>SUMIFS(Table91517[Count of EnergyRating],Table91517[MainSpaceHeatingFuel],AL98,Table91517[EnergyRating (group)],AM98,Table91517[CountyName (group)],BJ$4)</f>
        <v>2</v>
      </c>
      <c r="BK98" s="1135">
        <f>SUMIFS(Table91517[Count of EnergyRating],Table91517[MainSpaceHeatingFuel],AL98,Table91517[EnergyRating (group)],AM98,Table91517[CountyName (group)],BK$4)</f>
        <v>0</v>
      </c>
      <c r="BL98" s="1164">
        <f>SUMIFS(Table91517[Count of EnergyRating],Table91517[MainSpaceHeatingFuel],AL98,Table91517[EnergyRating (group)],AM98,Table91517[CountyName (group)],BL$4)</f>
        <v>6</v>
      </c>
      <c r="BM98" s="1164">
        <f>SUMIFS(Table91517[Count of EnergyRating],Table91517[MainSpaceHeatingFuel],AL98,Table91517[EnergyRating (group)],AM98,Table91517[CountyName (group)],BM$4)</f>
        <v>2</v>
      </c>
    </row>
    <row r="99" spans="2:65" ht="15">
      <c r="B99" s="1134" t="s">
        <v>58</v>
      </c>
      <c r="C99" s="1134" t="s">
        <v>1249</v>
      </c>
      <c r="D99" s="1134" t="s">
        <v>1094</v>
      </c>
      <c r="E99" s="1145">
        <f t="shared" ref="E99:AD99" si="307">IFERROR(G212*((SUM(AN$100)/SUM(AN$95:AN$103))/(SUM(G$212)/SUM(G$210:G$215))),G212)</f>
        <v>9.3324662930129622E-3</v>
      </c>
      <c r="F99" s="1145">
        <f t="shared" si="307"/>
        <v>3.3769451292102133E-2</v>
      </c>
      <c r="G99" s="1145">
        <f t="shared" si="307"/>
        <v>8.3520311720007862E-3</v>
      </c>
      <c r="H99" s="1145">
        <f t="shared" si="307"/>
        <v>2.8265259551111092E-2</v>
      </c>
      <c r="I99" s="1145">
        <f t="shared" si="307"/>
        <v>1.1548615770769079E-2</v>
      </c>
      <c r="J99" s="1145">
        <f t="shared" si="307"/>
        <v>2.8361279551062236E-3</v>
      </c>
      <c r="K99" s="1145">
        <f t="shared" si="307"/>
        <v>1.6044913570935394E-2</v>
      </c>
      <c r="L99" s="1145">
        <f t="shared" si="307"/>
        <v>3.8449679122618152E-2</v>
      </c>
      <c r="M99" s="1145">
        <f t="shared" si="307"/>
        <v>5.940460622459425E-3</v>
      </c>
      <c r="N99" s="1145">
        <f t="shared" si="307"/>
        <v>1.9870539290600949E-2</v>
      </c>
      <c r="O99" s="1145">
        <f t="shared" si="307"/>
        <v>1.4524183027963945E-2</v>
      </c>
      <c r="P99" s="1145">
        <f t="shared" si="307"/>
        <v>1.326039241960785E-2</v>
      </c>
      <c r="Q99" s="1145">
        <f t="shared" si="307"/>
        <v>1.6862386554460179E-2</v>
      </c>
      <c r="R99" s="1145">
        <f t="shared" si="307"/>
        <v>6.5877453080488507E-2</v>
      </c>
      <c r="S99" s="1145">
        <f t="shared" si="307"/>
        <v>3.1702298114227534E-2</v>
      </c>
      <c r="T99" s="1145">
        <f t="shared" si="307"/>
        <v>4.3742560943229557E-2</v>
      </c>
      <c r="U99" s="1145">
        <f t="shared" si="307"/>
        <v>4.1717452405491316E-2</v>
      </c>
      <c r="V99" s="1145">
        <f t="shared" si="307"/>
        <v>1.5316827289049751E-2</v>
      </c>
      <c r="W99" s="1145">
        <f t="shared" si="307"/>
        <v>3.6439240258782132E-2</v>
      </c>
      <c r="X99" s="1145">
        <f t="shared" si="307"/>
        <v>2.508311810223738E-3</v>
      </c>
      <c r="Y99" s="1145">
        <f t="shared" si="307"/>
        <v>2.1517314936562452E-2</v>
      </c>
      <c r="Z99" s="1145">
        <f t="shared" si="307"/>
        <v>1.5828940997407878E-2</v>
      </c>
      <c r="AA99" s="1145">
        <f t="shared" si="307"/>
        <v>1.1983969276027837E-2</v>
      </c>
      <c r="AB99" s="1145">
        <f t="shared" si="307"/>
        <v>3.9082704362317904E-3</v>
      </c>
      <c r="AC99" s="1145">
        <f t="shared" si="307"/>
        <v>2.5262245005137816E-2</v>
      </c>
      <c r="AD99" s="1145">
        <f t="shared" si="307"/>
        <v>1.3375534737226255E-2</v>
      </c>
      <c r="AE99" s="1172">
        <f t="shared" si="240"/>
        <v>0.5482369259328348</v>
      </c>
      <c r="AF99" s="1179"/>
      <c r="AG99" s="1164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SUMIFS(Table91517[Count of EnergyRating],Table91517[MainSpaceHeatingFuel],AL99,Table91517[EnergyRating (group)],AM99,Table91517[CountyName (group)],AN$4)</f>
        <v>8</v>
      </c>
      <c r="AO99" s="1164">
        <f>SUMIFS(Table91517[Count of EnergyRating],Table91517[MainSpaceHeatingFuel],AL99,Table91517[EnergyRating (group)],AM99,Table91517[CountyName (group)],AO$4)</f>
        <v>8</v>
      </c>
      <c r="AP99" s="1164">
        <f>SUMIFS(Table91517[Count of EnergyRating],Table91517[MainSpaceHeatingFuel],AL99,Table91517[EnergyRating (group)],AM99,Table91517[CountyName (group)],AP$4)</f>
        <v>12</v>
      </c>
      <c r="AQ99" s="1164">
        <f>SUMIFS(Table91517[Count of EnergyRating],Table91517[MainSpaceHeatingFuel],AL99,Table91517[EnergyRating (group)],AM99,Table91517[CountyName (group)],AQ$4)</f>
        <v>12</v>
      </c>
      <c r="AR99" s="1164">
        <f>SUMIFS(Table91517[Count of EnergyRating],Table91517[MainSpaceHeatingFuel],AL99,Table91517[EnergyRating (group)],AM99,Table91517[CountyName (group)],AR$4)</f>
        <v>12</v>
      </c>
      <c r="AS99" s="1164">
        <f>SUMIFS(Table91517[Count of EnergyRating],Table91517[MainSpaceHeatingFuel],AL99,Table91517[EnergyRating (group)],AM99,Table91517[CountyName (group)],AS$4)</f>
        <v>11</v>
      </c>
      <c r="AT99" s="1164">
        <f>SUMIFS(Table91517[Count of EnergyRating],Table91517[MainSpaceHeatingFuel],AL99,Table91517[EnergyRating (group)],AM99,Table91517[CountyName (group)],AT$4)</f>
        <v>14</v>
      </c>
      <c r="AU99" s="1164">
        <f>SUMIFS(Table91517[Count of EnergyRating],Table91517[MainSpaceHeatingFuel],AL99,Table91517[EnergyRating (group)],AM99,Table91517[CountyName (group)],AU$4)</f>
        <v>24</v>
      </c>
      <c r="AV99" s="1164">
        <f>SUMIFS(Table91517[Count of EnergyRating],Table91517[MainSpaceHeatingFuel],AL99,Table91517[EnergyRating (group)],AM99,Table91517[CountyName (group)],AV$4)</f>
        <v>18</v>
      </c>
      <c r="AW99" s="1164">
        <f>SUMIFS(Table91517[Count of EnergyRating],Table91517[MainSpaceHeatingFuel],AL99,Table91517[EnergyRating (group)],AM99,Table91517[CountyName (group)],AW$4)</f>
        <v>13</v>
      </c>
      <c r="AX99" s="1164">
        <f>SUMIFS(Table91517[Count of EnergyRating],Table91517[MainSpaceHeatingFuel],AL99,Table91517[EnergyRating (group)],AM99,Table91517[CountyName (group)],AX$4)</f>
        <v>33</v>
      </c>
      <c r="AY99" s="1164">
        <f>SUMIFS(Table91517[Count of EnergyRating],Table91517[MainSpaceHeatingFuel],AL99,Table91517[EnergyRating (group)],AM99,Table91517[CountyName (group)],AY$4)</f>
        <v>18</v>
      </c>
      <c r="AZ99" s="1164">
        <f>SUMIFS(Table91517[Count of EnergyRating],Table91517[MainSpaceHeatingFuel],AL99,Table91517[EnergyRating (group)],AM99,Table91517[CountyName (group)],AZ$4)</f>
        <v>21</v>
      </c>
      <c r="BA99" s="1164">
        <f>SUMIFS(Table91517[Count of EnergyRating],Table91517[MainSpaceHeatingFuel],AL99,Table91517[EnergyRating (group)],AM99,Table91517[CountyName (group)],BA$4)</f>
        <v>33</v>
      </c>
      <c r="BB99" s="1164">
        <f>SUMIFS(Table91517[Count of EnergyRating],Table91517[MainSpaceHeatingFuel],AL99,Table91517[EnergyRating (group)],AM99,Table91517[CountyName (group)],BB$4)</f>
        <v>23</v>
      </c>
      <c r="BC99" s="1164">
        <f>SUMIFS(Table91517[Count of EnergyRating],Table91517[MainSpaceHeatingFuel],AL99,Table91517[EnergyRating (group)],AM99,Table91517[CountyName (group)],BC$4)</f>
        <v>12</v>
      </c>
      <c r="BD99" s="1164">
        <f>SUMIFS(Table91517[Count of EnergyRating],Table91517[MainSpaceHeatingFuel],AL99,Table91517[EnergyRating (group)],AM99,Table91517[CountyName (group)],BD$4)</f>
        <v>20</v>
      </c>
      <c r="BE99" s="1164">
        <f>SUMIFS(Table91517[Count of EnergyRating],Table91517[MainSpaceHeatingFuel],AL99,Table91517[EnergyRating (group)],AM99,Table91517[CountyName (group)],BE$4)</f>
        <v>15</v>
      </c>
      <c r="BF99" s="1164">
        <f>SUMIFS(Table91517[Count of EnergyRating],Table91517[MainSpaceHeatingFuel],AL99,Table91517[EnergyRating (group)],AM99,Table91517[CountyName (group)],BF$4)</f>
        <v>26</v>
      </c>
      <c r="BG99" s="1164">
        <f>SUMIFS(Table91517[Count of EnergyRating],Table91517[MainSpaceHeatingFuel],AL99,Table91517[EnergyRating (group)],AM99,Table91517[CountyName (group)],BG$4)</f>
        <v>6</v>
      </c>
      <c r="BH99" s="1164">
        <f>SUMIFS(Table91517[Count of EnergyRating],Table91517[MainSpaceHeatingFuel],AL99,Table91517[EnergyRating (group)],AM99,Table91517[CountyName (group)],BH$4)</f>
        <v>31</v>
      </c>
      <c r="BI99" s="1164">
        <f>SUMIFS(Table91517[Count of EnergyRating],Table91517[MainSpaceHeatingFuel],AL99,Table91517[EnergyRating (group)],AM99,Table91517[CountyName (group)],BI$4)</f>
        <v>9</v>
      </c>
      <c r="BJ99" s="1164">
        <f>SUMIFS(Table91517[Count of EnergyRating],Table91517[MainSpaceHeatingFuel],AL99,Table91517[EnergyRating (group)],AM99,Table91517[CountyName (group)],BJ$4)</f>
        <v>5</v>
      </c>
      <c r="BK99" s="1135">
        <f>SUMIFS(Table91517[Count of EnergyRating],Table91517[MainSpaceHeatingFuel],AL99,Table91517[EnergyRating (group)],AM99,Table91517[CountyName (group)],BK$4)</f>
        <v>11</v>
      </c>
      <c r="BL99" s="1164">
        <f>SUMIFS(Table91517[Count of EnergyRating],Table91517[MainSpaceHeatingFuel],AL99,Table91517[EnergyRating (group)],AM99,Table91517[CountyName (group)],BL$4)</f>
        <v>35</v>
      </c>
      <c r="BM99" s="1164">
        <f>SUMIFS(Table91517[Count of EnergyRating],Table91517[MainSpaceHeatingFuel],AL99,Table91517[EnergyRating (group)],AM99,Table91517[CountyName (group)],BM$4)</f>
        <v>7</v>
      </c>
    </row>
    <row r="100" spans="2:65" ht="15">
      <c r="B100" s="1136" t="s">
        <v>60</v>
      </c>
      <c r="C100" s="1136" t="s">
        <v>1249</v>
      </c>
      <c r="D100" s="1136" t="s">
        <v>1094</v>
      </c>
      <c r="E100" s="1146">
        <f t="shared" ref="E100:AD100" si="308">IFERROR(G213*((SUM(AN$101)/SUM(AN$95:AN$103))/(SUM(G$213)/SUM(G$210:G$215))),G213)</f>
        <v>2.3331165732532401E-3</v>
      </c>
      <c r="F100" s="1146">
        <f t="shared" si="308"/>
        <v>2.5327088469076598E-2</v>
      </c>
      <c r="G100" s="1146">
        <f t="shared" si="308"/>
        <v>4.176015586000394E-3</v>
      </c>
      <c r="H100" s="1146">
        <f t="shared" si="308"/>
        <v>1.6959155730666656E-2</v>
      </c>
      <c r="I100" s="1146">
        <f t="shared" si="308"/>
        <v>0</v>
      </c>
      <c r="J100" s="1146">
        <f t="shared" si="308"/>
        <v>5.6722559102124473E-3</v>
      </c>
      <c r="K100" s="1146">
        <f t="shared" si="308"/>
        <v>1.0696609047290261E-2</v>
      </c>
      <c r="L100" s="1146">
        <f t="shared" si="308"/>
        <v>1.098562260646233E-2</v>
      </c>
      <c r="M100" s="1146">
        <f t="shared" si="308"/>
        <v>3.9603070816396175E-3</v>
      </c>
      <c r="N100" s="1146">
        <f t="shared" si="308"/>
        <v>7.9482157162403793E-3</v>
      </c>
      <c r="O100" s="1146">
        <f t="shared" si="308"/>
        <v>2.2823716186800486E-2</v>
      </c>
      <c r="P100" s="1146">
        <f t="shared" si="308"/>
        <v>1.3260392419607848E-2</v>
      </c>
      <c r="Q100" s="1146">
        <f t="shared" si="308"/>
        <v>1.6862386554460179E-2</v>
      </c>
      <c r="R100" s="1146">
        <f t="shared" si="308"/>
        <v>3.1621177478634487E-2</v>
      </c>
      <c r="S100" s="1146">
        <f t="shared" si="308"/>
        <v>9.7545532659161632E-3</v>
      </c>
      <c r="T100" s="1146">
        <f t="shared" si="308"/>
        <v>1.8746811832812668E-2</v>
      </c>
      <c r="U100" s="1146">
        <f t="shared" si="308"/>
        <v>1.7565243118101606E-2</v>
      </c>
      <c r="V100" s="1146">
        <f t="shared" si="308"/>
        <v>6.1267309156199006E-3</v>
      </c>
      <c r="W100" s="1146">
        <f t="shared" si="308"/>
        <v>1.4015092407223895E-2</v>
      </c>
      <c r="X100" s="1146">
        <f t="shared" si="308"/>
        <v>7.5249354306712148E-3</v>
      </c>
      <c r="Y100" s="1146">
        <f t="shared" si="308"/>
        <v>1.8827650569492146E-2</v>
      </c>
      <c r="Z100" s="1146">
        <f t="shared" si="308"/>
        <v>5.2763136658026252E-3</v>
      </c>
      <c r="AA100" s="1146">
        <f t="shared" si="308"/>
        <v>0</v>
      </c>
      <c r="AB100" s="1146">
        <f t="shared" si="308"/>
        <v>7.8165408724635808E-3</v>
      </c>
      <c r="AC100" s="1146">
        <f t="shared" si="308"/>
        <v>7.2177842871822334E-3</v>
      </c>
      <c r="AD100" s="1146">
        <f t="shared" si="308"/>
        <v>6.6877673686131277E-3</v>
      </c>
      <c r="AE100" s="1173">
        <f t="shared" si="240"/>
        <v>0.29218548309424408</v>
      </c>
      <c r="AF100" s="1179"/>
      <c r="AG100" s="58" t="s">
        <v>1163</v>
      </c>
      <c r="AH100" s="1158">
        <f>SUM(E106:AD111)</f>
        <v>0.52209558652038801</v>
      </c>
      <c r="AI100" s="1140">
        <f>'SHWLP-Det'!S24</f>
        <v>0.52209558652038857</v>
      </c>
      <c r="AJ100" s="1160">
        <f>IFERROR((AI100-AH100)/AI100,"N/A")</f>
        <v>1.0632373202237371E-15</v>
      </c>
      <c r="AL100" s="1144" t="s">
        <v>1134</v>
      </c>
      <c r="AM100" s="1144" t="s">
        <v>58</v>
      </c>
      <c r="AN100" s="1135">
        <f>SUMIFS(Table91517[Count of EnergyRating],Table91517[MainSpaceHeatingFuel],AL100,Table91517[EnergyRating (group)],AM100,Table91517[CountyName (group)],AN$4)</f>
        <v>4</v>
      </c>
      <c r="AO100" s="1164">
        <f>SUMIFS(Table91517[Count of EnergyRating],Table91517[MainSpaceHeatingFuel],AL100,Table91517[EnergyRating (group)],AM100,Table91517[CountyName (group)],AO$4)</f>
        <v>4</v>
      </c>
      <c r="AP100" s="1164">
        <f>SUMIFS(Table91517[Count of EnergyRating],Table91517[MainSpaceHeatingFuel],AL100,Table91517[EnergyRating (group)],AM100,Table91517[CountyName (group)],AP$4)</f>
        <v>2</v>
      </c>
      <c r="AQ100" s="1164">
        <f>SUMIFS(Table91517[Count of EnergyRating],Table91517[MainSpaceHeatingFuel],AL100,Table91517[EnergyRating (group)],AM100,Table91517[CountyName (group)],AQ$4)</f>
        <v>15</v>
      </c>
      <c r="AR100" s="1164">
        <f>SUMIFS(Table91517[Count of EnergyRating],Table91517[MainSpaceHeatingFuel],AL100,Table91517[EnergyRating (group)],AM100,Table91517[CountyName (group)],AR$4)</f>
        <v>4</v>
      </c>
      <c r="AS100" s="1164">
        <f>SUMIFS(Table91517[Count of EnergyRating],Table91517[MainSpaceHeatingFuel],AL100,Table91517[EnergyRating (group)],AM100,Table91517[CountyName (group)],AS$4)</f>
        <v>2</v>
      </c>
      <c r="AT100" s="1164">
        <f>SUMIFS(Table91517[Count of EnergyRating],Table91517[MainSpaceHeatingFuel],AL100,Table91517[EnergyRating (group)],AM100,Table91517[CountyName (group)],AT$4)</f>
        <v>6</v>
      </c>
      <c r="AU100" s="1164">
        <f>SUMIFS(Table91517[Count of EnergyRating],Table91517[MainSpaceHeatingFuel],AL100,Table91517[EnergyRating (group)],AM100,Table91517[CountyName (group)],AU$4)</f>
        <v>14</v>
      </c>
      <c r="AV100" s="1164">
        <f>SUMIFS(Table91517[Count of EnergyRating],Table91517[MainSpaceHeatingFuel],AL100,Table91517[EnergyRating (group)],AM100,Table91517[CountyName (group)],AV$4)</f>
        <v>3</v>
      </c>
      <c r="AW100" s="1164">
        <f>SUMIFS(Table91517[Count of EnergyRating],Table91517[MainSpaceHeatingFuel],AL100,Table91517[EnergyRating (group)],AM100,Table91517[CountyName (group)],AW$4)</f>
        <v>10</v>
      </c>
      <c r="AX100" s="1164">
        <f>SUMIFS(Table91517[Count of EnergyRating],Table91517[MainSpaceHeatingFuel],AL100,Table91517[EnergyRating (group)],AM100,Table91517[CountyName (group)],AX$4)</f>
        <v>7</v>
      </c>
      <c r="AY100" s="1164">
        <f>SUMIFS(Table91517[Count of EnergyRating],Table91517[MainSpaceHeatingFuel],AL100,Table91517[EnergyRating (group)],AM100,Table91517[CountyName (group)],AY$4)</f>
        <v>7</v>
      </c>
      <c r="AZ100" s="1164">
        <f>SUMIFS(Table91517[Count of EnergyRating],Table91517[MainSpaceHeatingFuel],AL100,Table91517[EnergyRating (group)],AM100,Table91517[CountyName (group)],AZ$4)</f>
        <v>7</v>
      </c>
      <c r="BA100" s="1164">
        <f>SUMIFS(Table91517[Count of EnergyRating],Table91517[MainSpaceHeatingFuel],AL100,Table91517[EnergyRating (group)],AM100,Table91517[CountyName (group)],BA$4)</f>
        <v>25</v>
      </c>
      <c r="BB100" s="1164">
        <f>SUMIFS(Table91517[Count of EnergyRating],Table91517[MainSpaceHeatingFuel],AL100,Table91517[EnergyRating (group)],AM100,Table91517[CountyName (group)],BB$4)</f>
        <v>13</v>
      </c>
      <c r="BC100" s="1164">
        <f>SUMIFS(Table91517[Count of EnergyRating],Table91517[MainSpaceHeatingFuel],AL100,Table91517[EnergyRating (group)],AM100,Table91517[CountyName (group)],BC$4)</f>
        <v>14</v>
      </c>
      <c r="BD100" s="1164">
        <f>SUMIFS(Table91517[Count of EnergyRating],Table91517[MainSpaceHeatingFuel],AL100,Table91517[EnergyRating (group)],AM100,Table91517[CountyName (group)],BD$4)</f>
        <v>19</v>
      </c>
      <c r="BE100" s="1164">
        <f>SUMIFS(Table91517[Count of EnergyRating],Table91517[MainSpaceHeatingFuel],AL100,Table91517[EnergyRating (group)],AM100,Table91517[CountyName (group)],BE$4)</f>
        <v>5</v>
      </c>
      <c r="BF100" s="1164">
        <f>SUMIFS(Table91517[Count of EnergyRating],Table91517[MainSpaceHeatingFuel],AL100,Table91517[EnergyRating (group)],AM100,Table91517[CountyName (group)],BF$4)</f>
        <v>13</v>
      </c>
      <c r="BG100" s="1164">
        <f>SUMIFS(Table91517[Count of EnergyRating],Table91517[MainSpaceHeatingFuel],AL100,Table91517[EnergyRating (group)],AM100,Table91517[CountyName (group)],BG$4)</f>
        <v>1</v>
      </c>
      <c r="BH100" s="1164">
        <f>SUMIFS(Table91517[Count of EnergyRating],Table91517[MainSpaceHeatingFuel],AL100,Table91517[EnergyRating (group)],AM100,Table91517[CountyName (group)],BH$4)</f>
        <v>8</v>
      </c>
      <c r="BI100" s="1164">
        <f>SUMIFS(Table91517[Count of EnergyRating],Table91517[MainSpaceHeatingFuel],AL100,Table91517[EnergyRating (group)],AM100,Table91517[CountyName (group)],BI$4)</f>
        <v>6</v>
      </c>
      <c r="BJ100" s="1164">
        <f>SUMIFS(Table91517[Count of EnergyRating],Table91517[MainSpaceHeatingFuel],AL100,Table91517[EnergyRating (group)],AM100,Table91517[CountyName (group)],BJ$4)</f>
        <v>3</v>
      </c>
      <c r="BK100" s="1135">
        <f>SUMIFS(Table91517[Count of EnergyRating],Table91517[MainSpaceHeatingFuel],AL100,Table91517[EnergyRating (group)],AM100,Table91517[CountyName (group)],BK$4)</f>
        <v>1</v>
      </c>
      <c r="BL100" s="1164">
        <f>SUMIFS(Table91517[Count of EnergyRating],Table91517[MainSpaceHeatingFuel],AL100,Table91517[EnergyRating (group)],AM100,Table91517[CountyName (group)],BL$4)</f>
        <v>7</v>
      </c>
      <c r="BM100" s="1164">
        <f>SUMIFS(Table91517[Count of EnergyRating],Table91517[MainSpaceHeatingFuel],AL100,Table91517[EnergyRating (group)],AM100,Table91517[CountyName (group)],BM$4)</f>
        <v>4</v>
      </c>
    </row>
    <row r="101" spans="2:65" ht="15">
      <c r="B101" s="1134" t="s">
        <v>62</v>
      </c>
      <c r="C101" s="1134" t="s">
        <v>1249</v>
      </c>
      <c r="D101" s="1134" t="s">
        <v>1094</v>
      </c>
      <c r="E101" s="1145">
        <f t="shared" ref="E101:AD101" si="309">IFERROR(G214*((SUM(AN$102)/SUM(AN$95:AN$103))/(SUM(G$214)/SUM(G$210:G$215))),G214)</f>
        <v>4.6662331465064802E-3</v>
      </c>
      <c r="F101" s="1145">
        <f t="shared" si="309"/>
        <v>0</v>
      </c>
      <c r="G101" s="1145">
        <f t="shared" si="309"/>
        <v>0</v>
      </c>
      <c r="H101" s="1145">
        <f t="shared" si="309"/>
        <v>9.4217531837036978E-3</v>
      </c>
      <c r="I101" s="1145">
        <f t="shared" si="309"/>
        <v>5.7743078853845393E-3</v>
      </c>
      <c r="J101" s="1145">
        <f t="shared" si="309"/>
        <v>2.8361279551062236E-3</v>
      </c>
      <c r="K101" s="1145">
        <f t="shared" si="309"/>
        <v>2.6741522618225653E-3</v>
      </c>
      <c r="L101" s="1145">
        <f t="shared" si="309"/>
        <v>5.4928113032311644E-3</v>
      </c>
      <c r="M101" s="1145">
        <f t="shared" si="309"/>
        <v>3.9603070816396175E-3</v>
      </c>
      <c r="N101" s="1145">
        <f t="shared" si="309"/>
        <v>5.961161787180284E-3</v>
      </c>
      <c r="O101" s="1145">
        <f t="shared" si="309"/>
        <v>4.1497665794182704E-3</v>
      </c>
      <c r="P101" s="1145">
        <f t="shared" si="309"/>
        <v>1.8943417742296926E-3</v>
      </c>
      <c r="Q101" s="1145">
        <f t="shared" si="309"/>
        <v>4.8178247298457655E-3</v>
      </c>
      <c r="R101" s="1145">
        <f t="shared" si="309"/>
        <v>1.5810588739317243E-2</v>
      </c>
      <c r="S101" s="1145">
        <f t="shared" si="309"/>
        <v>1.4631829898874247E-2</v>
      </c>
      <c r="T101" s="1145">
        <f t="shared" si="309"/>
        <v>6.2489372776042221E-3</v>
      </c>
      <c r="U101" s="1145">
        <f t="shared" si="309"/>
        <v>1.5369587728338905E-2</v>
      </c>
      <c r="V101" s="1145">
        <f t="shared" si="309"/>
        <v>1.2253461831239803E-2</v>
      </c>
      <c r="W101" s="1145">
        <f t="shared" si="309"/>
        <v>1.9621129370113455E-2</v>
      </c>
      <c r="X101" s="1145">
        <f t="shared" si="309"/>
        <v>2.5083118102237384E-3</v>
      </c>
      <c r="Y101" s="1145">
        <f t="shared" si="309"/>
        <v>2.6896643670703065E-3</v>
      </c>
      <c r="Z101" s="1145">
        <f t="shared" si="309"/>
        <v>7.9144704987039391E-3</v>
      </c>
      <c r="AA101" s="1145">
        <f t="shared" si="309"/>
        <v>0</v>
      </c>
      <c r="AB101" s="1145">
        <f t="shared" si="309"/>
        <v>3.9082704362317904E-3</v>
      </c>
      <c r="AC101" s="1145">
        <f t="shared" si="309"/>
        <v>3.6088921435911167E-3</v>
      </c>
      <c r="AD101" s="1145">
        <f t="shared" si="309"/>
        <v>3.3438836843065639E-3</v>
      </c>
      <c r="AE101" s="1172">
        <f t="shared" si="240"/>
        <v>0.15955781547368364</v>
      </c>
      <c r="AF101" s="1179"/>
      <c r="AG101" s="58" t="s">
        <v>1107</v>
      </c>
      <c r="AH101" s="1158">
        <f>SUM(E113:AD113)</f>
        <v>0.52738577371253448</v>
      </c>
      <c r="AI101" s="1140">
        <f>'SHWLP-Det'!S50</f>
        <v>0.52738577371253426</v>
      </c>
      <c r="AJ101" s="1160">
        <f>(AI101-AH101)/AI101</f>
        <v>-4.210288103942346E-16</v>
      </c>
      <c r="AL101" s="1144" t="s">
        <v>1134</v>
      </c>
      <c r="AM101" s="1144" t="s">
        <v>60</v>
      </c>
      <c r="AN101" s="1135">
        <f>SUMIFS(Table91517[Count of EnergyRating],Table91517[MainSpaceHeatingFuel],AL101,Table91517[EnergyRating (group)],AM101,Table91517[CountyName (group)],AN$4)</f>
        <v>1</v>
      </c>
      <c r="AO101" s="1164">
        <f>SUMIFS(Table91517[Count of EnergyRating],Table91517[MainSpaceHeatingFuel],AL101,Table91517[EnergyRating (group)],AM101,Table91517[CountyName (group)],AO$4)</f>
        <v>3</v>
      </c>
      <c r="AP101" s="1164">
        <f>SUMIFS(Table91517[Count of EnergyRating],Table91517[MainSpaceHeatingFuel],AL101,Table91517[EnergyRating (group)],AM101,Table91517[CountyName (group)],AP$4)</f>
        <v>1</v>
      </c>
      <c r="AQ101" s="1164">
        <f>SUMIFS(Table91517[Count of EnergyRating],Table91517[MainSpaceHeatingFuel],AL101,Table91517[EnergyRating (group)],AM101,Table91517[CountyName (group)],AQ$4)</f>
        <v>9</v>
      </c>
      <c r="AR101" s="1164">
        <f>SUMIFS(Table91517[Count of EnergyRating],Table91517[MainSpaceHeatingFuel],AL101,Table91517[EnergyRating (group)],AM101,Table91517[CountyName (group)],AR$4)</f>
        <v>0</v>
      </c>
      <c r="AS101" s="1164">
        <f>SUMIFS(Table91517[Count of EnergyRating],Table91517[MainSpaceHeatingFuel],AL101,Table91517[EnergyRating (group)],AM101,Table91517[CountyName (group)],AS$4)</f>
        <v>4</v>
      </c>
      <c r="AT101" s="1164">
        <f>SUMIFS(Table91517[Count of EnergyRating],Table91517[MainSpaceHeatingFuel],AL101,Table91517[EnergyRating (group)],AM101,Table91517[CountyName (group)],AT$4)</f>
        <v>4</v>
      </c>
      <c r="AU101" s="1164">
        <f>SUMIFS(Table91517[Count of EnergyRating],Table91517[MainSpaceHeatingFuel],AL101,Table91517[EnergyRating (group)],AM101,Table91517[CountyName (group)],AU$4)</f>
        <v>4</v>
      </c>
      <c r="AV101" s="1164">
        <f>SUMIFS(Table91517[Count of EnergyRating],Table91517[MainSpaceHeatingFuel],AL101,Table91517[EnergyRating (group)],AM101,Table91517[CountyName (group)],AV$4)</f>
        <v>2</v>
      </c>
      <c r="AW101" s="1164">
        <f>SUMIFS(Table91517[Count of EnergyRating],Table91517[MainSpaceHeatingFuel],AL101,Table91517[EnergyRating (group)],AM101,Table91517[CountyName (group)],AW$4)</f>
        <v>4</v>
      </c>
      <c r="AX101" s="1164">
        <f>SUMIFS(Table91517[Count of EnergyRating],Table91517[MainSpaceHeatingFuel],AL101,Table91517[EnergyRating (group)],AM101,Table91517[CountyName (group)],AX$4)</f>
        <v>11</v>
      </c>
      <c r="AY101" s="1164">
        <f>SUMIFS(Table91517[Count of EnergyRating],Table91517[MainSpaceHeatingFuel],AL101,Table91517[EnergyRating (group)],AM101,Table91517[CountyName (group)],AY$4)</f>
        <v>7</v>
      </c>
      <c r="AZ101" s="1164">
        <f>SUMIFS(Table91517[Count of EnergyRating],Table91517[MainSpaceHeatingFuel],AL101,Table91517[EnergyRating (group)],AM101,Table91517[CountyName (group)],AZ$4)</f>
        <v>7</v>
      </c>
      <c r="BA101" s="1164">
        <f>SUMIFS(Table91517[Count of EnergyRating],Table91517[MainSpaceHeatingFuel],AL101,Table91517[EnergyRating (group)],AM101,Table91517[CountyName (group)],BA$4)</f>
        <v>12</v>
      </c>
      <c r="BB101" s="1164">
        <f>SUMIFS(Table91517[Count of EnergyRating],Table91517[MainSpaceHeatingFuel],AL101,Table91517[EnergyRating (group)],AM101,Table91517[CountyName (group)],BB$4)</f>
        <v>4</v>
      </c>
      <c r="BC101" s="1164">
        <f>SUMIFS(Table91517[Count of EnergyRating],Table91517[MainSpaceHeatingFuel],AL101,Table91517[EnergyRating (group)],AM101,Table91517[CountyName (group)],BC$4)</f>
        <v>6</v>
      </c>
      <c r="BD101" s="1164">
        <f>SUMIFS(Table91517[Count of EnergyRating],Table91517[MainSpaceHeatingFuel],AL101,Table91517[EnergyRating (group)],AM101,Table91517[CountyName (group)],BD$4)</f>
        <v>8</v>
      </c>
      <c r="BE101" s="1164">
        <f>SUMIFS(Table91517[Count of EnergyRating],Table91517[MainSpaceHeatingFuel],AL101,Table91517[EnergyRating (group)],AM101,Table91517[CountyName (group)],BE$4)</f>
        <v>2</v>
      </c>
      <c r="BF101" s="1164">
        <f>SUMIFS(Table91517[Count of EnergyRating],Table91517[MainSpaceHeatingFuel],AL101,Table91517[EnergyRating (group)],AM101,Table91517[CountyName (group)],BF$4)</f>
        <v>5</v>
      </c>
      <c r="BG101" s="1164">
        <f>SUMIFS(Table91517[Count of EnergyRating],Table91517[MainSpaceHeatingFuel],AL101,Table91517[EnergyRating (group)],AM101,Table91517[CountyName (group)],BG$4)</f>
        <v>3</v>
      </c>
      <c r="BH101" s="1164">
        <f>SUMIFS(Table91517[Count of EnergyRating],Table91517[MainSpaceHeatingFuel],AL101,Table91517[EnergyRating (group)],AM101,Table91517[CountyName (group)],BH$4)</f>
        <v>7</v>
      </c>
      <c r="BI101" s="1164">
        <f>SUMIFS(Table91517[Count of EnergyRating],Table91517[MainSpaceHeatingFuel],AL101,Table91517[EnergyRating (group)],AM101,Table91517[CountyName (group)],BI$4)</f>
        <v>2</v>
      </c>
      <c r="BJ101" s="1164">
        <f>SUMIFS(Table91517[Count of EnergyRating],Table91517[MainSpaceHeatingFuel],AL101,Table91517[EnergyRating (group)],AM101,Table91517[CountyName (group)],BJ$4)</f>
        <v>0</v>
      </c>
      <c r="BK101" s="1135">
        <f>SUMIFS(Table91517[Count of EnergyRating],Table91517[MainSpaceHeatingFuel],AL101,Table91517[EnergyRating (group)],AM101,Table91517[CountyName (group)],BK$4)</f>
        <v>2</v>
      </c>
      <c r="BL101" s="1164">
        <f>SUMIFS(Table91517[Count of EnergyRating],Table91517[MainSpaceHeatingFuel],AL101,Table91517[EnergyRating (group)],AM101,Table91517[CountyName (group)],BL$4)</f>
        <v>2</v>
      </c>
      <c r="BM101" s="1164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38" t="s">
        <v>64</v>
      </c>
      <c r="C102" s="1138" t="s">
        <v>1249</v>
      </c>
      <c r="D102" s="1138" t="s">
        <v>1094</v>
      </c>
      <c r="E102" s="1147">
        <f t="shared" ref="E102:AD102" si="310">IFERROR(G215*((SUM(AN$103)/SUM(AN$95:AN$103))/(SUM(G$215)/SUM(G$210:G$215))),G215)</f>
        <v>9.3324662930129604E-3</v>
      </c>
      <c r="F102" s="1147">
        <f t="shared" si="310"/>
        <v>4.2211814115127665E-2</v>
      </c>
      <c r="G102" s="1147">
        <f t="shared" si="310"/>
        <v>8.352031172000788E-3</v>
      </c>
      <c r="H102" s="1147">
        <f t="shared" si="310"/>
        <v>1.5074805093925916E-2</v>
      </c>
      <c r="I102" s="1147">
        <f t="shared" si="310"/>
        <v>0</v>
      </c>
      <c r="J102" s="1147">
        <f t="shared" si="310"/>
        <v>1.4180639775531118E-3</v>
      </c>
      <c r="K102" s="1147">
        <f t="shared" si="310"/>
        <v>2.6741522618225653E-3</v>
      </c>
      <c r="L102" s="1147">
        <f t="shared" si="310"/>
        <v>1.6478433909693495E-2</v>
      </c>
      <c r="M102" s="1147">
        <f t="shared" si="310"/>
        <v>3.9603070816396167E-3</v>
      </c>
      <c r="N102" s="1147">
        <f t="shared" si="310"/>
        <v>3.9741078581201896E-3</v>
      </c>
      <c r="O102" s="1147">
        <f t="shared" si="310"/>
        <v>2.6973482766218759E-2</v>
      </c>
      <c r="P102" s="1147">
        <f t="shared" si="310"/>
        <v>2.2732101290756312E-2</v>
      </c>
      <c r="Q102" s="1147">
        <f t="shared" si="310"/>
        <v>9.635649459691531E-3</v>
      </c>
      <c r="R102" s="1147">
        <f t="shared" si="310"/>
        <v>4.4796668094732192E-2</v>
      </c>
      <c r="S102" s="1147">
        <f t="shared" si="310"/>
        <v>2.1947744848311371E-2</v>
      </c>
      <c r="T102" s="1147">
        <f t="shared" si="310"/>
        <v>2.1871280471614775E-2</v>
      </c>
      <c r="U102" s="1147">
        <f t="shared" si="310"/>
        <v>2.8543520066915112E-2</v>
      </c>
      <c r="V102" s="1147">
        <f t="shared" si="310"/>
        <v>3.0633654578099503E-3</v>
      </c>
      <c r="W102" s="1147">
        <f t="shared" si="310"/>
        <v>3.3636221777337348E-2</v>
      </c>
      <c r="X102" s="1147">
        <f t="shared" si="310"/>
        <v>5.0166236204474768E-3</v>
      </c>
      <c r="Y102" s="1147">
        <f t="shared" si="310"/>
        <v>1.0758657468281226E-2</v>
      </c>
      <c r="Z102" s="1147">
        <f t="shared" si="310"/>
        <v>1.3190784164506562E-2</v>
      </c>
      <c r="AA102" s="1147">
        <f t="shared" si="310"/>
        <v>1.9973282126713062E-2</v>
      </c>
      <c r="AB102" s="1147">
        <f t="shared" si="310"/>
        <v>1.954135218115895E-2</v>
      </c>
      <c r="AC102" s="1147">
        <f t="shared" si="310"/>
        <v>7.2177842871822334E-3</v>
      </c>
      <c r="AD102" s="1147">
        <f t="shared" si="310"/>
        <v>3.3438836843065639E-3</v>
      </c>
      <c r="AE102" s="1174">
        <f t="shared" si="240"/>
        <v>0.39571858352887973</v>
      </c>
      <c r="AG102" s="1164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SUMIFS(Table91517[Count of EnergyRating],Table91517[MainSpaceHeatingFuel],AL102,Table91517[EnergyRating (group)],AM102,Table91517[CountyName (group)],AN$4)</f>
        <v>2</v>
      </c>
      <c r="AO102" s="1164">
        <f>SUMIFS(Table91517[Count of EnergyRating],Table91517[MainSpaceHeatingFuel],AL102,Table91517[EnergyRating (group)],AM102,Table91517[CountyName (group)],AO$4)</f>
        <v>0</v>
      </c>
      <c r="AP102" s="1164">
        <f>SUMIFS(Table91517[Count of EnergyRating],Table91517[MainSpaceHeatingFuel],AL102,Table91517[EnergyRating (group)],AM102,Table91517[CountyName (group)],AP$4)</f>
        <v>0</v>
      </c>
      <c r="AQ102" s="1164">
        <f>SUMIFS(Table91517[Count of EnergyRating],Table91517[MainSpaceHeatingFuel],AL102,Table91517[EnergyRating (group)],AM102,Table91517[CountyName (group)],AQ$4)</f>
        <v>5</v>
      </c>
      <c r="AR102" s="1164">
        <f>SUMIFS(Table91517[Count of EnergyRating],Table91517[MainSpaceHeatingFuel],AL102,Table91517[EnergyRating (group)],AM102,Table91517[CountyName (group)],AR$4)</f>
        <v>2</v>
      </c>
      <c r="AS102" s="1164">
        <f>SUMIFS(Table91517[Count of EnergyRating],Table91517[MainSpaceHeatingFuel],AL102,Table91517[EnergyRating (group)],AM102,Table91517[CountyName (group)],AS$4)</f>
        <v>2</v>
      </c>
      <c r="AT102" s="1164">
        <f>SUMIFS(Table91517[Count of EnergyRating],Table91517[MainSpaceHeatingFuel],AL102,Table91517[EnergyRating (group)],AM102,Table91517[CountyName (group)],AT$4)</f>
        <v>1</v>
      </c>
      <c r="AU102" s="1164">
        <f>SUMIFS(Table91517[Count of EnergyRating],Table91517[MainSpaceHeatingFuel],AL102,Table91517[EnergyRating (group)],AM102,Table91517[CountyName (group)],AU$4)</f>
        <v>2</v>
      </c>
      <c r="AV102" s="1164">
        <f>SUMIFS(Table91517[Count of EnergyRating],Table91517[MainSpaceHeatingFuel],AL102,Table91517[EnergyRating (group)],AM102,Table91517[CountyName (group)],AV$4)</f>
        <v>2</v>
      </c>
      <c r="AW102" s="1164">
        <f>SUMIFS(Table91517[Count of EnergyRating],Table91517[MainSpaceHeatingFuel],AL102,Table91517[EnergyRating (group)],AM102,Table91517[CountyName (group)],AW$4)</f>
        <v>3</v>
      </c>
      <c r="AX102" s="1164">
        <f>SUMIFS(Table91517[Count of EnergyRating],Table91517[MainSpaceHeatingFuel],AL102,Table91517[EnergyRating (group)],AM102,Table91517[CountyName (group)],AX$4)</f>
        <v>2</v>
      </c>
      <c r="AY102" s="1164">
        <f>SUMIFS(Table91517[Count of EnergyRating],Table91517[MainSpaceHeatingFuel],AL102,Table91517[EnergyRating (group)],AM102,Table91517[CountyName (group)],AY$4)</f>
        <v>1</v>
      </c>
      <c r="AZ102" s="1164">
        <f>SUMIFS(Table91517[Count of EnergyRating],Table91517[MainSpaceHeatingFuel],AL102,Table91517[EnergyRating (group)],AM102,Table91517[CountyName (group)],AZ$4)</f>
        <v>2</v>
      </c>
      <c r="BA102" s="1164">
        <f>SUMIFS(Table91517[Count of EnergyRating],Table91517[MainSpaceHeatingFuel],AL102,Table91517[EnergyRating (group)],AM102,Table91517[CountyName (group)],BA$4)</f>
        <v>6</v>
      </c>
      <c r="BB102" s="1164">
        <f>SUMIFS(Table91517[Count of EnergyRating],Table91517[MainSpaceHeatingFuel],AL102,Table91517[EnergyRating (group)],AM102,Table91517[CountyName (group)],BB$4)</f>
        <v>6</v>
      </c>
      <c r="BC102" s="1164">
        <f>SUMIFS(Table91517[Count of EnergyRating],Table91517[MainSpaceHeatingFuel],AL102,Table91517[EnergyRating (group)],AM102,Table91517[CountyName (group)],BC$4)</f>
        <v>2</v>
      </c>
      <c r="BD102" s="1164">
        <f>SUMIFS(Table91517[Count of EnergyRating],Table91517[MainSpaceHeatingFuel],AL102,Table91517[EnergyRating (group)],AM102,Table91517[CountyName (group)],BD$4)</f>
        <v>7</v>
      </c>
      <c r="BE102" s="1164">
        <f>SUMIFS(Table91517[Count of EnergyRating],Table91517[MainSpaceHeatingFuel],AL102,Table91517[EnergyRating (group)],AM102,Table91517[CountyName (group)],BE$4)</f>
        <v>4</v>
      </c>
      <c r="BF102" s="1152">
        <f>SUMIFS(Table91517[Count of EnergyRating],Table91517[MainSpaceHeatingFuel],AL102,Table91517[EnergyRating (group)],AM102,Table91517[CountyName (group)],BF$4)</f>
        <v>7</v>
      </c>
      <c r="BG102" s="1164">
        <f>SUMIFS(Table91517[Count of EnergyRating],Table91517[MainSpaceHeatingFuel],AL102,Table91517[EnergyRating (group)],AM102,Table91517[CountyName (group)],BG$4)</f>
        <v>1</v>
      </c>
      <c r="BH102" s="1164">
        <f>SUMIFS(Table91517[Count of EnergyRating],Table91517[MainSpaceHeatingFuel],AL102,Table91517[EnergyRating (group)],AM102,Table91517[CountyName (group)],BH$4)</f>
        <v>1</v>
      </c>
      <c r="BI102" s="1164">
        <f>SUMIFS(Table91517[Count of EnergyRating],Table91517[MainSpaceHeatingFuel],AL102,Table91517[EnergyRating (group)],AM102,Table91517[CountyName (group)],BI$4)</f>
        <v>3</v>
      </c>
      <c r="BJ102" s="1164">
        <f>SUMIFS(Table91517[Count of EnergyRating],Table91517[MainSpaceHeatingFuel],AL102,Table91517[EnergyRating (group)],AM102,Table91517[CountyName (group)],BJ$4)</f>
        <v>0</v>
      </c>
      <c r="BK102" s="1135">
        <f>SUMIFS(Table91517[Count of EnergyRating],Table91517[MainSpaceHeatingFuel],AL102,Table91517[EnergyRating (group)],AM102,Table91517[CountyName (group)],BK$4)</f>
        <v>1</v>
      </c>
      <c r="BL102" s="1164">
        <f>SUMIFS(Table91517[Count of EnergyRating],Table91517[MainSpaceHeatingFuel],AL102,Table91517[EnergyRating (group)],AM102,Table91517[CountyName (group)],BL$4)</f>
        <v>1</v>
      </c>
      <c r="BM102" s="1164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38" t="s">
        <v>1075</v>
      </c>
      <c r="C103" s="1136" t="s">
        <v>1249</v>
      </c>
      <c r="D103" s="1136" t="s">
        <v>1094</v>
      </c>
      <c r="E103" s="1147">
        <f>SUM(E97:E102)</f>
        <v>5.3661681184824526E-2</v>
      </c>
      <c r="F103" s="1147">
        <f t="shared" ref="F103" si="311">SUM(F97:F102)</f>
        <v>0.27859797315984258</v>
      </c>
      <c r="G103" s="1147">
        <f t="shared" ref="G103" si="312">SUM(G97:G102)</f>
        <v>0.15033656109601418</v>
      </c>
      <c r="H103" s="1147">
        <f t="shared" ref="H103" si="313">SUM(H97:H102)</f>
        <v>0.10363928502074067</v>
      </c>
      <c r="I103" s="1147">
        <f t="shared" ref="I103" si="314">SUM(I97:I102)</f>
        <v>8.0840310395383544E-2</v>
      </c>
      <c r="J103" s="1147">
        <f t="shared" ref="J103" si="315">SUM(J97:J102)</f>
        <v>4.8214175236805802E-2</v>
      </c>
      <c r="K103" s="1147">
        <f t="shared" ref="K103" si="316">SUM(K97:K102)</f>
        <v>9.3595329163789792E-2</v>
      </c>
      <c r="L103" s="1147">
        <f t="shared" ref="L103" si="317">SUM(L97:L102)</f>
        <v>0.17027715040016611</v>
      </c>
      <c r="M103" s="1147">
        <f t="shared" ref="M103" si="318">SUM(M97:M102)</f>
        <v>7.9206141632792354E-2</v>
      </c>
      <c r="N103" s="1147">
        <f t="shared" ref="N103" si="319">SUM(N97:N102)</f>
        <v>8.3456265020523987E-2</v>
      </c>
      <c r="O103" s="1147">
        <f t="shared" ref="O103" si="320">SUM(O97:O102)</f>
        <v>0.16806554646643992</v>
      </c>
      <c r="P103" s="1147">
        <f t="shared" ref="P103" si="321">SUM(P97:P102)</f>
        <v>0.11176616467955186</v>
      </c>
      <c r="Q103" s="1147">
        <f t="shared" ref="Q103" si="322">SUM(Q97:Q102)</f>
        <v>0.13008126770583567</v>
      </c>
      <c r="R103" s="1147">
        <f t="shared" ref="R103" si="323">SUM(R97:R102)</f>
        <v>0.44006138657766325</v>
      </c>
      <c r="S103" s="1147">
        <f t="shared" ref="S103" si="324">SUM(S97:S102)</f>
        <v>0.18045923541944903</v>
      </c>
      <c r="T103" s="1147">
        <f t="shared" ref="T103" si="325">SUM(T97:T102)</f>
        <v>0.16247236921770977</v>
      </c>
      <c r="U103" s="1147">
        <f t="shared" ref="U103" si="326">SUM(U97:U102)</f>
        <v>0.17345677579125338</v>
      </c>
      <c r="V103" s="1147">
        <f t="shared" ref="V103" si="327">SUM(V97:V102)</f>
        <v>9.4964329192108468E-2</v>
      </c>
      <c r="W103" s="1147">
        <f t="shared" ref="W103" si="328">SUM(W97:W102)</f>
        <v>0.27469581118158837</v>
      </c>
      <c r="X103" s="1147">
        <f t="shared" ref="X103" si="329">SUM(X97:X102)</f>
        <v>4.514961258402729E-2</v>
      </c>
      <c r="Y103" s="1147">
        <f t="shared" ref="Y103" si="330">SUM(Y97:Y102)</f>
        <v>0.17213851949249961</v>
      </c>
      <c r="Z103" s="1147">
        <f t="shared" ref="Z103" si="331">SUM(Z97:Z102)</f>
        <v>8.9697332318644629E-2</v>
      </c>
      <c r="AA103" s="1147">
        <f t="shared" ref="AA103" si="332">SUM(AA97:AA102)</f>
        <v>7.1903815656167019E-2</v>
      </c>
      <c r="AB103" s="1147">
        <f t="shared" ref="AB103" si="333">SUM(AB97:AB102)</f>
        <v>8.9890220033331178E-2</v>
      </c>
      <c r="AC103" s="1147">
        <f t="shared" ref="AC103" si="334">SUM(AC97:AC102)</f>
        <v>0.2020979600411025</v>
      </c>
      <c r="AD103" s="1147">
        <f t="shared" ref="AD103" si="335">SUM(AD97:AD102)</f>
        <v>7.0221557370437837E-2</v>
      </c>
      <c r="AE103" s="1147">
        <f t="shared" ref="AE103" si="336">SUM(AE97:AE102)</f>
        <v>3.6189467760386935</v>
      </c>
      <c r="AG103" s="58" t="s">
        <v>1107</v>
      </c>
      <c r="AH103" s="1158">
        <f>SUM(E115:AD115)</f>
        <v>7.2949943220136699</v>
      </c>
      <c r="AI103" s="1140">
        <f>'SHWLP-Det'!S51</f>
        <v>7.294994322013669</v>
      </c>
      <c r="AJ103" s="1160">
        <f>(AI103-AH103)/AI103</f>
        <v>-1.2175176298902965E-16</v>
      </c>
      <c r="AL103" s="1144" t="s">
        <v>1134</v>
      </c>
      <c r="AM103" s="1144" t="s">
        <v>64</v>
      </c>
      <c r="AN103" s="1135">
        <f>SUMIFS(Table91517[Count of EnergyRating],Table91517[MainSpaceHeatingFuel],AL103,Table91517[EnergyRating (group)],AM103,Table91517[CountyName (group)],AN$4)</f>
        <v>4</v>
      </c>
      <c r="AO103" s="1164">
        <f>SUMIFS(Table91517[Count of EnergyRating],Table91517[MainSpaceHeatingFuel],AL103,Table91517[EnergyRating (group)],AM103,Table91517[CountyName (group)],AO$4)</f>
        <v>5</v>
      </c>
      <c r="AP103" s="1164">
        <f>SUMIFS(Table91517[Count of EnergyRating],Table91517[MainSpaceHeatingFuel],AL103,Table91517[EnergyRating (group)],AM103,Table91517[CountyName (group)],AP$4)</f>
        <v>2</v>
      </c>
      <c r="AQ103" s="1164">
        <f>SUMIFS(Table91517[Count of EnergyRating],Table91517[MainSpaceHeatingFuel],AL103,Table91517[EnergyRating (group)],AM103,Table91517[CountyName (group)],AQ$4)</f>
        <v>8</v>
      </c>
      <c r="AR103" s="1164">
        <f>SUMIFS(Table91517[Count of EnergyRating],Table91517[MainSpaceHeatingFuel],AL103,Table91517[EnergyRating (group)],AM103,Table91517[CountyName (group)],AR$4)</f>
        <v>0</v>
      </c>
      <c r="AS103" s="1164">
        <f>SUMIFS(Table91517[Count of EnergyRating],Table91517[MainSpaceHeatingFuel],AL103,Table91517[EnergyRating (group)],AM103,Table91517[CountyName (group)],AS$4)</f>
        <v>1</v>
      </c>
      <c r="AT103" s="1164">
        <f>SUMIFS(Table91517[Count of EnergyRating],Table91517[MainSpaceHeatingFuel],AL103,Table91517[EnergyRating (group)],AM103,Table91517[CountyName (group)],AT$4)</f>
        <v>1</v>
      </c>
      <c r="AU103" s="1164">
        <f>SUMIFS(Table91517[Count of EnergyRating],Table91517[MainSpaceHeatingFuel],AL103,Table91517[EnergyRating (group)],AM103,Table91517[CountyName (group)],AU$4)</f>
        <v>6</v>
      </c>
      <c r="AV103" s="1164">
        <f>SUMIFS(Table91517[Count of EnergyRating],Table91517[MainSpaceHeatingFuel],AL103,Table91517[EnergyRating (group)],AM103,Table91517[CountyName (group)],AV$4)</f>
        <v>2</v>
      </c>
      <c r="AW103" s="1164">
        <f>SUMIFS(Table91517[Count of EnergyRating],Table91517[MainSpaceHeatingFuel],AL103,Table91517[EnergyRating (group)],AM103,Table91517[CountyName (group)],AW$4)</f>
        <v>2</v>
      </c>
      <c r="AX103" s="1164">
        <f>SUMIFS(Table91517[Count of EnergyRating],Table91517[MainSpaceHeatingFuel],AL103,Table91517[EnergyRating (group)],AM103,Table91517[CountyName (group)],AX$4)</f>
        <v>13</v>
      </c>
      <c r="AY103" s="1164">
        <f>SUMIFS(Table91517[Count of EnergyRating],Table91517[MainSpaceHeatingFuel],AL103,Table91517[EnergyRating (group)],AM103,Table91517[CountyName (group)],AY$4)</f>
        <v>12</v>
      </c>
      <c r="AZ103" s="1164">
        <f>SUMIFS(Table91517[Count of EnergyRating],Table91517[MainSpaceHeatingFuel],AL103,Table91517[EnergyRating (group)],AM103,Table91517[CountyName (group)],AZ$4)</f>
        <v>4</v>
      </c>
      <c r="BA103" s="1164">
        <f>SUMIFS(Table91517[Count of EnergyRating],Table91517[MainSpaceHeatingFuel],AL103,Table91517[EnergyRating (group)],AM103,Table91517[CountyName (group)],BA$4)</f>
        <v>17</v>
      </c>
      <c r="BB103" s="1164">
        <f>SUMIFS(Table91517[Count of EnergyRating],Table91517[MainSpaceHeatingFuel],AL103,Table91517[EnergyRating (group)],AM103,Table91517[CountyName (group)],BB$4)</f>
        <v>9</v>
      </c>
      <c r="BC103" s="1164">
        <f>SUMIFS(Table91517[Count of EnergyRating],Table91517[MainSpaceHeatingFuel],AL103,Table91517[EnergyRating (group)],AM103,Table91517[CountyName (group)],BC$4)</f>
        <v>7</v>
      </c>
      <c r="BD103" s="1164">
        <f>SUMIFS(Table91517[Count of EnergyRating],Table91517[MainSpaceHeatingFuel],AL103,Table91517[EnergyRating (group)],AM103,Table91517[CountyName (group)],BD$4)</f>
        <v>13</v>
      </c>
      <c r="BE103" s="1164">
        <f>SUMIFS(Table91517[Count of EnergyRating],Table91517[MainSpaceHeatingFuel],AL103,Table91517[EnergyRating (group)],AM103,Table91517[CountyName (group)],BE$4)</f>
        <v>1</v>
      </c>
      <c r="BF103" s="1164">
        <f>SUMIFS(Table91517[Count of EnergyRating],Table91517[MainSpaceHeatingFuel],AL103,Table91517[EnergyRating (group)],AM103,Table91517[CountyName (group)],BF$4)</f>
        <v>12</v>
      </c>
      <c r="BG103" s="1164">
        <f>SUMIFS(Table91517[Count of EnergyRating],Table91517[MainSpaceHeatingFuel],AL103,Table91517[EnergyRating (group)],AM103,Table91517[CountyName (group)],BG$4)</f>
        <v>2</v>
      </c>
      <c r="BH103" s="1164">
        <f>SUMIFS(Table91517[Count of EnergyRating],Table91517[MainSpaceHeatingFuel],AL103,Table91517[EnergyRating (group)],AM103,Table91517[CountyName (group)],BH$4)</f>
        <v>4</v>
      </c>
      <c r="BI103" s="1164">
        <f>SUMIFS(Table91517[Count of EnergyRating],Table91517[MainSpaceHeatingFuel],AL103,Table91517[EnergyRating (group)],AM103,Table91517[CountyName (group)],BI$4)</f>
        <v>5</v>
      </c>
      <c r="BJ103" s="1164">
        <f>SUMIFS(Table91517[Count of EnergyRating],Table91517[MainSpaceHeatingFuel],AL103,Table91517[EnergyRating (group)],AM103,Table91517[CountyName (group)],BJ$4)</f>
        <v>5</v>
      </c>
      <c r="BK103" s="1135">
        <f>SUMIFS(Table91517[Count of EnergyRating],Table91517[MainSpaceHeatingFuel],AL103,Table91517[EnergyRating (group)],AM103,Table91517[CountyName (group)],BK$4)</f>
        <v>5</v>
      </c>
      <c r="BL103" s="1164">
        <f>SUMIFS(Table91517[Count of EnergyRating],Table91517[MainSpaceHeatingFuel],AL103,Table91517[EnergyRating (group)],AM103,Table91517[CountyName (group)],BL$4)</f>
        <v>2</v>
      </c>
      <c r="BM103" s="1164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65"/>
      <c r="C104" s="1165" t="s">
        <v>1250</v>
      </c>
      <c r="D104" s="1165" t="s">
        <v>1094</v>
      </c>
      <c r="E104" s="1166">
        <f t="shared" ref="E104:AD104" si="337">G216</f>
        <v>5.2476767234767324E-2</v>
      </c>
      <c r="F104" s="1166">
        <f t="shared" si="337"/>
        <v>0.27244619748740778</v>
      </c>
      <c r="G104" s="1166">
        <f t="shared" si="337"/>
        <v>0.14701695044436966</v>
      </c>
      <c r="H104" s="1166">
        <f t="shared" si="337"/>
        <v>0.10135080594435721</v>
      </c>
      <c r="I104" s="1166">
        <f t="shared" si="337"/>
        <v>7.9055259882625226E-2</v>
      </c>
      <c r="J104" s="1166">
        <f t="shared" si="337"/>
        <v>4.7149548718083356E-2</v>
      </c>
      <c r="K104" s="1166">
        <f t="shared" si="337"/>
        <v>9.1528632617246752E-2</v>
      </c>
      <c r="L104" s="1166">
        <f t="shared" si="337"/>
        <v>0.16651722774343419</v>
      </c>
      <c r="M104" s="1166">
        <f t="shared" si="337"/>
        <v>7.7457175516213742E-2</v>
      </c>
      <c r="N104" s="1166">
        <f t="shared" si="337"/>
        <v>8.1613451108267066E-2</v>
      </c>
      <c r="O104" s="1166">
        <f t="shared" si="337"/>
        <v>0.16435445866346615</v>
      </c>
      <c r="P104" s="1166">
        <f t="shared" si="337"/>
        <v>0.10929823440325179</v>
      </c>
      <c r="Q104" s="1166">
        <f t="shared" si="337"/>
        <v>0.12720891810100521</v>
      </c>
      <c r="R104" s="1166">
        <f t="shared" si="337"/>
        <v>0.43034430607767982</v>
      </c>
      <c r="S104" s="1166">
        <f t="shared" si="337"/>
        <v>0.17647448017615575</v>
      </c>
      <c r="T104" s="1166">
        <f t="shared" si="337"/>
        <v>0.15888478544220647</v>
      </c>
      <c r="U104" s="1166">
        <f t="shared" si="337"/>
        <v>0.1696266432119348</v>
      </c>
      <c r="V104" s="1166">
        <f t="shared" si="337"/>
        <v>9.2867403491439682E-2</v>
      </c>
      <c r="W104" s="1166">
        <f t="shared" si="337"/>
        <v>0.26863019990172055</v>
      </c>
      <c r="X104" s="1166">
        <f t="shared" si="337"/>
        <v>4.4152655265335961E-2</v>
      </c>
      <c r="Y104" s="1166">
        <f t="shared" si="337"/>
        <v>0.16833749558521027</v>
      </c>
      <c r="Z104" s="1166">
        <f t="shared" si="337"/>
        <v>8.77167081935597E-2</v>
      </c>
      <c r="AA104" s="1166">
        <f t="shared" si="337"/>
        <v>7.0316093610339137E-2</v>
      </c>
      <c r="AB104" s="1166">
        <f t="shared" si="337"/>
        <v>8.7905336717350999E-2</v>
      </c>
      <c r="AC104" s="1166">
        <f t="shared" si="337"/>
        <v>0.19763539593868443</v>
      </c>
      <c r="AD104" s="1166">
        <f t="shared" si="337"/>
        <v>6.8670981594841293E-2</v>
      </c>
      <c r="AE104" s="1175">
        <f t="shared" si="240"/>
        <v>3.5390361130709547</v>
      </c>
      <c r="AG104" s="1136"/>
    </row>
    <row r="105" spans="2:65" ht="15">
      <c r="B105" s="1137"/>
      <c r="C105" s="1137" t="s">
        <v>1221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</row>
    <row r="106" spans="2:65">
      <c r="B106" s="1134" t="s">
        <v>1259</v>
      </c>
      <c r="C106" s="1134" t="str">
        <f>LEFT(SETUP!$B$3,1)&amp;"-"&amp;SETUP!$B$52&amp;"_"&amp;RIGHT(COMM!$O$32,3)&amp;"_HET"&amp;"_"&amp;SETUP!$B$66</f>
        <v>R-SH_Det_HET_X0</v>
      </c>
      <c r="D106" s="1134" t="s">
        <v>1094</v>
      </c>
      <c r="E106" s="1145">
        <f t="shared" ref="E106:N111" si="338">G218</f>
        <v>1.1203969756735507E-3</v>
      </c>
      <c r="F106" s="1145">
        <f t="shared" si="338"/>
        <v>8.7553113092305665E-3</v>
      </c>
      <c r="G106" s="1145">
        <f t="shared" si="338"/>
        <v>4.7582461931627877E-3</v>
      </c>
      <c r="H106" s="1145">
        <f t="shared" si="338"/>
        <v>2.1506278438454245E-3</v>
      </c>
      <c r="I106" s="1145">
        <f t="shared" si="338"/>
        <v>1.6380218451240082E-3</v>
      </c>
      <c r="J106" s="1145">
        <f t="shared" si="338"/>
        <v>8.7383588388647551E-4</v>
      </c>
      <c r="K106" s="1145">
        <f t="shared" si="338"/>
        <v>2.7351208138986327E-3</v>
      </c>
      <c r="L106" s="1145">
        <f t="shared" si="338"/>
        <v>5.0673979655612026E-3</v>
      </c>
      <c r="M106" s="1145">
        <f t="shared" si="338"/>
        <v>1.3332378176547346E-3</v>
      </c>
      <c r="N106" s="1145">
        <f t="shared" si="338"/>
        <v>1.5669066564095897E-3</v>
      </c>
      <c r="O106" s="1145">
        <f t="shared" ref="O106:X111" si="339">Q218</f>
        <v>3.46646760286913E-3</v>
      </c>
      <c r="P106" s="1145">
        <f t="shared" si="339"/>
        <v>2.9190445947058583E-3</v>
      </c>
      <c r="Q106" s="1145">
        <f t="shared" si="339"/>
        <v>2.3966585044914611E-3</v>
      </c>
      <c r="R106" s="1145">
        <f t="shared" si="339"/>
        <v>1.3452240806839962E-2</v>
      </c>
      <c r="S106" s="1145">
        <f t="shared" si="339"/>
        <v>4.3735401116226837E-3</v>
      </c>
      <c r="T106" s="1145">
        <f t="shared" si="339"/>
        <v>3.0085471090689668E-3</v>
      </c>
      <c r="U106" s="1145">
        <f t="shared" si="339"/>
        <v>2.9944169628389277E-3</v>
      </c>
      <c r="V106" s="1145">
        <f t="shared" si="339"/>
        <v>2.3611213771837338E-3</v>
      </c>
      <c r="W106" s="1145">
        <f t="shared" si="339"/>
        <v>6.555361963955844E-3</v>
      </c>
      <c r="X106" s="1145">
        <f t="shared" si="339"/>
        <v>6.540490261624346E-4</v>
      </c>
      <c r="Y106" s="1145">
        <f t="shared" ref="Y106:AD111" si="340">AA218</f>
        <v>2.9611082197413697E-3</v>
      </c>
      <c r="Z106" s="1145">
        <f t="shared" si="340"/>
        <v>1.3523138214333234E-3</v>
      </c>
      <c r="AA106" s="1145">
        <f t="shared" si="340"/>
        <v>1.4777874117555944E-3</v>
      </c>
      <c r="AB106" s="1145">
        <f t="shared" si="340"/>
        <v>1.9579804050919077E-3</v>
      </c>
      <c r="AC106" s="1145">
        <f t="shared" si="340"/>
        <v>3.6773280334168666E-3</v>
      </c>
      <c r="AD106" s="1145">
        <f t="shared" si="340"/>
        <v>1.6137594871450929E-3</v>
      </c>
      <c r="AE106" s="1172">
        <f t="shared" si="240"/>
        <v>8.5220828742770108E-2</v>
      </c>
    </row>
    <row r="107" spans="2:65" ht="15" customHeight="1">
      <c r="B107" s="1136" t="s">
        <v>56</v>
      </c>
      <c r="C107" s="1136" t="str">
        <f>LEFT(SETUP!$B$3,1)&amp;"-"&amp;SETUP!$B$52&amp;"_"&amp;RIGHT(COMM!$O$32,3)&amp;"_HET"&amp;"_"&amp;SETUP!$B$66</f>
        <v>R-SH_Det_HET_X0</v>
      </c>
      <c r="D107" s="1136" t="s">
        <v>1094</v>
      </c>
      <c r="E107" s="1146">
        <f t="shared" si="338"/>
        <v>2.7547776956553987E-3</v>
      </c>
      <c r="F107" s="1146">
        <f t="shared" si="338"/>
        <v>1.2823625507461609E-2</v>
      </c>
      <c r="G107" s="1146">
        <f t="shared" si="338"/>
        <v>8.7380175461011268E-3</v>
      </c>
      <c r="H107" s="1146">
        <f t="shared" si="338"/>
        <v>5.2393229153775934E-3</v>
      </c>
      <c r="I107" s="1146">
        <f t="shared" si="338"/>
        <v>4.4587043529022334E-3</v>
      </c>
      <c r="J107" s="1146">
        <f t="shared" si="338"/>
        <v>2.393000776903562E-3</v>
      </c>
      <c r="K107" s="1146">
        <f t="shared" si="338"/>
        <v>5.2066128324992425E-3</v>
      </c>
      <c r="L107" s="1146">
        <f t="shared" si="338"/>
        <v>9.5156797575842687E-3</v>
      </c>
      <c r="M107" s="1146">
        <f t="shared" si="338"/>
        <v>4.0365012148787134E-3</v>
      </c>
      <c r="N107" s="1146">
        <f t="shared" si="338"/>
        <v>4.2551423036574316E-3</v>
      </c>
      <c r="O107" s="1146">
        <f t="shared" si="339"/>
        <v>9.6624236322645791E-3</v>
      </c>
      <c r="P107" s="1146">
        <f t="shared" si="339"/>
        <v>5.4399539316256577E-3</v>
      </c>
      <c r="Q107" s="1146">
        <f t="shared" si="339"/>
        <v>7.1548295262042656E-3</v>
      </c>
      <c r="R107" s="1146">
        <f t="shared" si="339"/>
        <v>2.3515009229774758E-2</v>
      </c>
      <c r="S107" s="1146">
        <f t="shared" si="339"/>
        <v>9.1892204928811054E-3</v>
      </c>
      <c r="T107" s="1146">
        <f t="shared" si="339"/>
        <v>8.1950474458397024E-3</v>
      </c>
      <c r="U107" s="1146">
        <f t="shared" si="339"/>
        <v>8.3804564587750627E-3</v>
      </c>
      <c r="V107" s="1146">
        <f t="shared" si="339"/>
        <v>5.3642702631150055E-3</v>
      </c>
      <c r="W107" s="1146">
        <f t="shared" si="339"/>
        <v>1.4781758737852863E-2</v>
      </c>
      <c r="X107" s="1146">
        <f t="shared" si="339"/>
        <v>2.3563684093249361E-3</v>
      </c>
      <c r="Y107" s="1146">
        <f t="shared" si="340"/>
        <v>8.5112642418130446E-3</v>
      </c>
      <c r="Z107" s="1146">
        <f t="shared" si="340"/>
        <v>4.5875565356160953E-3</v>
      </c>
      <c r="AA107" s="1146">
        <f t="shared" si="340"/>
        <v>3.3588880708167344E-3</v>
      </c>
      <c r="AB107" s="1146">
        <f t="shared" si="340"/>
        <v>5.0601228604680009E-3</v>
      </c>
      <c r="AC107" s="1146">
        <f t="shared" si="340"/>
        <v>1.1088735330223577E-2</v>
      </c>
      <c r="AD107" s="1146">
        <f t="shared" si="340"/>
        <v>3.4227104283330988E-3</v>
      </c>
      <c r="AE107" s="1173">
        <f t="shared" si="240"/>
        <v>0.18949000049794967</v>
      </c>
    </row>
    <row r="108" spans="2:65">
      <c r="B108" s="1134" t="s">
        <v>58</v>
      </c>
      <c r="C108" s="1134" t="str">
        <f>LEFT(SETUP!$B$3,1)&amp;"-"&amp;SETUP!$B$52&amp;"_"&amp;RIGHT(COMM!$O$32,3)&amp;"_HET"&amp;"_"&amp;SETUP!$B$66</f>
        <v>R-SH_Det_HET_X0</v>
      </c>
      <c r="D108" s="1134" t="s">
        <v>1094</v>
      </c>
      <c r="E108" s="1145">
        <f t="shared" si="338"/>
        <v>1.8690552082071407E-3</v>
      </c>
      <c r="F108" s="1145">
        <f t="shared" si="338"/>
        <v>9.0910345115397476E-3</v>
      </c>
      <c r="G108" s="1145">
        <f t="shared" si="338"/>
        <v>4.5162125726816464E-3</v>
      </c>
      <c r="H108" s="1145">
        <f t="shared" si="338"/>
        <v>3.6485466059898307E-3</v>
      </c>
      <c r="I108" s="1145">
        <f t="shared" si="338"/>
        <v>2.6383879744359038E-3</v>
      </c>
      <c r="J108" s="1145">
        <f t="shared" si="338"/>
        <v>1.5328966637992469E-3</v>
      </c>
      <c r="K108" s="1145">
        <f t="shared" si="338"/>
        <v>2.7993555598339517E-3</v>
      </c>
      <c r="L108" s="1145">
        <f t="shared" si="338"/>
        <v>5.1693516650095543E-3</v>
      </c>
      <c r="M108" s="1145">
        <f t="shared" si="338"/>
        <v>2.8075898379835546E-3</v>
      </c>
      <c r="N108" s="1145">
        <f t="shared" si="338"/>
        <v>2.7642152919074808E-3</v>
      </c>
      <c r="O108" s="1145">
        <f t="shared" si="339"/>
        <v>6.0106155305822877E-3</v>
      </c>
      <c r="P108" s="1145">
        <f t="shared" si="339"/>
        <v>3.7654007220628474E-3</v>
      </c>
      <c r="Q108" s="1145">
        <f t="shared" si="339"/>
        <v>4.2723846108031404E-3</v>
      </c>
      <c r="R108" s="1145">
        <f t="shared" si="339"/>
        <v>1.3051980334384181E-2</v>
      </c>
      <c r="S108" s="1145">
        <f t="shared" si="339"/>
        <v>6.136389373196569E-3</v>
      </c>
      <c r="T108" s="1145">
        <f t="shared" si="339"/>
        <v>6.0885877563004766E-3</v>
      </c>
      <c r="U108" s="1145">
        <f t="shared" si="339"/>
        <v>6.1221238868545847E-3</v>
      </c>
      <c r="V108" s="1145">
        <f t="shared" si="339"/>
        <v>3.4188796111415203E-3</v>
      </c>
      <c r="W108" s="1145">
        <f t="shared" si="339"/>
        <v>8.8620887682972511E-3</v>
      </c>
      <c r="X108" s="1145">
        <f t="shared" si="339"/>
        <v>1.3493121005488035E-3</v>
      </c>
      <c r="Y108" s="1145">
        <f t="shared" si="340"/>
        <v>6.1402553891743723E-3</v>
      </c>
      <c r="Z108" s="1145">
        <f t="shared" si="340"/>
        <v>2.8520634068278732E-3</v>
      </c>
      <c r="AA108" s="1145">
        <f t="shared" si="340"/>
        <v>2.4121002955665057E-3</v>
      </c>
      <c r="AB108" s="1145">
        <f t="shared" si="340"/>
        <v>2.6816319306627655E-3</v>
      </c>
      <c r="AC108" s="1145">
        <f t="shared" si="340"/>
        <v>6.9462705157959477E-3</v>
      </c>
      <c r="AD108" s="1145">
        <f t="shared" si="340"/>
        <v>2.5622217824951394E-3</v>
      </c>
      <c r="AE108" s="1172">
        <f t="shared" si="240"/>
        <v>0.11950895190608231</v>
      </c>
    </row>
    <row r="109" spans="2:65">
      <c r="B109" s="1136" t="s">
        <v>60</v>
      </c>
      <c r="C109" s="1136" t="str">
        <f>LEFT(SETUP!$B$3,1)&amp;"-"&amp;SETUP!$B$52&amp;"_"&amp;RIGHT(COMM!$O$32,3)&amp;"_HET"&amp;"_"&amp;SETUP!$B$66</f>
        <v>R-SH_Det_HET_X0</v>
      </c>
      <c r="D109" s="1136" t="s">
        <v>1094</v>
      </c>
      <c r="E109" s="1146">
        <f t="shared" si="338"/>
        <v>7.8449706031131442E-4</v>
      </c>
      <c r="F109" s="1146">
        <f t="shared" si="338"/>
        <v>4.674986551758669E-3</v>
      </c>
      <c r="G109" s="1146">
        <f t="shared" si="338"/>
        <v>1.709526793048985E-3</v>
      </c>
      <c r="H109" s="1146">
        <f t="shared" si="338"/>
        <v>1.6057600736834093E-3</v>
      </c>
      <c r="I109" s="1146">
        <f t="shared" si="338"/>
        <v>1.096472924440895E-3</v>
      </c>
      <c r="J109" s="1146">
        <f t="shared" si="338"/>
        <v>7.6644833189962343E-4</v>
      </c>
      <c r="K109" s="1146">
        <f t="shared" si="338"/>
        <v>1.2328474990783869E-3</v>
      </c>
      <c r="L109" s="1146">
        <f t="shared" si="338"/>
        <v>2.0342257885696199E-3</v>
      </c>
      <c r="M109" s="1146">
        <f t="shared" si="338"/>
        <v>1.2478177057704686E-3</v>
      </c>
      <c r="N109" s="1146">
        <f t="shared" si="338"/>
        <v>1.2712542733202175E-3</v>
      </c>
      <c r="O109" s="1146">
        <f t="shared" si="339"/>
        <v>2.3705012334342044E-3</v>
      </c>
      <c r="P109" s="1146">
        <f t="shared" si="339"/>
        <v>1.6783036086883709E-3</v>
      </c>
      <c r="Q109" s="1146">
        <f t="shared" si="339"/>
        <v>2.0760676875343077E-3</v>
      </c>
      <c r="R109" s="1146">
        <f t="shared" si="339"/>
        <v>5.5834012961428368E-3</v>
      </c>
      <c r="S109" s="1146">
        <f t="shared" si="339"/>
        <v>2.8287037905898762E-3</v>
      </c>
      <c r="T109" s="1146">
        <f t="shared" si="339"/>
        <v>2.4741611023835859E-3</v>
      </c>
      <c r="U109" s="1146">
        <f t="shared" si="339"/>
        <v>3.0085647788222094E-3</v>
      </c>
      <c r="V109" s="1146">
        <f t="shared" si="339"/>
        <v>1.1325640627330782E-3</v>
      </c>
      <c r="W109" s="1146">
        <f t="shared" si="339"/>
        <v>3.994723091874164E-3</v>
      </c>
      <c r="X109" s="1146">
        <f t="shared" si="339"/>
        <v>7.7948308597440845E-4</v>
      </c>
      <c r="Y109" s="1146">
        <f t="shared" si="340"/>
        <v>2.8970401804671525E-3</v>
      </c>
      <c r="Z109" s="1146">
        <f t="shared" si="340"/>
        <v>1.444850303605616E-3</v>
      </c>
      <c r="AA109" s="1146">
        <f t="shared" si="340"/>
        <v>1.1906864516331478E-3</v>
      </c>
      <c r="AB109" s="1146">
        <f t="shared" si="340"/>
        <v>1.2980653113642952E-3</v>
      </c>
      <c r="AC109" s="1146">
        <f t="shared" si="340"/>
        <v>3.2106737467548492E-3</v>
      </c>
      <c r="AD109" s="1146">
        <f t="shared" si="340"/>
        <v>1.1683951261378049E-3</v>
      </c>
      <c r="AE109" s="1173">
        <f t="shared" si="240"/>
        <v>5.3560021860021498E-2</v>
      </c>
    </row>
    <row r="110" spans="2:65">
      <c r="B110" s="1134" t="s">
        <v>62</v>
      </c>
      <c r="C110" s="1134" t="str">
        <f>LEFT(SETUP!$B$3,1)&amp;"-"&amp;SETUP!$B$52&amp;"_"&amp;RIGHT(COMM!$O$32,3)&amp;"_HET"&amp;"_"&amp;SETUP!$B$66</f>
        <v>R-SH_Det_HET_X0</v>
      </c>
      <c r="D110" s="1134" t="s">
        <v>1094</v>
      </c>
      <c r="E110" s="1145">
        <f t="shared" si="338"/>
        <v>4.2117008076621257E-4</v>
      </c>
      <c r="F110" s="1145">
        <f t="shared" si="338"/>
        <v>2.2776027171906399E-3</v>
      </c>
      <c r="G110" s="1145">
        <f t="shared" si="338"/>
        <v>7.1246639021444499E-4</v>
      </c>
      <c r="H110" s="1145">
        <f t="shared" si="338"/>
        <v>7.6417197907795219E-4</v>
      </c>
      <c r="I110" s="1145">
        <f t="shared" si="338"/>
        <v>6.5959699360897594E-4</v>
      </c>
      <c r="J110" s="1145">
        <f t="shared" si="338"/>
        <v>5.3708723507180588E-4</v>
      </c>
      <c r="K110" s="1145">
        <f t="shared" si="338"/>
        <v>5.5233076029046998E-4</v>
      </c>
      <c r="L110" s="1145">
        <f t="shared" si="338"/>
        <v>1.0033251282517519E-3</v>
      </c>
      <c r="M110" s="1145">
        <f t="shared" si="338"/>
        <v>7.4679999057475019E-4</v>
      </c>
      <c r="N110" s="1145">
        <f t="shared" si="338"/>
        <v>7.2003842040857123E-4</v>
      </c>
      <c r="O110" s="1145">
        <f t="shared" si="339"/>
        <v>1.0390780600395173E-3</v>
      </c>
      <c r="P110" s="1145">
        <f t="shared" si="339"/>
        <v>8.9447019144620434E-4</v>
      </c>
      <c r="Q110" s="1145">
        <f t="shared" si="339"/>
        <v>9.3193157694257238E-4</v>
      </c>
      <c r="R110" s="1145">
        <f t="shared" si="339"/>
        <v>2.60649704362534E-3</v>
      </c>
      <c r="S110" s="1145">
        <f t="shared" si="339"/>
        <v>1.2363152669415179E-3</v>
      </c>
      <c r="T110" s="1145">
        <f t="shared" si="339"/>
        <v>1.30651353074485E-3</v>
      </c>
      <c r="U110" s="1145">
        <f t="shared" si="339"/>
        <v>1.6589104015206216E-3</v>
      </c>
      <c r="V110" s="1145">
        <f t="shared" si="339"/>
        <v>6.125091359678893E-4</v>
      </c>
      <c r="W110" s="1145">
        <f t="shared" si="339"/>
        <v>1.8791148091652219E-3</v>
      </c>
      <c r="X110" s="1145">
        <f t="shared" si="339"/>
        <v>4.2468388822053979E-4</v>
      </c>
      <c r="Y110" s="1145">
        <f t="shared" si="340"/>
        <v>1.4833309869281084E-3</v>
      </c>
      <c r="Z110" s="1145">
        <f t="shared" si="340"/>
        <v>8.3429127516445841E-4</v>
      </c>
      <c r="AA110" s="1145">
        <f t="shared" si="340"/>
        <v>7.2977556712999379E-4</v>
      </c>
      <c r="AB110" s="1145">
        <f t="shared" si="340"/>
        <v>6.6069192494589877E-4</v>
      </c>
      <c r="AC110" s="1145">
        <f t="shared" si="340"/>
        <v>1.5431471980463225E-3</v>
      </c>
      <c r="AD110" s="1145">
        <f t="shared" si="340"/>
        <v>5.0859552549527981E-4</v>
      </c>
      <c r="AE110" s="1172">
        <f t="shared" si="240"/>
        <v>2.6744446077779916E-2</v>
      </c>
      <c r="AM110" s="1196"/>
    </row>
    <row r="111" spans="2:65" ht="13.5" thickBot="1">
      <c r="B111" s="1138" t="s">
        <v>64</v>
      </c>
      <c r="C111" s="1138" t="str">
        <f>LEFT(SETUP!$B$3,1)&amp;"-"&amp;SETUP!$B$52&amp;"_"&amp;RIGHT(COMM!$O$32,3)&amp;"_HET"&amp;"_"&amp;SETUP!$B$66</f>
        <v>R-SH_Det_HET_X0</v>
      </c>
      <c r="D111" s="1138" t="s">
        <v>1094</v>
      </c>
      <c r="E111" s="1147">
        <f t="shared" si="338"/>
        <v>7.9172744796395325E-4</v>
      </c>
      <c r="F111" s="1147">
        <f t="shared" si="338"/>
        <v>2.570009562553089E-3</v>
      </c>
      <c r="G111" s="1147">
        <f t="shared" si="338"/>
        <v>1.2541763728568327E-3</v>
      </c>
      <c r="H111" s="1147">
        <f t="shared" si="338"/>
        <v>1.5433277224515503E-3</v>
      </c>
      <c r="I111" s="1147">
        <f t="shared" si="338"/>
        <v>1.1714271282600968E-3</v>
      </c>
      <c r="J111" s="1147">
        <f t="shared" si="338"/>
        <v>8.5245874321005497E-4</v>
      </c>
      <c r="K111" s="1147">
        <f t="shared" si="338"/>
        <v>9.7647554208349309E-4</v>
      </c>
      <c r="L111" s="1147">
        <f t="shared" si="338"/>
        <v>1.7754400261029944E-3</v>
      </c>
      <c r="M111" s="1147">
        <f t="shared" si="338"/>
        <v>1.2549075790987102E-3</v>
      </c>
      <c r="N111" s="1147">
        <f t="shared" si="338"/>
        <v>1.4624509160275783E-3</v>
      </c>
      <c r="O111" s="1147">
        <f t="shared" si="339"/>
        <v>1.6972722009648705E-3</v>
      </c>
      <c r="P111" s="1147">
        <f t="shared" si="339"/>
        <v>1.4270268672758103E-3</v>
      </c>
      <c r="Q111" s="1147">
        <f t="shared" si="339"/>
        <v>1.9345979984348657E-3</v>
      </c>
      <c r="R111" s="1147">
        <f t="shared" si="339"/>
        <v>5.2773279709003697E-3</v>
      </c>
      <c r="S111" s="1147">
        <f t="shared" si="339"/>
        <v>2.2701929463136645E-3</v>
      </c>
      <c r="T111" s="1147">
        <f t="shared" si="339"/>
        <v>2.3665888805408206E-3</v>
      </c>
      <c r="U111" s="1147">
        <f t="shared" si="339"/>
        <v>2.8596637301241557E-3</v>
      </c>
      <c r="V111" s="1147">
        <f t="shared" si="339"/>
        <v>8.1090045988201694E-4</v>
      </c>
      <c r="W111" s="1147">
        <f t="shared" si="339"/>
        <v>3.5565685168590542E-3</v>
      </c>
      <c r="X111" s="1147">
        <f t="shared" si="339"/>
        <v>9.4971502429065842E-4</v>
      </c>
      <c r="Y111" s="1147">
        <f t="shared" si="340"/>
        <v>2.8409559580148515E-3</v>
      </c>
      <c r="Z111" s="1147">
        <f t="shared" si="340"/>
        <v>1.8693142857068316E-3</v>
      </c>
      <c r="AA111" s="1147">
        <f t="shared" si="340"/>
        <v>1.2041296857644899E-3</v>
      </c>
      <c r="AB111" s="1147">
        <f t="shared" si="340"/>
        <v>1.3097245806280465E-3</v>
      </c>
      <c r="AC111" s="1147">
        <f t="shared" si="340"/>
        <v>2.68996697364359E-3</v>
      </c>
      <c r="AD111" s="1147">
        <f t="shared" si="340"/>
        <v>8.5499031583260554E-4</v>
      </c>
      <c r="AE111" s="1174">
        <f t="shared" si="240"/>
        <v>4.7571337435785052E-2</v>
      </c>
      <c r="AM111" s="1196"/>
    </row>
    <row r="112" spans="2:65" ht="13.5" thickBot="1">
      <c r="B112" s="1138" t="s">
        <v>1075</v>
      </c>
      <c r="C112" s="1134" t="str">
        <f>LEFT(SETUP!$B$3,1)&amp;"-"&amp;SETUP!$B$52&amp;"_"&amp;RIGHT(COMM!$O$32,3)&amp;"_HET"&amp;"_"&amp;SETUP!$B$66</f>
        <v>R-SH_Det_HET_X0</v>
      </c>
      <c r="D112" s="1134" t="s">
        <v>1094</v>
      </c>
      <c r="E112" s="1147">
        <f>SUM(E106:E111)</f>
        <v>7.7416244685775699E-3</v>
      </c>
      <c r="F112" s="1147">
        <f t="shared" ref="F112" si="341">SUM(F106:F111)</f>
        <v>4.019257015973432E-2</v>
      </c>
      <c r="G112" s="1147">
        <f t="shared" ref="G112" si="342">SUM(G106:G111)</f>
        <v>2.1688645868065824E-2</v>
      </c>
      <c r="H112" s="1147">
        <f t="shared" ref="H112" si="343">SUM(H106:H111)</f>
        <v>1.4951757140425761E-2</v>
      </c>
      <c r="I112" s="1147">
        <f t="shared" ref="I112" si="344">SUM(I106:I111)</f>
        <v>1.1662611218772113E-2</v>
      </c>
      <c r="J112" s="1147">
        <f t="shared" ref="J112" si="345">SUM(J106:J111)</f>
        <v>6.955727634770769E-3</v>
      </c>
      <c r="K112" s="1147">
        <f t="shared" ref="K112" si="346">SUM(K106:K111)</f>
        <v>1.3502743007684177E-2</v>
      </c>
      <c r="L112" s="1147">
        <f t="shared" ref="L112" si="347">SUM(L106:L111)</f>
        <v>2.4565420331079391E-2</v>
      </c>
      <c r="M112" s="1147">
        <f t="shared" ref="M112" si="348">SUM(M106:M111)</f>
        <v>1.1426854145960931E-2</v>
      </c>
      <c r="N112" s="1147">
        <f t="shared" ref="N112" si="349">SUM(N106:N111)</f>
        <v>1.2040007861730871E-2</v>
      </c>
      <c r="O112" s="1147">
        <f t="shared" ref="O112" si="350">SUM(O106:O111)</f>
        <v>2.4246358260154588E-2</v>
      </c>
      <c r="P112" s="1147">
        <f t="shared" ref="P112" si="351">SUM(P106:P111)</f>
        <v>1.612419991580475E-2</v>
      </c>
      <c r="Q112" s="1147">
        <f t="shared" ref="Q112" si="352">SUM(Q106:Q111)</f>
        <v>1.8766469904410617E-2</v>
      </c>
      <c r="R112" s="1147">
        <f t="shared" ref="R112" si="353">SUM(R106:R111)</f>
        <v>6.3486456681667441E-2</v>
      </c>
      <c r="S112" s="1147">
        <f t="shared" ref="S112" si="354">SUM(S106:S111)</f>
        <v>2.6034361981545417E-2</v>
      </c>
      <c r="T112" s="1147">
        <f t="shared" ref="T112" si="355">SUM(T106:T111)</f>
        <v>2.3439445824878401E-2</v>
      </c>
      <c r="U112" s="1147">
        <f t="shared" ref="U112" si="356">SUM(U106:U111)</f>
        <v>2.5024136218935567E-2</v>
      </c>
      <c r="V112" s="1147">
        <f t="shared" ref="V112" si="357">SUM(V106:V111)</f>
        <v>1.3700244910023245E-2</v>
      </c>
      <c r="W112" s="1147">
        <f t="shared" ref="W112" si="358">SUM(W106:W111)</f>
        <v>3.9629615888004399E-2</v>
      </c>
      <c r="X112" s="1147">
        <f t="shared" ref="X112" si="359">SUM(X106:X111)</f>
        <v>6.5136115345217809E-3</v>
      </c>
      <c r="Y112" s="1147">
        <f t="shared" ref="Y112" si="360">SUM(Y106:Y111)</f>
        <v>2.4833954976138894E-2</v>
      </c>
      <c r="Z112" s="1147">
        <f t="shared" ref="Z112" si="361">SUM(Z106:Z111)</f>
        <v>1.2940389628354197E-2</v>
      </c>
      <c r="AA112" s="1147">
        <f t="shared" ref="AA112" si="362">SUM(AA106:AA111)</f>
        <v>1.0373367482666467E-2</v>
      </c>
      <c r="AB112" s="1147">
        <f t="shared" ref="AB112" si="363">SUM(AB106:AB111)</f>
        <v>1.2968217013160914E-2</v>
      </c>
      <c r="AC112" s="1147">
        <f t="shared" ref="AC112" si="364">SUM(AC106:AC111)</f>
        <v>2.9156121797881157E-2</v>
      </c>
      <c r="AD112" s="1147">
        <f t="shared" ref="AD112" si="365">SUM(AD106:AD111)</f>
        <v>1.013067266543902E-2</v>
      </c>
      <c r="AE112" s="1147">
        <f t="shared" ref="AE112" si="366">SUM(AE106:AE111)</f>
        <v>0.52209558652038857</v>
      </c>
      <c r="AM112" s="1196"/>
      <c r="AN112" s="58" t="s">
        <v>656</v>
      </c>
    </row>
    <row r="113" spans="2:45" ht="13.5" thickBot="1">
      <c r="B113" s="1165"/>
      <c r="C113" s="1165" t="str">
        <f>LEFT(SETUP!$B$3,1)&amp;"-"&amp;SETUP!$B$54&amp;"_"&amp;RIGHT(COMM!$O$32,3)&amp;"_HET"&amp;"_"&amp;SETUP!$B$66</f>
        <v>R-WH_Det_HET_X0</v>
      </c>
      <c r="D113" s="1165" t="s">
        <v>1094</v>
      </c>
      <c r="E113" s="1166">
        <f t="shared" ref="E113:AC113" si="367">G224</f>
        <v>7.8200672742006205E-3</v>
      </c>
      <c r="F113" s="1166">
        <f t="shared" si="367"/>
        <v>4.0599825507927435E-2</v>
      </c>
      <c r="G113" s="1166">
        <f t="shared" si="367"/>
        <v>2.1908408301513912E-2</v>
      </c>
      <c r="H113" s="1166">
        <f t="shared" si="367"/>
        <v>1.5103257356414016E-2</v>
      </c>
      <c r="I113" s="1166">
        <f t="shared" si="367"/>
        <v>1.1780783825646112E-2</v>
      </c>
      <c r="J113" s="1166">
        <f t="shared" si="367"/>
        <v>7.0262072599496768E-3</v>
      </c>
      <c r="K113" s="1166">
        <f t="shared" si="367"/>
        <v>1.3639560939040693E-2</v>
      </c>
      <c r="L113" s="1166">
        <f t="shared" si="367"/>
        <v>2.481433197745294E-2</v>
      </c>
      <c r="M113" s="1166">
        <f t="shared" si="367"/>
        <v>1.1542637920063225E-2</v>
      </c>
      <c r="N113" s="1166">
        <f t="shared" si="367"/>
        <v>1.2162004478879015E-2</v>
      </c>
      <c r="O113" s="1166">
        <f t="shared" si="367"/>
        <v>2.4492036977300839E-2</v>
      </c>
      <c r="P113" s="1166">
        <f t="shared" si="367"/>
        <v>1.6287580028719873E-2</v>
      </c>
      <c r="Q113" s="1166">
        <f t="shared" si="367"/>
        <v>1.8956623089561558E-2</v>
      </c>
      <c r="R113" s="1166">
        <f t="shared" si="367"/>
        <v>6.4129739729222882E-2</v>
      </c>
      <c r="S113" s="1166">
        <f t="shared" si="367"/>
        <v>2.6298157830172229E-2</v>
      </c>
      <c r="T113" s="1166">
        <f t="shared" si="367"/>
        <v>2.3676948418838613E-2</v>
      </c>
      <c r="U113" s="1166">
        <f t="shared" si="367"/>
        <v>2.5277695851190284E-2</v>
      </c>
      <c r="V113" s="1166">
        <f t="shared" si="367"/>
        <v>1.3839064049704737E-2</v>
      </c>
      <c r="W113" s="1166">
        <f t="shared" si="367"/>
        <v>4.0031167044177966E-2</v>
      </c>
      <c r="X113" s="1166">
        <f t="shared" si="367"/>
        <v>6.5796113728735939E-3</v>
      </c>
      <c r="Y113" s="1166">
        <f t="shared" si="367"/>
        <v>2.5085587577403885E-2</v>
      </c>
      <c r="Z113" s="1166">
        <f t="shared" si="367"/>
        <v>1.3071509456295172E-2</v>
      </c>
      <c r="AA113" s="1166">
        <f t="shared" si="367"/>
        <v>1.0478476694874067E-2</v>
      </c>
      <c r="AB113" s="1166">
        <f t="shared" si="367"/>
        <v>1.309961880493858E-2</v>
      </c>
      <c r="AC113" s="1166">
        <f t="shared" si="367"/>
        <v>2.9451549198705913E-2</v>
      </c>
      <c r="AD113" s="1166">
        <f>AF224</f>
        <v>1.0233322747466547E-2</v>
      </c>
      <c r="AE113" s="1175">
        <f t="shared" si="240"/>
        <v>0.52738577371253448</v>
      </c>
      <c r="AM113" s="1196"/>
      <c r="AN113" s="58" t="s">
        <v>1271</v>
      </c>
      <c r="AO113" s="58" t="s">
        <v>1272</v>
      </c>
      <c r="AP113" s="58" t="s">
        <v>1273</v>
      </c>
      <c r="AQ113" s="58" t="s">
        <v>1274</v>
      </c>
      <c r="AS113" s="1199" t="s">
        <v>1275</v>
      </c>
    </row>
    <row r="114" spans="2:45" ht="15.75" thickBot="1">
      <c r="B114" s="1137"/>
      <c r="C114" s="1137" t="s">
        <v>1222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  <c r="AF114" s="1179"/>
      <c r="AM114" s="1196"/>
      <c r="AN114" s="1164">
        <v>2.7299999999999998E-3</v>
      </c>
      <c r="AO114" s="1164">
        <v>0.4904</v>
      </c>
      <c r="AP114" s="1164">
        <v>3.0000000000000001E-3</v>
      </c>
      <c r="AQ114" s="1164">
        <v>18.12</v>
      </c>
      <c r="AS114" s="1164">
        <f>AN114/AQ114/AP114</f>
        <v>5.0220750551876372E-2</v>
      </c>
    </row>
    <row r="115" spans="2:45" ht="13.5" thickBot="1">
      <c r="B115" s="1165"/>
      <c r="C115" s="1165" t="s">
        <v>1254</v>
      </c>
      <c r="D115" s="1165" t="s">
        <v>1094</v>
      </c>
      <c r="E115" s="1166">
        <f>G226</f>
        <v>0.1081700516141598</v>
      </c>
      <c r="F115" s="1166">
        <f t="shared" ref="F115:AC115" si="368">H226</f>
        <v>0.56159174425610259</v>
      </c>
      <c r="G115" s="1166">
        <f t="shared" si="368"/>
        <v>0.30304517514538837</v>
      </c>
      <c r="H115" s="1166">
        <f t="shared" si="368"/>
        <v>0.20891382011189208</v>
      </c>
      <c r="I115" s="1166">
        <f t="shared" si="368"/>
        <v>0.16295614216511489</v>
      </c>
      <c r="J115" s="1166">
        <f t="shared" si="368"/>
        <v>9.7189087422298648E-2</v>
      </c>
      <c r="K115" s="1166">
        <f t="shared" si="368"/>
        <v>0.18866743201020947</v>
      </c>
      <c r="L115" s="1166">
        <f t="shared" si="368"/>
        <v>0.34324098203443654</v>
      </c>
      <c r="M115" s="1166">
        <f t="shared" si="368"/>
        <v>0.15966202026112719</v>
      </c>
      <c r="N115" s="1166">
        <f t="shared" si="368"/>
        <v>0.16822932669034674</v>
      </c>
      <c r="O115" s="1166">
        <f t="shared" si="368"/>
        <v>0.33878287885206942</v>
      </c>
      <c r="P115" s="1166">
        <f t="shared" si="368"/>
        <v>0.22529580764463231</v>
      </c>
      <c r="Q115" s="1166">
        <f t="shared" si="368"/>
        <v>0.2622149945938485</v>
      </c>
      <c r="R115" s="1166">
        <f t="shared" si="368"/>
        <v>0.88706618668082682</v>
      </c>
      <c r="S115" s="1166">
        <f t="shared" si="368"/>
        <v>0.3637658079019323</v>
      </c>
      <c r="T115" s="1166">
        <f t="shared" si="368"/>
        <v>0.32750827361563523</v>
      </c>
      <c r="U115" s="1166">
        <f t="shared" si="368"/>
        <v>0.34965040184897761</v>
      </c>
      <c r="V115" s="1166">
        <f t="shared" si="368"/>
        <v>0.19142703253806054</v>
      </c>
      <c r="W115" s="1166">
        <f t="shared" si="368"/>
        <v>0.55372585087977011</v>
      </c>
      <c r="X115" s="1166">
        <f t="shared" si="368"/>
        <v>9.1011608576935452E-2</v>
      </c>
      <c r="Y115" s="1166">
        <f t="shared" si="368"/>
        <v>0.34699308942923168</v>
      </c>
      <c r="Z115" s="1166">
        <f t="shared" si="368"/>
        <v>0.1808099346187482</v>
      </c>
      <c r="AA115" s="1166">
        <f t="shared" si="368"/>
        <v>0.14494215013491199</v>
      </c>
      <c r="AB115" s="1166">
        <f t="shared" si="368"/>
        <v>0.18119875348525963</v>
      </c>
      <c r="AC115" s="1166">
        <f t="shared" si="368"/>
        <v>0.40738467908725762</v>
      </c>
      <c r="AD115" s="1166">
        <f>AF226</f>
        <v>0.14155109041449582</v>
      </c>
      <c r="AE115" s="1175">
        <f t="shared" si="240"/>
        <v>7.2949943220136699</v>
      </c>
      <c r="AM115" s="1196"/>
      <c r="AO115" s="1164">
        <v>0.245</v>
      </c>
    </row>
    <row r="116" spans="2:45">
      <c r="B116" s="1195"/>
      <c r="C116" s="1189" t="s">
        <v>1266</v>
      </c>
      <c r="D116" s="1186" t="s">
        <v>1094</v>
      </c>
      <c r="E116" s="1186">
        <v>10.817005161415981</v>
      </c>
      <c r="F116" s="1186">
        <v>56.159174425610253</v>
      </c>
      <c r="G116" s="1186">
        <v>30.304517514538837</v>
      </c>
      <c r="H116" s="1186">
        <v>20.891382011189211</v>
      </c>
      <c r="I116" s="1186">
        <v>16.295614216511488</v>
      </c>
      <c r="J116" s="1186">
        <v>9.7189087422298659</v>
      </c>
      <c r="K116" s="1186">
        <v>18.866743201020949</v>
      </c>
      <c r="L116" s="1186">
        <v>34.324098203443661</v>
      </c>
      <c r="M116" s="1186">
        <v>15.966202026112715</v>
      </c>
      <c r="N116" s="1186">
        <v>16.822932669034671</v>
      </c>
      <c r="O116" s="1186">
        <v>33.878287885206944</v>
      </c>
      <c r="P116" s="1186">
        <v>22.529580764463226</v>
      </c>
      <c r="Q116" s="1186">
        <v>26.221499459384844</v>
      </c>
      <c r="R116" s="1186">
        <v>88.706618668082697</v>
      </c>
      <c r="S116" s="1186">
        <v>36.376580790193238</v>
      </c>
      <c r="T116" s="1186">
        <v>32.750827361563516</v>
      </c>
      <c r="U116" s="1186">
        <v>34.965040184897767</v>
      </c>
      <c r="V116" s="1186">
        <v>19.142703253806058</v>
      </c>
      <c r="W116" s="1186">
        <v>55.372585087977008</v>
      </c>
      <c r="X116" s="1186">
        <v>9.101160857693543</v>
      </c>
      <c r="Y116" s="1186">
        <v>34.699308942923167</v>
      </c>
      <c r="Z116" s="1186">
        <v>18.080993461874819</v>
      </c>
      <c r="AA116" s="1186">
        <v>14.4942150134912</v>
      </c>
      <c r="AB116" s="1186">
        <v>18.119875348525962</v>
      </c>
      <c r="AC116" s="1186">
        <v>40.738467908725752</v>
      </c>
      <c r="AD116" s="1186">
        <v>14.155109041449583</v>
      </c>
      <c r="AE116" s="1187">
        <v>729.49943220136686</v>
      </c>
      <c r="AF116" s="1136"/>
      <c r="AM116" s="1196"/>
    </row>
    <row r="117" spans="2:45">
      <c r="B117" s="1195"/>
      <c r="C117" s="1189" t="s">
        <v>1267</v>
      </c>
      <c r="D117" s="1186" t="s">
        <v>1094</v>
      </c>
      <c r="E117" s="1186">
        <v>10.817005161415981</v>
      </c>
      <c r="F117" s="1186">
        <v>56.159174425610253</v>
      </c>
      <c r="G117" s="1186">
        <v>30.304517514538837</v>
      </c>
      <c r="H117" s="1186">
        <v>20.891382011189211</v>
      </c>
      <c r="I117" s="1186">
        <v>16.295614216511488</v>
      </c>
      <c r="J117" s="1186">
        <v>9.7189087422298659</v>
      </c>
      <c r="K117" s="1186">
        <v>18.866743201020949</v>
      </c>
      <c r="L117" s="1186">
        <v>34.324098203443661</v>
      </c>
      <c r="M117" s="1186">
        <v>15.966202026112715</v>
      </c>
      <c r="N117" s="1186">
        <v>16.822932669034671</v>
      </c>
      <c r="O117" s="1186">
        <v>33.878287885206944</v>
      </c>
      <c r="P117" s="1186">
        <v>22.529580764463226</v>
      </c>
      <c r="Q117" s="1186">
        <v>26.221499459384844</v>
      </c>
      <c r="R117" s="1186">
        <v>88.706618668082697</v>
      </c>
      <c r="S117" s="1186">
        <v>36.376580790193238</v>
      </c>
      <c r="T117" s="1186">
        <v>32.750827361563516</v>
      </c>
      <c r="U117" s="1186">
        <v>34.965040184897767</v>
      </c>
      <c r="V117" s="1186">
        <v>19.142703253806058</v>
      </c>
      <c r="W117" s="1186">
        <v>55.372585087977008</v>
      </c>
      <c r="X117" s="1186">
        <v>9.101160857693543</v>
      </c>
      <c r="Y117" s="1186">
        <v>34.699308942923167</v>
      </c>
      <c r="Z117" s="1186">
        <v>18.080993461874819</v>
      </c>
      <c r="AA117" s="1186">
        <v>14.4942150134912</v>
      </c>
      <c r="AB117" s="1186">
        <v>18.119875348525962</v>
      </c>
      <c r="AC117" s="1186">
        <v>40.738467908725752</v>
      </c>
      <c r="AD117" s="1186">
        <v>14.155109041449583</v>
      </c>
      <c r="AE117" s="1187">
        <v>729.49943220136686</v>
      </c>
      <c r="AF117" s="1136"/>
      <c r="AM117" s="1196"/>
    </row>
    <row r="118" spans="2:45" s="1183" customFormat="1">
      <c r="C118" s="1136"/>
      <c r="D118" s="1136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M118" s="1196"/>
    </row>
    <row r="119" spans="2:45" ht="15">
      <c r="C119" s="1136"/>
      <c r="D119" s="1136"/>
      <c r="E119" s="1136"/>
      <c r="F119" s="1131" t="s">
        <v>192</v>
      </c>
      <c r="G119" s="1131" t="s">
        <v>655</v>
      </c>
      <c r="H119" s="1131" t="s">
        <v>660</v>
      </c>
      <c r="I119" s="1131" t="s">
        <v>663</v>
      </c>
      <c r="J119" s="1131" t="s">
        <v>664</v>
      </c>
      <c r="K119" s="1131" t="s">
        <v>665</v>
      </c>
      <c r="L119" s="1131" t="s">
        <v>668</v>
      </c>
      <c r="M119" s="1131" t="s">
        <v>669</v>
      </c>
      <c r="N119" s="1131" t="s">
        <v>671</v>
      </c>
      <c r="O119" s="1131" t="s">
        <v>673</v>
      </c>
      <c r="P119" s="1131" t="s">
        <v>678</v>
      </c>
      <c r="Q119" s="1131" t="s">
        <v>679</v>
      </c>
      <c r="R119" s="1131" t="s">
        <v>680</v>
      </c>
      <c r="S119" s="1131" t="s">
        <v>657</v>
      </c>
      <c r="T119" s="1131" t="s">
        <v>658</v>
      </c>
      <c r="U119" s="1131" t="s">
        <v>662</v>
      </c>
      <c r="V119" s="1131" t="s">
        <v>667</v>
      </c>
      <c r="W119" s="1131" t="s">
        <v>676</v>
      </c>
      <c r="X119" s="1131" t="s">
        <v>677</v>
      </c>
      <c r="Y119" s="1131" t="s">
        <v>661</v>
      </c>
      <c r="Z119" s="1131" t="s">
        <v>666</v>
      </c>
      <c r="AA119" s="1131" t="s">
        <v>670</v>
      </c>
      <c r="AB119" s="1131" t="s">
        <v>674</v>
      </c>
      <c r="AC119" s="1131" t="s">
        <v>675</v>
      </c>
      <c r="AD119" s="1131" t="s">
        <v>656</v>
      </c>
      <c r="AE119" s="1131" t="s">
        <v>659</v>
      </c>
      <c r="AF119" s="1131" t="s">
        <v>672</v>
      </c>
      <c r="AM119" s="1196"/>
    </row>
    <row r="120" spans="2:45" ht="15">
      <c r="C120" s="1340" t="s">
        <v>1161</v>
      </c>
      <c r="D120" s="1340"/>
      <c r="E120" s="1137" t="s">
        <v>1157</v>
      </c>
      <c r="F120" s="1158">
        <f>SUM(G120:AF120)</f>
        <v>729.49943220136686</v>
      </c>
      <c r="G120" s="1158">
        <f t="shared" ref="G120:AF120" si="369">SUM(E7:E12,E16:E21,E25:E30,E34:E39,E43:E48,E52:E57,E61:E66,E70:E75,E79:E84,E88:E93,E97:E102,E106:E111)</f>
        <v>10.817005161415983</v>
      </c>
      <c r="H120" s="1158">
        <f t="shared" si="369"/>
        <v>56.159174425610232</v>
      </c>
      <c r="I120" s="1158">
        <f t="shared" si="369"/>
        <v>30.304517514538844</v>
      </c>
      <c r="J120" s="1158">
        <f t="shared" si="369"/>
        <v>20.891382011189215</v>
      </c>
      <c r="K120" s="1158">
        <f t="shared" si="369"/>
        <v>16.295614216511495</v>
      </c>
      <c r="L120" s="1158">
        <f t="shared" si="369"/>
        <v>9.7189087422298641</v>
      </c>
      <c r="M120" s="1158">
        <f t="shared" si="369"/>
        <v>18.866743201020938</v>
      </c>
      <c r="N120" s="1158">
        <f t="shared" si="369"/>
        <v>34.324098203443654</v>
      </c>
      <c r="O120" s="1158">
        <f t="shared" si="369"/>
        <v>15.966202026112715</v>
      </c>
      <c r="P120" s="1158">
        <f t="shared" si="369"/>
        <v>16.822932669034675</v>
      </c>
      <c r="Q120" s="1158">
        <f t="shared" si="369"/>
        <v>33.878287885206959</v>
      </c>
      <c r="R120" s="1158">
        <f t="shared" si="369"/>
        <v>22.52958076446323</v>
      </c>
      <c r="S120" s="1158">
        <f t="shared" si="369"/>
        <v>26.221499459384841</v>
      </c>
      <c r="T120" s="1158">
        <f t="shared" si="369"/>
        <v>88.706618668082669</v>
      </c>
      <c r="U120" s="1158">
        <f t="shared" si="369"/>
        <v>36.376580790193209</v>
      </c>
      <c r="V120" s="1158">
        <f t="shared" si="369"/>
        <v>32.750827361563523</v>
      </c>
      <c r="W120" s="1158">
        <f t="shared" si="369"/>
        <v>34.965040184897774</v>
      </c>
      <c r="X120" s="1158">
        <f t="shared" si="369"/>
        <v>19.142703253806072</v>
      </c>
      <c r="Y120" s="1158">
        <f t="shared" si="369"/>
        <v>55.372585087977015</v>
      </c>
      <c r="Z120" s="1158">
        <f t="shared" si="369"/>
        <v>9.1011608576935483</v>
      </c>
      <c r="AA120" s="1158">
        <f t="shared" si="369"/>
        <v>34.69930894292316</v>
      </c>
      <c r="AB120" s="1158">
        <f t="shared" si="369"/>
        <v>18.080993461874826</v>
      </c>
      <c r="AC120" s="1158">
        <f t="shared" si="369"/>
        <v>14.494215013491203</v>
      </c>
      <c r="AD120" s="1158">
        <f t="shared" si="369"/>
        <v>18.119875348525966</v>
      </c>
      <c r="AE120" s="1158">
        <f t="shared" si="369"/>
        <v>40.738467908725752</v>
      </c>
      <c r="AF120" s="1158">
        <f t="shared" si="369"/>
        <v>14.155109041449579</v>
      </c>
    </row>
    <row r="121" spans="2:45">
      <c r="C121" s="1340"/>
      <c r="D121" s="1340"/>
      <c r="E121" s="1136" t="s">
        <v>1158</v>
      </c>
      <c r="F121" s="1136">
        <f>SUM(G121:AF121)</f>
        <v>729.49943220136686</v>
      </c>
      <c r="G121" s="1136">
        <v>10.817005161415981</v>
      </c>
      <c r="H121" s="1136">
        <v>56.159174425610253</v>
      </c>
      <c r="I121" s="1136">
        <v>30.304517514538837</v>
      </c>
      <c r="J121" s="1136">
        <v>20.891382011189211</v>
      </c>
      <c r="K121" s="1136">
        <v>16.295614216511488</v>
      </c>
      <c r="L121" s="1136">
        <v>9.7189087422298659</v>
      </c>
      <c r="M121" s="1136">
        <v>18.866743201020949</v>
      </c>
      <c r="N121" s="1136">
        <v>34.324098203443661</v>
      </c>
      <c r="O121" s="1136">
        <v>15.966202026112715</v>
      </c>
      <c r="P121" s="1136">
        <v>16.822932669034671</v>
      </c>
      <c r="Q121" s="1136">
        <v>33.878287885206944</v>
      </c>
      <c r="R121" s="1136">
        <v>22.529580764463226</v>
      </c>
      <c r="S121" s="1136">
        <v>26.221499459384844</v>
      </c>
      <c r="T121" s="1136">
        <v>88.706618668082697</v>
      </c>
      <c r="U121" s="1136">
        <v>36.376580790193238</v>
      </c>
      <c r="V121" s="1136">
        <v>32.750827361563516</v>
      </c>
      <c r="W121" s="1136">
        <v>34.965040184897767</v>
      </c>
      <c r="X121" s="1136">
        <v>19.142703253806058</v>
      </c>
      <c r="Y121" s="1136">
        <v>55.372585087977008</v>
      </c>
      <c r="Z121" s="1136">
        <v>9.101160857693543</v>
      </c>
      <c r="AA121" s="1136">
        <v>34.699308942923167</v>
      </c>
      <c r="AB121" s="1136">
        <v>18.080993461874819</v>
      </c>
      <c r="AC121" s="1136">
        <v>14.4942150134912</v>
      </c>
      <c r="AD121" s="1136">
        <v>18.119875348525962</v>
      </c>
      <c r="AE121" s="1136">
        <v>40.738467908725752</v>
      </c>
      <c r="AF121" s="1136">
        <v>14.155109041449583</v>
      </c>
    </row>
    <row r="122" spans="2:45" ht="15">
      <c r="C122" s="1340"/>
      <c r="D122" s="1340"/>
      <c r="E122" s="1159" t="s">
        <v>1159</v>
      </c>
      <c r="F122" s="1161">
        <f>(F121-F120)/F121</f>
        <v>0</v>
      </c>
      <c r="G122" s="1161">
        <f t="shared" ref="G122:AF122" si="370">(G121-G120)/G121</f>
        <v>-1.642189139131112E-16</v>
      </c>
      <c r="H122" s="1161">
        <f t="shared" si="370"/>
        <v>3.7956900703800495E-16</v>
      </c>
      <c r="I122" s="1161">
        <f t="shared" si="370"/>
        <v>-2.3446759560491652E-16</v>
      </c>
      <c r="J122" s="1161">
        <f t="shared" si="370"/>
        <v>-1.7005642215999419E-16</v>
      </c>
      <c r="K122" s="1161">
        <f t="shared" si="370"/>
        <v>-4.3603311070051266E-16</v>
      </c>
      <c r="L122" s="1161">
        <f t="shared" si="370"/>
        <v>1.8277328108677051E-16</v>
      </c>
      <c r="M122" s="1161">
        <f t="shared" si="370"/>
        <v>5.6491684456831696E-16</v>
      </c>
      <c r="N122" s="1161">
        <f t="shared" si="370"/>
        <v>2.0700987730212618E-16</v>
      </c>
      <c r="O122" s="1161">
        <f t="shared" si="370"/>
        <v>0</v>
      </c>
      <c r="P122" s="1161">
        <f t="shared" si="370"/>
        <v>-2.1118277940562916E-16</v>
      </c>
      <c r="Q122" s="1161">
        <f t="shared" si="370"/>
        <v>-4.1946791299944102E-16</v>
      </c>
      <c r="R122" s="1161">
        <f t="shared" si="370"/>
        <v>-1.5769106917445764E-16</v>
      </c>
      <c r="S122" s="1161">
        <f t="shared" si="370"/>
        <v>1.3548857815333524E-16</v>
      </c>
      <c r="T122" s="1161">
        <f t="shared" si="370"/>
        <v>3.2040122661817062E-16</v>
      </c>
      <c r="U122" s="1161">
        <f t="shared" si="370"/>
        <v>7.8131888190179262E-16</v>
      </c>
      <c r="V122" s="1161">
        <f t="shared" si="370"/>
        <v>-2.1695413307145809E-16</v>
      </c>
      <c r="W122" s="1161">
        <f t="shared" si="370"/>
        <v>-2.0321519208978358E-16</v>
      </c>
      <c r="X122" s="1161">
        <f t="shared" si="370"/>
        <v>-7.423640499873769E-16</v>
      </c>
      <c r="Y122" s="1161">
        <f t="shared" si="370"/>
        <v>-1.2832031132936569E-16</v>
      </c>
      <c r="Z122" s="1161">
        <f t="shared" si="370"/>
        <v>-5.8553744973048065E-16</v>
      </c>
      <c r="AA122" s="1161">
        <f t="shared" si="370"/>
        <v>2.0477143707065484E-16</v>
      </c>
      <c r="AB122" s="1161">
        <f t="shared" si="370"/>
        <v>-3.9297770736897552E-16</v>
      </c>
      <c r="AC122" s="1161">
        <f t="shared" si="370"/>
        <v>-2.4511252768733173E-16</v>
      </c>
      <c r="AD122" s="1161">
        <f t="shared" si="370"/>
        <v>-1.9606722510315235E-16</v>
      </c>
      <c r="AE122" s="1161">
        <f t="shared" si="370"/>
        <v>0</v>
      </c>
      <c r="AF122" s="1161">
        <f t="shared" si="370"/>
        <v>2.5098455041196053E-16</v>
      </c>
    </row>
    <row r="123" spans="2:45" ht="15">
      <c r="C123" s="1340" t="s">
        <v>1162</v>
      </c>
      <c r="D123" s="1340"/>
      <c r="E123" s="1137" t="s">
        <v>1157</v>
      </c>
      <c r="F123" s="1158">
        <f>SUM(G123:AF123)</f>
        <v>729.49943220136686</v>
      </c>
      <c r="G123" s="1158">
        <f t="shared" ref="G123:AF123" si="371">E115+E113+E104+E95+E86+E77+E68+E59+E50+E41+E32+E23+E14</f>
        <v>10.817005161415979</v>
      </c>
      <c r="H123" s="1158">
        <f t="shared" si="371"/>
        <v>56.159174425610246</v>
      </c>
      <c r="I123" s="1158">
        <f t="shared" si="371"/>
        <v>30.304517514538833</v>
      </c>
      <c r="J123" s="1158">
        <f t="shared" si="371"/>
        <v>20.891382011189208</v>
      </c>
      <c r="K123" s="1158">
        <f t="shared" si="371"/>
        <v>16.295614216511488</v>
      </c>
      <c r="L123" s="1158">
        <f t="shared" si="371"/>
        <v>9.7189087422298641</v>
      </c>
      <c r="M123" s="1158">
        <f t="shared" si="371"/>
        <v>18.866743201020945</v>
      </c>
      <c r="N123" s="1158">
        <f t="shared" si="371"/>
        <v>34.324098203443654</v>
      </c>
      <c r="O123" s="1158">
        <f t="shared" si="371"/>
        <v>15.966202026112718</v>
      </c>
      <c r="P123" s="1158">
        <f t="shared" si="371"/>
        <v>16.822932669034675</v>
      </c>
      <c r="Q123" s="1158">
        <f t="shared" si="371"/>
        <v>33.878287885206944</v>
      </c>
      <c r="R123" s="1158">
        <f t="shared" si="371"/>
        <v>22.52958076446323</v>
      </c>
      <c r="S123" s="1158">
        <f t="shared" si="371"/>
        <v>26.221499459384848</v>
      </c>
      <c r="T123" s="1158">
        <f t="shared" si="371"/>
        <v>88.706618668082683</v>
      </c>
      <c r="U123" s="1158">
        <f t="shared" si="371"/>
        <v>36.376580790193231</v>
      </c>
      <c r="V123" s="1158">
        <f t="shared" si="371"/>
        <v>32.750827361563523</v>
      </c>
      <c r="W123" s="1158">
        <f t="shared" si="371"/>
        <v>34.965040184897759</v>
      </c>
      <c r="X123" s="1158">
        <f t="shared" si="371"/>
        <v>19.142703253806054</v>
      </c>
      <c r="Y123" s="1158">
        <f t="shared" si="371"/>
        <v>55.372585087977015</v>
      </c>
      <c r="Z123" s="1158">
        <f t="shared" si="371"/>
        <v>9.1011608576935448</v>
      </c>
      <c r="AA123" s="1158">
        <f t="shared" si="371"/>
        <v>34.699308942923167</v>
      </c>
      <c r="AB123" s="1158">
        <f t="shared" si="371"/>
        <v>18.080993461874819</v>
      </c>
      <c r="AC123" s="1158">
        <f t="shared" si="371"/>
        <v>14.494215013491198</v>
      </c>
      <c r="AD123" s="1158">
        <f t="shared" si="371"/>
        <v>18.119875348525962</v>
      </c>
      <c r="AE123" s="1158">
        <f t="shared" si="371"/>
        <v>40.73846790872576</v>
      </c>
      <c r="AF123" s="1158">
        <f t="shared" si="371"/>
        <v>14.155109041449581</v>
      </c>
    </row>
    <row r="124" spans="2:45">
      <c r="C124" s="1340"/>
      <c r="D124" s="1340"/>
      <c r="E124" s="1136" t="s">
        <v>1158</v>
      </c>
      <c r="F124" s="1136">
        <f>SUM(G124:AF124)</f>
        <v>729.49943220136686</v>
      </c>
      <c r="G124" s="1136">
        <v>10.817005161415981</v>
      </c>
      <c r="H124" s="1136">
        <v>56.159174425610253</v>
      </c>
      <c r="I124" s="1136">
        <v>30.304517514538837</v>
      </c>
      <c r="J124" s="1136">
        <v>20.891382011189211</v>
      </c>
      <c r="K124" s="1136">
        <v>16.295614216511488</v>
      </c>
      <c r="L124" s="1136">
        <v>9.7189087422298659</v>
      </c>
      <c r="M124" s="1136">
        <v>18.866743201020949</v>
      </c>
      <c r="N124" s="1136">
        <v>34.324098203443661</v>
      </c>
      <c r="O124" s="1136">
        <v>15.966202026112715</v>
      </c>
      <c r="P124" s="1136">
        <v>16.822932669034671</v>
      </c>
      <c r="Q124" s="1136">
        <v>33.878287885206944</v>
      </c>
      <c r="R124" s="1136">
        <v>22.529580764463226</v>
      </c>
      <c r="S124" s="1136">
        <v>26.221499459384844</v>
      </c>
      <c r="T124" s="1136">
        <v>88.706618668082697</v>
      </c>
      <c r="U124" s="1136">
        <v>36.376580790193238</v>
      </c>
      <c r="V124" s="1136">
        <v>32.750827361563516</v>
      </c>
      <c r="W124" s="1136">
        <v>34.965040184897767</v>
      </c>
      <c r="X124" s="1136">
        <v>19.142703253806058</v>
      </c>
      <c r="Y124" s="1136">
        <v>55.372585087977008</v>
      </c>
      <c r="Z124" s="1136">
        <v>9.101160857693543</v>
      </c>
      <c r="AA124" s="1136">
        <v>34.699308942923167</v>
      </c>
      <c r="AB124" s="1136">
        <v>18.080993461874819</v>
      </c>
      <c r="AC124" s="1136">
        <v>14.4942150134912</v>
      </c>
      <c r="AD124" s="1136">
        <v>18.119875348525962</v>
      </c>
      <c r="AE124" s="1136">
        <v>40.738467908725752</v>
      </c>
      <c r="AF124" s="1136">
        <v>14.155109041449583</v>
      </c>
    </row>
    <row r="125" spans="2:45" ht="15">
      <c r="C125" s="1340"/>
      <c r="D125" s="1340"/>
      <c r="E125" s="1159" t="s">
        <v>1159</v>
      </c>
      <c r="F125" s="1161">
        <f t="shared" ref="F125:AF125" si="372">(F124-F123)/F124</f>
        <v>0</v>
      </c>
      <c r="G125" s="1161">
        <f t="shared" si="372"/>
        <v>1.642189139131112E-16</v>
      </c>
      <c r="H125" s="1161">
        <f t="shared" si="372"/>
        <v>1.2652300234600164E-16</v>
      </c>
      <c r="I125" s="1161">
        <f t="shared" si="372"/>
        <v>1.1723379780245826E-16</v>
      </c>
      <c r="J125" s="1161">
        <f t="shared" si="372"/>
        <v>1.7005642215999419E-16</v>
      </c>
      <c r="K125" s="1161">
        <f t="shared" si="372"/>
        <v>0</v>
      </c>
      <c r="L125" s="1161">
        <f t="shared" si="372"/>
        <v>1.8277328108677051E-16</v>
      </c>
      <c r="M125" s="1161">
        <f t="shared" si="372"/>
        <v>1.8830561485610565E-16</v>
      </c>
      <c r="N125" s="1161">
        <f t="shared" si="372"/>
        <v>2.0700987730212618E-16</v>
      </c>
      <c r="O125" s="1161">
        <f t="shared" si="372"/>
        <v>-2.225146389222709E-16</v>
      </c>
      <c r="P125" s="1161">
        <f t="shared" si="372"/>
        <v>-2.1118277940562916E-16</v>
      </c>
      <c r="Q125" s="1161">
        <f t="shared" si="372"/>
        <v>0</v>
      </c>
      <c r="R125" s="1161">
        <f t="shared" si="372"/>
        <v>-1.5769106917445764E-16</v>
      </c>
      <c r="S125" s="1161">
        <f t="shared" si="372"/>
        <v>-1.3548857815333524E-16</v>
      </c>
      <c r="T125" s="1161">
        <f t="shared" si="372"/>
        <v>1.6020061330908531E-16</v>
      </c>
      <c r="U125" s="1161">
        <f t="shared" si="372"/>
        <v>1.9532972047544816E-16</v>
      </c>
      <c r="V125" s="1161">
        <f t="shared" si="372"/>
        <v>-2.1695413307145809E-16</v>
      </c>
      <c r="W125" s="1161">
        <f t="shared" si="372"/>
        <v>2.0321519208978358E-16</v>
      </c>
      <c r="X125" s="1161">
        <f t="shared" si="372"/>
        <v>1.8559101249684423E-16</v>
      </c>
      <c r="Y125" s="1161">
        <f t="shared" si="372"/>
        <v>-1.2832031132936569E-16</v>
      </c>
      <c r="Z125" s="1161">
        <f t="shared" si="372"/>
        <v>-1.9517914991016023E-16</v>
      </c>
      <c r="AA125" s="1161">
        <f t="shared" si="372"/>
        <v>0</v>
      </c>
      <c r="AB125" s="1161">
        <f t="shared" si="372"/>
        <v>0</v>
      </c>
      <c r="AC125" s="1161">
        <f t="shared" si="372"/>
        <v>1.2255626384366586E-16</v>
      </c>
      <c r="AD125" s="1161">
        <f t="shared" si="372"/>
        <v>0</v>
      </c>
      <c r="AE125" s="1161">
        <f t="shared" si="372"/>
        <v>-1.7441567448046062E-16</v>
      </c>
      <c r="AF125" s="1161">
        <f t="shared" si="372"/>
        <v>1.2549227520598026E-16</v>
      </c>
    </row>
    <row r="127" spans="2:45" ht="15">
      <c r="C127" s="1339" t="s">
        <v>1108</v>
      </c>
      <c r="D127" s="1339"/>
      <c r="E127" s="1339"/>
      <c r="F127" s="1339"/>
      <c r="G127" s="1339"/>
      <c r="H127" s="1339"/>
    </row>
    <row r="128" spans="2:45" ht="15">
      <c r="C128" s="1131" t="s">
        <v>253</v>
      </c>
      <c r="D128" s="1131" t="s">
        <v>277</v>
      </c>
      <c r="E128" s="1131" t="s">
        <v>255</v>
      </c>
      <c r="F128" s="1131" t="s">
        <v>256</v>
      </c>
      <c r="G128" s="1131" t="s">
        <v>655</v>
      </c>
      <c r="H128" s="1131" t="s">
        <v>660</v>
      </c>
      <c r="I128" s="1131" t="s">
        <v>663</v>
      </c>
      <c r="J128" s="1131" t="s">
        <v>664</v>
      </c>
      <c r="K128" s="1131" t="s">
        <v>665</v>
      </c>
      <c r="L128" s="1131" t="s">
        <v>668</v>
      </c>
      <c r="M128" s="1131" t="s">
        <v>669</v>
      </c>
      <c r="N128" s="1131" t="s">
        <v>671</v>
      </c>
      <c r="O128" s="1131" t="s">
        <v>673</v>
      </c>
      <c r="P128" s="1131" t="s">
        <v>678</v>
      </c>
      <c r="Q128" s="1131" t="s">
        <v>679</v>
      </c>
      <c r="R128" s="1131" t="s">
        <v>680</v>
      </c>
      <c r="S128" s="1131" t="s">
        <v>657</v>
      </c>
      <c r="T128" s="1131" t="s">
        <v>658</v>
      </c>
      <c r="U128" s="1131" t="s">
        <v>662</v>
      </c>
      <c r="V128" s="1131" t="s">
        <v>667</v>
      </c>
      <c r="W128" s="1131" t="s">
        <v>676</v>
      </c>
      <c r="X128" s="1131" t="s">
        <v>677</v>
      </c>
      <c r="Y128" s="1131" t="s">
        <v>661</v>
      </c>
      <c r="Z128" s="1131" t="s">
        <v>666</v>
      </c>
      <c r="AA128" s="1131" t="s">
        <v>670</v>
      </c>
      <c r="AB128" s="1131" t="s">
        <v>674</v>
      </c>
      <c r="AC128" s="1131" t="s">
        <v>675</v>
      </c>
      <c r="AD128" s="1131" t="s">
        <v>656</v>
      </c>
      <c r="AE128" s="1131" t="s">
        <v>659</v>
      </c>
      <c r="AF128" s="1131" t="s">
        <v>672</v>
      </c>
    </row>
    <row r="129" spans="3:32" ht="15.75" thickBot="1">
      <c r="C129" s="1139" t="s">
        <v>1255</v>
      </c>
      <c r="D129" s="1139"/>
      <c r="E129" s="1139"/>
      <c r="F129" s="1139"/>
      <c r="G129" s="1139"/>
      <c r="H129" s="1139"/>
      <c r="I129" s="1139"/>
      <c r="J129" s="1139"/>
      <c r="K129" s="1139"/>
      <c r="L129" s="1139"/>
      <c r="M129" s="1139"/>
      <c r="N129" s="1139"/>
      <c r="O129" s="1139"/>
      <c r="P129" s="1139"/>
      <c r="Q129" s="1139"/>
      <c r="R129" s="1139"/>
      <c r="S129" s="1139"/>
      <c r="T129" s="1139"/>
      <c r="U129" s="1139"/>
      <c r="V129" s="1139"/>
      <c r="W129" s="1139"/>
      <c r="X129" s="1139"/>
      <c r="Y129" s="1139"/>
      <c r="Z129" s="1139"/>
      <c r="AA129" s="1139"/>
      <c r="AB129" s="1139"/>
      <c r="AC129" s="1139"/>
      <c r="AD129" s="1139"/>
      <c r="AE129" s="1139"/>
      <c r="AF129" s="1139"/>
    </row>
    <row r="130" spans="3:32">
      <c r="C130" s="1134" t="s">
        <v>1223</v>
      </c>
      <c r="D130" s="1134" t="s">
        <v>1094</v>
      </c>
      <c r="E130" s="1134" t="s">
        <v>834</v>
      </c>
      <c r="F130" s="1134" t="s">
        <v>1224</v>
      </c>
      <c r="G130" s="1134">
        <f>SUMIFS(INDEX(ArchetypeDemand!$I$106:$AH$150,,MATCH(G$128,ArchetypeDemand!$I$4:$AH$4,0)),ArchetypeDemand!$F$106:$F$150,$F130)*'SHWLP-Det'!$R$14</f>
        <v>1.0883654158216627</v>
      </c>
      <c r="H130" s="1134">
        <f>SUMIFS(INDEX(ArchetypeDemand!$I$106:$AH$150,,MATCH(H$128,ArchetypeDemand!$I$4:$AH$4,0)),ArchetypeDemand!$F$106:$F$150,$F130)*'SHWLP-Det'!$R$14</f>
        <v>8.5050015669582493</v>
      </c>
      <c r="I130" s="1134">
        <f>SUMIFS(INDEX(ArchetypeDemand!$I$106:$AH$150,,MATCH(I$128,ArchetypeDemand!$I$4:$AH$4,0)),ArchetypeDemand!$F$106:$F$150,$F130)*'SHWLP-Det'!$R$14</f>
        <v>4.6222104388403658</v>
      </c>
      <c r="J130" s="1134">
        <f>SUMIFS(INDEX(ArchetypeDemand!$I$106:$AH$150,,MATCH(J$128,ArchetypeDemand!$I$4:$AH$4,0)),ArchetypeDemand!$F$106:$F$150,$F130)*'SHWLP-Det'!$R$14</f>
        <v>2.0891425256992755</v>
      </c>
      <c r="K130" s="1134">
        <f>SUMIFS(INDEX(ArchetypeDemand!$I$106:$AH$150,,MATCH(K$128,ArchetypeDemand!$I$4:$AH$4,0)),ArchetypeDemand!$F$106:$F$150,$F130)*'SHWLP-Det'!$R$14</f>
        <v>1.5911916626886735</v>
      </c>
      <c r="L130" s="1134">
        <f>SUMIFS(INDEX(ArchetypeDemand!$I$106:$AH$150,,MATCH(L$128,ArchetypeDemand!$I$4:$AH$4,0)),ArchetypeDemand!$F$106:$F$150,$F130)*'SHWLP-Det'!$R$14</f>
        <v>0.84885337587978438</v>
      </c>
      <c r="M130" s="1134">
        <f>SUMIFS(INDEX(ArchetypeDemand!$I$106:$AH$150,,MATCH(M$128,ArchetypeDemand!$I$4:$AH$4,0)),ArchetypeDemand!$F$106:$F$150,$F130)*'SHWLP-Det'!$R$14</f>
        <v>2.6569251493665416</v>
      </c>
      <c r="N130" s="1134">
        <f>SUMIFS(INDEX(ArchetypeDemand!$I$106:$AH$150,,MATCH(N$128,ArchetypeDemand!$I$4:$AH$4,0)),ArchetypeDemand!$F$106:$F$150,$F130)*'SHWLP-Det'!$R$14</f>
        <v>4.9225237247773688</v>
      </c>
      <c r="O130" s="1134">
        <f>SUMIFS(INDEX(ArchetypeDemand!$I$106:$AH$150,,MATCH(O$128,ArchetypeDemand!$I$4:$AH$4,0)),ArchetypeDemand!$F$106:$F$150,$F130)*'SHWLP-Det'!$R$14</f>
        <v>1.2951212501521003</v>
      </c>
      <c r="P130" s="1134">
        <f>SUMIFS(INDEX(ArchetypeDemand!$I$106:$AH$150,,MATCH(P$128,ArchetypeDemand!$I$4:$AH$4,0)),ArchetypeDemand!$F$106:$F$150,$F130)*'SHWLP-Det'!$R$14</f>
        <v>1.5221096197905537</v>
      </c>
      <c r="Q130" s="1134">
        <f>SUMIFS(INDEX(ArchetypeDemand!$I$106:$AH$150,,MATCH(Q$128,ArchetypeDemand!$I$4:$AH$4,0)),ArchetypeDemand!$F$106:$F$150,$F130)*'SHWLP-Det'!$R$14</f>
        <v>3.367363118559735</v>
      </c>
      <c r="R130" s="1134">
        <f>SUMIFS(INDEX(ArchetypeDemand!$I$106:$AH$150,,MATCH(R$128,ArchetypeDemand!$I$4:$AH$4,0)),ArchetypeDemand!$F$106:$F$150,$F130)*'SHWLP-Det'!$R$14</f>
        <v>2.8355906460824785</v>
      </c>
      <c r="S130" s="1134">
        <f>SUMIFS(INDEX(ArchetypeDemand!$I$106:$AH$150,,MATCH(S$128,ArchetypeDemand!$I$4:$AH$4,0)),ArchetypeDemand!$F$106:$F$150,$F130)*'SHWLP-Det'!$R$14</f>
        <v>2.3281392992472631</v>
      </c>
      <c r="T130" s="1134">
        <f>SUMIFS(INDEX(ArchetypeDemand!$I$106:$AH$150,,MATCH(T$128,ArchetypeDemand!$I$4:$AH$4,0)),ArchetypeDemand!$F$106:$F$150,$F130)*'SHWLP-Det'!$R$14</f>
        <v>13.067648322299149</v>
      </c>
      <c r="U130" s="1134">
        <f>SUMIFS(INDEX(ArchetypeDemand!$I$106:$AH$150,,MATCH(U$128,ArchetypeDemand!$I$4:$AH$4,0)),ArchetypeDemand!$F$106:$F$150,$F130)*'SHWLP-Det'!$R$14</f>
        <v>4.2485029016946081</v>
      </c>
      <c r="V130" s="1134">
        <f>SUMIFS(INDEX(ArchetypeDemand!$I$106:$AH$150,,MATCH(V$128,ArchetypeDemand!$I$4:$AH$4,0)),ArchetypeDemand!$F$106:$F$150,$F130)*'SHWLP-Det'!$R$14</f>
        <v>2.9225343306665321</v>
      </c>
      <c r="W130" s="1134">
        <f>SUMIFS(INDEX(ArchetypeDemand!$I$106:$AH$150,,MATCH(W$128,ArchetypeDemand!$I$4:$AH$4,0)),ArchetypeDemand!$F$106:$F$150,$F130)*'SHWLP-Det'!$R$14</f>
        <v>2.9088081578802911</v>
      </c>
      <c r="X130" s="1134">
        <f>SUMIFS(INDEX(ArchetypeDemand!$I$106:$AH$150,,MATCH(X$128,ArchetypeDemand!$I$4:$AH$4,0)),ArchetypeDemand!$F$106:$F$150,$F130)*'SHWLP-Det'!$R$14</f>
        <v>2.2936181597055127</v>
      </c>
      <c r="Y130" s="1134">
        <f>SUMIFS(INDEX(ArchetypeDemand!$I$106:$AH$150,,MATCH(Y$128,ArchetypeDemand!$I$4:$AH$4,0)),ArchetypeDemand!$F$106:$F$150,$F130)*'SHWLP-Det'!$R$14</f>
        <v>6.3679476155968544</v>
      </c>
      <c r="Z130" s="1134">
        <f>SUMIFS(INDEX(ArchetypeDemand!$I$106:$AH$150,,MATCH(Z$128,ArchetypeDemand!$I$4:$AH$4,0)),ArchetypeDemand!$F$106:$F$150,$F130)*'SHWLP-Det'!$R$14</f>
        <v>0.63535010874078024</v>
      </c>
      <c r="AA130" s="1134">
        <f>SUMIFS(INDEX(ArchetypeDemand!$I$106:$AH$150,,MATCH(AA$128,ArchetypeDemand!$I$4:$AH$4,0)),ArchetypeDemand!$F$106:$F$150,$F130)*'SHWLP-Det'!$R$14</f>
        <v>2.8764516942169749</v>
      </c>
      <c r="AB130" s="1134">
        <f>SUMIFS(INDEX(ArchetypeDemand!$I$106:$AH$150,,MATCH(AB$128,ArchetypeDemand!$I$4:$AH$4,0)),ArchetypeDemand!$F$106:$F$150,$F130)*'SHWLP-Det'!$R$14</f>
        <v>1.3136518810226612</v>
      </c>
      <c r="AC130" s="1134">
        <f>SUMIFS(INDEX(ArchetypeDemand!$I$106:$AH$150,,MATCH(AC$128,ArchetypeDemand!$I$4:$AH$4,0)),ArchetypeDemand!$F$106:$F$150,$F130)*'SHWLP-Det'!$R$14</f>
        <v>1.4355382474363503</v>
      </c>
      <c r="AD130" s="1134">
        <f>SUMIFS(INDEX(ArchetypeDemand!$I$106:$AH$150,,MATCH(AD$128,ArchetypeDemand!$I$4:$AH$4,0)),ArchetypeDemand!$F$106:$F$150,$F130)*'SHWLP-Det'!$R$14</f>
        <v>1.9020027758263331</v>
      </c>
      <c r="AE130" s="1134">
        <f>SUMIFS(INDEX(ArchetypeDemand!$I$106:$AH$150,,MATCH(AE$128,ArchetypeDemand!$I$4:$AH$4,0)),ArchetypeDemand!$F$106:$F$150,$F130)*'SHWLP-Det'!$R$14</f>
        <v>3.5721951603772855</v>
      </c>
      <c r="AF130" s="1134">
        <f>SUMIFS(INDEX(ArchetypeDemand!$I$106:$AH$150,,MATCH(AF$128,ArchetypeDemand!$I$4:$AH$4,0)),ArchetypeDemand!$F$106:$F$150,$F130)*'SHWLP-Det'!$R$14</f>
        <v>1.5676229527547132</v>
      </c>
    </row>
    <row r="131" spans="3:32">
      <c r="C131" s="1136" t="s">
        <v>1223</v>
      </c>
      <c r="D131" s="1136" t="s">
        <v>1094</v>
      </c>
      <c r="E131" s="1136" t="s">
        <v>834</v>
      </c>
      <c r="F131" s="1136" t="s">
        <v>1225</v>
      </c>
      <c r="G131" s="1136">
        <f>SUMIFS(INDEX(ArchetypeDemand!$I$106:$AH$150,,MATCH(G$128,ArchetypeDemand!$I$4:$AH$4,0)),ArchetypeDemand!$F$106:$F$150,$F131)*'SHWLP-Det'!$R$14</f>
        <v>2.6760200512196088</v>
      </c>
      <c r="H131" s="1136">
        <f>SUMIFS(INDEX(ArchetypeDemand!$I$106:$AH$150,,MATCH(H$128,ArchetypeDemand!$I$4:$AH$4,0)),ArchetypeDemand!$F$106:$F$150,$F131)*'SHWLP-Det'!$R$14</f>
        <v>12.457004803479865</v>
      </c>
      <c r="I131" s="1136">
        <f>SUMIFS(INDEX(ArchetypeDemand!$I$106:$AH$150,,MATCH(I$128,ArchetypeDemand!$I$4:$AH$4,0)),ArchetypeDemand!$F$106:$F$150,$F131)*'SHWLP-Det'!$R$14</f>
        <v>8.4882022234146994</v>
      </c>
      <c r="J131" s="1136">
        <f>SUMIFS(INDEX(ArchetypeDemand!$I$106:$AH$150,,MATCH(J$128,ArchetypeDemand!$I$4:$AH$4,0)),ArchetypeDemand!$F$106:$F$150,$F131)*'SHWLP-Det'!$R$14</f>
        <v>5.0895334307653251</v>
      </c>
      <c r="K131" s="1136">
        <f>SUMIFS(INDEX(ArchetypeDemand!$I$106:$AH$150,,MATCH(K$128,ArchetypeDemand!$I$4:$AH$4,0)),ArchetypeDemand!$F$106:$F$150,$F131)*'SHWLP-Det'!$R$14</f>
        <v>4.33123234213926</v>
      </c>
      <c r="L131" s="1136">
        <f>SUMIFS(INDEX(ArchetypeDemand!$I$106:$AH$150,,MATCH(L$128,ArchetypeDemand!$I$4:$AH$4,0)),ArchetypeDemand!$F$106:$F$150,$F131)*'SHWLP-Det'!$R$14</f>
        <v>2.3245861441659827</v>
      </c>
      <c r="M131" s="1136">
        <f>SUMIFS(INDEX(ArchetypeDemand!$I$106:$AH$150,,MATCH(M$128,ArchetypeDemand!$I$4:$AH$4,0)),ArchetypeDemand!$F$106:$F$150,$F131)*'SHWLP-Det'!$R$14</f>
        <v>5.0577585119406328</v>
      </c>
      <c r="N131" s="1136">
        <f>SUMIFS(INDEX(ArchetypeDemand!$I$106:$AH$150,,MATCH(N$128,ArchetypeDemand!$I$4:$AH$4,0)),ArchetypeDemand!$F$106:$F$150,$F131)*'SHWLP-Det'!$R$14</f>
        <v>9.243631481567439</v>
      </c>
      <c r="O131" s="1136">
        <f>SUMIFS(INDEX(ArchetypeDemand!$I$106:$AH$150,,MATCH(O$128,ArchetypeDemand!$I$4:$AH$4,0)),ArchetypeDemand!$F$106:$F$150,$F131)*'SHWLP-Det'!$R$14</f>
        <v>3.9210997696196546</v>
      </c>
      <c r="P131" s="1136">
        <f>SUMIFS(INDEX(ArchetypeDemand!$I$106:$AH$150,,MATCH(P$128,ArchetypeDemand!$I$4:$AH$4,0)),ArchetypeDemand!$F$106:$F$150,$F131)*'SHWLP-Det'!$R$14</f>
        <v>4.1334900247444475</v>
      </c>
      <c r="Q131" s="1136">
        <f>SUMIFS(INDEX(ArchetypeDemand!$I$106:$AH$150,,MATCH(Q$128,ArchetypeDemand!$I$4:$AH$4,0)),ArchetypeDemand!$F$106:$F$150,$F131)*'SHWLP-Det'!$R$14</f>
        <v>9.3861800261042578</v>
      </c>
      <c r="R131" s="1136">
        <f>SUMIFS(INDEX(ArchetypeDemand!$I$106:$AH$150,,MATCH(R$128,ArchetypeDemand!$I$4:$AH$4,0)),ArchetypeDemand!$F$106:$F$150,$F131)*'SHWLP-Det'!$R$14</f>
        <v>5.284428511854129</v>
      </c>
      <c r="S131" s="1136">
        <f>SUMIFS(INDEX(ArchetypeDemand!$I$106:$AH$150,,MATCH(S$128,ArchetypeDemand!$I$4:$AH$4,0)),ArchetypeDemand!$F$106:$F$150,$F131)*'SHWLP-Det'!$R$14</f>
        <v>6.9502767157498369</v>
      </c>
      <c r="T131" s="1136">
        <f>SUMIFS(INDEX(ArchetypeDemand!$I$106:$AH$150,,MATCH(T$128,ArchetypeDemand!$I$4:$AH$4,0)),ArchetypeDemand!$F$106:$F$150,$F131)*'SHWLP-Det'!$R$14</f>
        <v>22.842727492216149</v>
      </c>
      <c r="U131" s="1136">
        <f>SUMIFS(INDEX(ArchetypeDemand!$I$106:$AH$150,,MATCH(U$128,ArchetypeDemand!$I$4:$AH$4,0)),ArchetypeDemand!$F$106:$F$150,$F131)*'SHWLP-Det'!$R$14</f>
        <v>8.9265055154214732</v>
      </c>
      <c r="V131" s="1136">
        <f>SUMIFS(INDEX(ArchetypeDemand!$I$106:$AH$150,,MATCH(V$128,ArchetypeDemand!$I$4:$AH$4,0)),ArchetypeDemand!$F$106:$F$150,$F131)*'SHWLP-Det'!$R$14</f>
        <v>7.9607553525460117</v>
      </c>
      <c r="W131" s="1136">
        <f>SUMIFS(INDEX(ArchetypeDemand!$I$106:$AH$150,,MATCH(W$128,ArchetypeDemand!$I$4:$AH$4,0)),ArchetypeDemand!$F$106:$F$150,$F131)*'SHWLP-Det'!$R$14</f>
        <v>8.1408636193852413</v>
      </c>
      <c r="X131" s="1136">
        <f>SUMIFS(INDEX(ArchetypeDemand!$I$106:$AH$150,,MATCH(X$128,ArchetypeDemand!$I$4:$AH$4,0)),ArchetypeDemand!$F$106:$F$150,$F131)*'SHWLP-Det'!$R$14</f>
        <v>5.2109085995926865</v>
      </c>
      <c r="Y131" s="1136">
        <f>SUMIFS(INDEX(ArchetypeDemand!$I$106:$AH$150,,MATCH(Y$128,ArchetypeDemand!$I$4:$AH$4,0)),ArchetypeDemand!$F$106:$F$150,$F131)*'SHWLP-Det'!$R$14</f>
        <v>14.35915603541067</v>
      </c>
      <c r="Z131" s="1136">
        <f>SUMIFS(INDEX(ArchetypeDemand!$I$106:$AH$150,,MATCH(Z$128,ArchetypeDemand!$I$4:$AH$4,0)),ArchetypeDemand!$F$106:$F$150,$F131)*'SHWLP-Det'!$R$14</f>
        <v>2.2890010766962359</v>
      </c>
      <c r="AA131" s="1136">
        <f>SUMIFS(INDEX(ArchetypeDemand!$I$106:$AH$150,,MATCH(AA$128,ArchetypeDemand!$I$4:$AH$4,0)),ArchetypeDemand!$F$106:$F$150,$F131)*'SHWLP-Det'!$R$14</f>
        <v>8.2679316767523687</v>
      </c>
      <c r="AB131" s="1136">
        <f>SUMIFS(INDEX(ArchetypeDemand!$I$106:$AH$150,,MATCH(AB$128,ArchetypeDemand!$I$4:$AH$4,0)),ArchetypeDemand!$F$106:$F$150,$F131)*'SHWLP-Det'!$R$14</f>
        <v>4.4564007087662709</v>
      </c>
      <c r="AC131" s="1136">
        <f>SUMIFS(INDEX(ArchetypeDemand!$I$106:$AH$150,,MATCH(AC$128,ArchetypeDemand!$I$4:$AH$4,0)),ArchetypeDemand!$F$106:$F$150,$F131)*'SHWLP-Det'!$R$14</f>
        <v>3.262859228707911</v>
      </c>
      <c r="AD131" s="1136">
        <f>SUMIFS(INDEX(ArchetypeDemand!$I$106:$AH$150,,MATCH(AD$128,ArchetypeDemand!$I$4:$AH$4,0)),ArchetypeDemand!$F$106:$F$150,$F131)*'SHWLP-Det'!$R$14</f>
        <v>4.9154566111097786</v>
      </c>
      <c r="AE131" s="1136">
        <f>SUMIFS(INDEX(ArchetypeDemand!$I$106:$AH$150,,MATCH(AE$128,ArchetypeDemand!$I$4:$AH$4,0)),ArchetypeDemand!$F$106:$F$150,$F131)*'SHWLP-Det'!$R$14</f>
        <v>10.771714223308976</v>
      </c>
      <c r="AF131" s="1136">
        <f>SUMIFS(INDEX(ArchetypeDemand!$I$106:$AH$150,,MATCH(AF$128,ArchetypeDemand!$I$4:$AH$4,0)),ArchetypeDemand!$F$106:$F$150,$F131)*'SHWLP-Det'!$R$14</f>
        <v>3.3248569386135971</v>
      </c>
    </row>
    <row r="132" spans="3:32">
      <c r="C132" s="1134" t="s">
        <v>1223</v>
      </c>
      <c r="D132" s="1134" t="s">
        <v>1094</v>
      </c>
      <c r="E132" s="1134" t="s">
        <v>834</v>
      </c>
      <c r="F132" s="1134" t="s">
        <v>1226</v>
      </c>
      <c r="G132" s="1134">
        <f>SUMIFS(INDEX(ArchetypeDemand!$I$106:$AH$150,,MATCH(G$128,ArchetypeDemand!$I$4:$AH$4,0)),ArchetypeDemand!$F$106:$F$150,$F132)*'SHWLP-Det'!$R$14</f>
        <v>1.8156199035177663</v>
      </c>
      <c r="H132" s="1134">
        <f>SUMIFS(INDEX(ArchetypeDemand!$I$106:$AH$150,,MATCH(H$128,ArchetypeDemand!$I$4:$AH$4,0)),ArchetypeDemand!$F$106:$F$150,$F132)*'SHWLP-Det'!$R$14</f>
        <v>8.831126619609833</v>
      </c>
      <c r="I132" s="1134">
        <f>SUMIFS(INDEX(ArchetypeDemand!$I$106:$AH$150,,MATCH(I$128,ArchetypeDemand!$I$4:$AH$4,0)),ArchetypeDemand!$F$106:$F$150,$F132)*'SHWLP-Det'!$R$14</f>
        <v>4.3870964321826644</v>
      </c>
      <c r="J132" s="1134">
        <f>SUMIFS(INDEX(ArchetypeDemand!$I$106:$AH$150,,MATCH(J$128,ArchetypeDemand!$I$4:$AH$4,0)),ArchetypeDemand!$F$106:$F$150,$F132)*'SHWLP-Det'!$R$14</f>
        <v>3.5442365788122689</v>
      </c>
      <c r="K132" s="1134">
        <f>SUMIFS(INDEX(ArchetypeDemand!$I$106:$AH$150,,MATCH(K$128,ArchetypeDemand!$I$4:$AH$4,0)),ArchetypeDemand!$F$106:$F$150,$F132)*'SHWLP-Det'!$R$14</f>
        <v>2.562957850872031</v>
      </c>
      <c r="L132" s="1134">
        <f>SUMIFS(INDEX(ArchetypeDemand!$I$106:$AH$150,,MATCH(L$128,ArchetypeDemand!$I$4:$AH$4,0)),ArchetypeDemand!$F$106:$F$150,$F132)*'SHWLP-Det'!$R$14</f>
        <v>1.4890719549689442</v>
      </c>
      <c r="M132" s="1134">
        <f>SUMIFS(INDEX(ArchetypeDemand!$I$106:$AH$150,,MATCH(M$128,ArchetypeDemand!$I$4:$AH$4,0)),ArchetypeDemand!$F$106:$F$150,$F132)*'SHWLP-Det'!$R$14</f>
        <v>2.719323457723331</v>
      </c>
      <c r="N132" s="1134">
        <f>SUMIFS(INDEX(ArchetypeDemand!$I$106:$AH$150,,MATCH(N$128,ArchetypeDemand!$I$4:$AH$4,0)),ArchetypeDemand!$F$106:$F$150,$F132)*'SHWLP-Det'!$R$14</f>
        <v>5.0215626216183349</v>
      </c>
      <c r="O132" s="1134">
        <f>SUMIFS(INDEX(ArchetypeDemand!$I$106:$AH$150,,MATCH(O$128,ArchetypeDemand!$I$4:$AH$4,0)),ArchetypeDemand!$F$106:$F$150,$F132)*'SHWLP-Det'!$R$14</f>
        <v>2.7273223221944671</v>
      </c>
      <c r="P132" s="1134">
        <f>SUMIFS(INDEX(ArchetypeDemand!$I$106:$AH$150,,MATCH(P$128,ArchetypeDemand!$I$4:$AH$4,0)),ArchetypeDemand!$F$106:$F$150,$F132)*'SHWLP-Det'!$R$14</f>
        <v>2.6851878315619997</v>
      </c>
      <c r="Q132" s="1134">
        <f>SUMIFS(INDEX(ArchetypeDemand!$I$106:$AH$150,,MATCH(Q$128,ArchetypeDemand!$I$4:$AH$4,0)),ArchetypeDemand!$F$106:$F$150,$F132)*'SHWLP-Det'!$R$14</f>
        <v>5.8387751960447991</v>
      </c>
      <c r="R132" s="1134">
        <f>SUMIFS(INDEX(ArchetypeDemand!$I$106:$AH$150,,MATCH(R$128,ArchetypeDemand!$I$4:$AH$4,0)),ArchetypeDemand!$F$106:$F$150,$F132)*'SHWLP-Det'!$R$14</f>
        <v>3.6577498972089248</v>
      </c>
      <c r="S132" s="1134">
        <f>SUMIFS(INDEX(ArchetypeDemand!$I$106:$AH$150,,MATCH(S$128,ArchetypeDemand!$I$4:$AH$4,0)),ArchetypeDemand!$F$106:$F$150,$F132)*'SHWLP-Det'!$R$14</f>
        <v>4.1502393834037585</v>
      </c>
      <c r="T132" s="1134">
        <f>SUMIFS(INDEX(ArchetypeDemand!$I$106:$AH$150,,MATCH(T$128,ArchetypeDemand!$I$4:$AH$4,0)),ArchetypeDemand!$F$106:$F$150,$F132)*'SHWLP-Det'!$R$14</f>
        <v>12.678831086087472</v>
      </c>
      <c r="U132" s="1134">
        <f>SUMIFS(INDEX(ArchetypeDemand!$I$106:$AH$150,,MATCH(U$128,ArchetypeDemand!$I$4:$AH$4,0)),ArchetypeDemand!$F$106:$F$150,$F132)*'SHWLP-Det'!$R$14</f>
        <v>5.9609532306954973</v>
      </c>
      <c r="V132" s="1134">
        <f>SUMIFS(INDEX(ArchetypeDemand!$I$106:$AH$150,,MATCH(V$128,ArchetypeDemand!$I$4:$AH$4,0)),ArchetypeDemand!$F$106:$F$150,$F132)*'SHWLP-Det'!$R$14</f>
        <v>5.9145182368677185</v>
      </c>
      <c r="W132" s="1134">
        <f>SUMIFS(INDEX(ArchetypeDemand!$I$106:$AH$150,,MATCH(W$128,ArchetypeDemand!$I$4:$AH$4,0)),ArchetypeDemand!$F$106:$F$150,$F132)*'SHWLP-Det'!$R$14</f>
        <v>5.947095587099879</v>
      </c>
      <c r="X132" s="1134">
        <f>SUMIFS(INDEX(ArchetypeDemand!$I$106:$AH$150,,MATCH(X$128,ArchetypeDemand!$I$4:$AH$4,0)),ArchetypeDemand!$F$106:$F$150,$F132)*'SHWLP-Det'!$R$14</f>
        <v>3.3211356424693061</v>
      </c>
      <c r="Y132" s="1134">
        <f>SUMIFS(INDEX(ArchetypeDemand!$I$106:$AH$150,,MATCH(Y$128,ArchetypeDemand!$I$4:$AH$4,0)),ArchetypeDemand!$F$106:$F$150,$F132)*'SHWLP-Det'!$R$14</f>
        <v>8.6087263146688802</v>
      </c>
      <c r="Z132" s="1134">
        <f>SUMIFS(INDEX(ArchetypeDemand!$I$106:$AH$150,,MATCH(Z$128,ArchetypeDemand!$I$4:$AH$4,0)),ArchetypeDemand!$F$106:$F$150,$F132)*'SHWLP-Det'!$R$14</f>
        <v>1.3107359777583767</v>
      </c>
      <c r="AA132" s="1134">
        <f>SUMIFS(INDEX(ArchetypeDemand!$I$106:$AH$150,,MATCH(AA$128,ArchetypeDemand!$I$4:$AH$4,0)),ArchetypeDemand!$F$106:$F$150,$F132)*'SHWLP-Det'!$R$14</f>
        <v>5.9647087193112407</v>
      </c>
      <c r="AB132" s="1134">
        <f>SUMIFS(INDEX(ArchetypeDemand!$I$106:$AH$150,,MATCH(AB$128,ArchetypeDemand!$I$4:$AH$4,0)),ArchetypeDemand!$F$106:$F$150,$F132)*'SHWLP-Det'!$R$14</f>
        <v>2.7705244151126682</v>
      </c>
      <c r="AC132" s="1134">
        <f>SUMIFS(INDEX(ArchetypeDemand!$I$106:$AH$150,,MATCH(AC$128,ArchetypeDemand!$I$4:$AH$4,0)),ArchetypeDemand!$F$106:$F$150,$F132)*'SHWLP-Det'!$R$14</f>
        <v>2.343139617642731</v>
      </c>
      <c r="AD132" s="1134">
        <f>SUMIFS(INDEX(ArchetypeDemand!$I$106:$AH$150,,MATCH(AD$128,ArchetypeDemand!$I$4:$AH$4,0)),ArchetypeDemand!$F$106:$F$150,$F132)*'SHWLP-Det'!$R$14</f>
        <v>2.6049654851503439</v>
      </c>
      <c r="AE132" s="1134">
        <f>SUMIFS(INDEX(ArchetypeDemand!$I$106:$AH$150,,MATCH(AE$128,ArchetypeDemand!$I$4:$AH$4,0)),ArchetypeDemand!$F$106:$F$150,$F132)*'SHWLP-Det'!$R$14</f>
        <v>6.7476802976811925</v>
      </c>
      <c r="AF132" s="1134">
        <f>SUMIFS(INDEX(ArchetypeDemand!$I$106:$AH$150,,MATCH(AF$128,ArchetypeDemand!$I$4:$AH$4,0)),ArchetypeDemand!$F$106:$F$150,$F132)*'SHWLP-Det'!$R$14</f>
        <v>2.4889692102713838</v>
      </c>
    </row>
    <row r="133" spans="3:32">
      <c r="C133" s="1136" t="s">
        <v>1223</v>
      </c>
      <c r="D133" s="1136" t="s">
        <v>1094</v>
      </c>
      <c r="E133" s="1136" t="s">
        <v>834</v>
      </c>
      <c r="F133" s="1136" t="s">
        <v>1227</v>
      </c>
      <c r="G133" s="1136">
        <f>SUMIFS(INDEX(ArchetypeDemand!$I$106:$AH$150,,MATCH(G$128,ArchetypeDemand!$I$4:$AH$4,0)),ArchetypeDemand!$F$106:$F$150,$F133)*'SHWLP-Det'!$R$14</f>
        <v>0.76206870225020362</v>
      </c>
      <c r="H133" s="1136">
        <f>SUMIFS(INDEX(ArchetypeDemand!$I$106:$AH$150,,MATCH(H$128,ArchetypeDemand!$I$4:$AH$4,0)),ArchetypeDemand!$F$106:$F$150,$F133)*'SHWLP-Det'!$R$14</f>
        <v>4.5413311467631265</v>
      </c>
      <c r="I133" s="1136">
        <f>SUMIFS(INDEX(ArchetypeDemand!$I$106:$AH$150,,MATCH(I$128,ArchetypeDemand!$I$4:$AH$4,0)),ArchetypeDemand!$F$106:$F$150,$F133)*'SHWLP-Det'!$R$14</f>
        <v>1.6606523217866582</v>
      </c>
      <c r="J133" s="1136">
        <f>SUMIFS(INDEX(ArchetypeDemand!$I$106:$AH$150,,MATCH(J$128,ArchetypeDemand!$I$4:$AH$4,0)),ArchetypeDemand!$F$106:$F$150,$F133)*'SHWLP-Det'!$R$14</f>
        <v>1.5598522383136817</v>
      </c>
      <c r="K133" s="1136">
        <f>SUMIFS(INDEX(ArchetypeDemand!$I$106:$AH$150,,MATCH(K$128,ArchetypeDemand!$I$4:$AH$4,0)),ArchetypeDemand!$F$106:$F$150,$F133)*'SHWLP-Det'!$R$14</f>
        <v>1.0651253406221428</v>
      </c>
      <c r="L133" s="1136">
        <f>SUMIFS(INDEX(ArchetypeDemand!$I$106:$AH$150,,MATCH(L$128,ArchetypeDemand!$I$4:$AH$4,0)),ArchetypeDemand!$F$106:$F$150,$F133)*'SHWLP-Det'!$R$14</f>
        <v>0.74453597748447209</v>
      </c>
      <c r="M133" s="1136">
        <f>SUMIFS(INDEX(ArchetypeDemand!$I$106:$AH$150,,MATCH(M$128,ArchetypeDemand!$I$4:$AH$4,0)),ArchetypeDemand!$F$106:$F$150,$F133)*'SHWLP-Det'!$R$14</f>
        <v>1.1976010379468407</v>
      </c>
      <c r="N133" s="1136">
        <f>SUMIFS(INDEX(ArchetypeDemand!$I$106:$AH$150,,MATCH(N$128,ArchetypeDemand!$I$4:$AH$4,0)),ArchetypeDemand!$F$106:$F$150,$F133)*'SHWLP-Det'!$R$14</f>
        <v>1.9760683439195663</v>
      </c>
      <c r="O133" s="1136">
        <f>SUMIFS(INDEX(ArchetypeDemand!$I$106:$AH$150,,MATCH(O$128,ArchetypeDemand!$I$4:$AH$4,0)),ArchetypeDemand!$F$106:$F$150,$F133)*'SHWLP-Det'!$R$14</f>
        <v>1.2121432543086519</v>
      </c>
      <c r="P133" s="1136">
        <f>SUMIFS(INDEX(ArchetypeDemand!$I$106:$AH$150,,MATCH(P$128,ArchetypeDemand!$I$4:$AH$4,0)),ArchetypeDemand!$F$106:$F$150,$F133)*'SHWLP-Det'!$R$14</f>
        <v>1.2349097827271891</v>
      </c>
      <c r="Q133" s="1136">
        <f>SUMIFS(INDEX(ArchetypeDemand!$I$106:$AH$150,,MATCH(Q$128,ArchetypeDemand!$I$4:$AH$4,0)),ArchetypeDemand!$F$106:$F$150,$F133)*'SHWLP-Det'!$R$14</f>
        <v>2.3027298508025487</v>
      </c>
      <c r="R133" s="1136">
        <f>SUMIFS(INDEX(ArchetypeDemand!$I$106:$AH$150,,MATCH(R$128,ArchetypeDemand!$I$4:$AH$4,0)),ArchetypeDemand!$F$106:$F$150,$F133)*'SHWLP-Det'!$R$14</f>
        <v>1.6303217918336592</v>
      </c>
      <c r="S133" s="1136">
        <f>SUMIFS(INDEX(ArchetypeDemand!$I$106:$AH$150,,MATCH(S$128,ArchetypeDemand!$I$4:$AH$4,0)),ArchetypeDemand!$F$106:$F$150,$F133)*'SHWLP-Det'!$R$14</f>
        <v>2.0167140050149057</v>
      </c>
      <c r="T133" s="1136">
        <f>SUMIFS(INDEX(ArchetypeDemand!$I$106:$AH$150,,MATCH(T$128,ArchetypeDemand!$I$4:$AH$4,0)),ArchetypeDemand!$F$106:$F$150,$F133)*'SHWLP-Det'!$R$14</f>
        <v>5.4237747917183743</v>
      </c>
      <c r="U133" s="1136">
        <f>SUMIFS(INDEX(ArchetypeDemand!$I$106:$AH$150,,MATCH(U$128,ArchetypeDemand!$I$4:$AH$4,0)),ArchetypeDemand!$F$106:$F$150,$F133)*'SHWLP-Det'!$R$14</f>
        <v>2.7478326380083806</v>
      </c>
      <c r="V133" s="1136">
        <f>SUMIFS(INDEX(ArchetypeDemand!$I$106:$AH$150,,MATCH(V$128,ArchetypeDemand!$I$4:$AH$4,0)),ArchetypeDemand!$F$106:$F$150,$F133)*'SHWLP-Det'!$R$14</f>
        <v>2.403426138656493</v>
      </c>
      <c r="W133" s="1136">
        <f>SUMIFS(INDEX(ArchetypeDemand!$I$106:$AH$150,,MATCH(W$128,ArchetypeDemand!$I$4:$AH$4,0)),ArchetypeDemand!$F$106:$F$150,$F133)*'SHWLP-Det'!$R$14</f>
        <v>2.9225514952508291</v>
      </c>
      <c r="X133" s="1136">
        <f>SUMIFS(INDEX(ArchetypeDemand!$I$106:$AH$150,,MATCH(X$128,ArchetypeDemand!$I$4:$AH$4,0)),ArchetypeDemand!$F$106:$F$150,$F133)*'SHWLP-Det'!$R$14</f>
        <v>1.1001846522658885</v>
      </c>
      <c r="Y133" s="1136">
        <f>SUMIFS(INDEX(ArchetypeDemand!$I$106:$AH$150,,MATCH(Y$128,ArchetypeDemand!$I$4:$AH$4,0)),ArchetypeDemand!$F$106:$F$150,$F133)*'SHWLP-Det'!$R$14</f>
        <v>3.8805160611633198</v>
      </c>
      <c r="Z133" s="1136">
        <f>SUMIFS(INDEX(ArchetypeDemand!$I$106:$AH$150,,MATCH(Z$128,ArchetypeDemand!$I$4:$AH$4,0)),ArchetypeDemand!$F$106:$F$150,$F133)*'SHWLP-Det'!$R$14</f>
        <v>0.75719807480065604</v>
      </c>
      <c r="AA133" s="1136">
        <f>SUMIFS(INDEX(ArchetypeDemand!$I$106:$AH$150,,MATCH(AA$128,ArchetypeDemand!$I$4:$AH$4,0)),ArchetypeDemand!$F$106:$F$150,$F133)*'SHWLP-Det'!$R$14</f>
        <v>2.8142153264655869</v>
      </c>
      <c r="AB133" s="1136">
        <f>SUMIFS(INDEX(ArchetypeDemand!$I$106:$AH$150,,MATCH(AB$128,ArchetypeDemand!$I$4:$AH$4,0)),ArchetypeDemand!$F$106:$F$150,$F133)*'SHWLP-Det'!$R$14</f>
        <v>1.4035427938730598</v>
      </c>
      <c r="AC133" s="1136">
        <f>SUMIFS(INDEX(ArchetypeDemand!$I$106:$AH$150,,MATCH(AC$128,ArchetypeDemand!$I$4:$AH$4,0)),ArchetypeDemand!$F$106:$F$150,$F133)*'SHWLP-Det'!$R$14</f>
        <v>1.156645352658036</v>
      </c>
      <c r="AD133" s="1136">
        <f>SUMIFS(INDEX(ArchetypeDemand!$I$106:$AH$150,,MATCH(AD$128,ArchetypeDemand!$I$4:$AH$4,0)),ArchetypeDemand!$F$106:$F$150,$F133)*'SHWLP-Det'!$R$14</f>
        <v>1.2609543073046592</v>
      </c>
      <c r="AE133" s="1136">
        <f>SUMIFS(INDEX(ArchetypeDemand!$I$106:$AH$150,,MATCH(AE$128,ArchetypeDemand!$I$4:$AH$4,0)),ArchetypeDemand!$F$106:$F$150,$F133)*'SHWLP-Det'!$R$14</f>
        <v>3.1188822741634161</v>
      </c>
      <c r="AF133" s="1136">
        <f>SUMIFS(INDEX(ArchetypeDemand!$I$106:$AH$150,,MATCH(AF$128,ArchetypeDemand!$I$4:$AH$4,0)),ArchetypeDemand!$F$106:$F$150,$F133)*'SHWLP-Det'!$R$14</f>
        <v>1.1349913244263283</v>
      </c>
    </row>
    <row r="134" spans="3:32">
      <c r="C134" s="1134" t="s">
        <v>1223</v>
      </c>
      <c r="D134" s="1134" t="s">
        <v>1094</v>
      </c>
      <c r="E134" s="1134" t="s">
        <v>834</v>
      </c>
      <c r="F134" s="1134" t="s">
        <v>1228</v>
      </c>
      <c r="G134" s="1134">
        <f>SUMIFS(INDEX(ArchetypeDemand!$I$106:$AH$150,,MATCH(G$128,ArchetypeDemand!$I$4:$AH$4,0)),ArchetypeDemand!$F$106:$F$150,$F134)*'SHWLP-Det'!$R$14</f>
        <v>0.40912904982557013</v>
      </c>
      <c r="H134" s="1134">
        <f>SUMIFS(INDEX(ArchetypeDemand!$I$106:$AH$150,,MATCH(H$128,ArchetypeDemand!$I$4:$AH$4,0)),ArchetypeDemand!$F$106:$F$150,$F134)*'SHWLP-Det'!$R$14</f>
        <v>2.212487254244432</v>
      </c>
      <c r="I134" s="1134">
        <f>SUMIFS(INDEX(ArchetypeDemand!$I$106:$AH$150,,MATCH(I$128,ArchetypeDemand!$I$4:$AH$4,0)),ArchetypeDemand!$F$106:$F$150,$F134)*'SHWLP-Det'!$R$14</f>
        <v>0.69209735110052473</v>
      </c>
      <c r="J134" s="1134">
        <f>SUMIFS(INDEX(ArchetypeDemand!$I$106:$AH$150,,MATCH(J$128,ArchetypeDemand!$I$4:$AH$4,0)),ArchetypeDemand!$F$106:$F$150,$F134)*'SHWLP-Det'!$R$14</f>
        <v>0.74232470439189202</v>
      </c>
      <c r="K134" s="1134">
        <f>SUMIFS(INDEX(ArchetypeDemand!$I$106:$AH$150,,MATCH(K$128,ArchetypeDemand!$I$4:$AH$4,0)),ArchetypeDemand!$F$106:$F$150,$F134)*'SHWLP-Det'!$R$14</f>
        <v>0.64073946271800775</v>
      </c>
      <c r="L134" s="1134">
        <f>SUMIFS(INDEX(ArchetypeDemand!$I$106:$AH$150,,MATCH(L$128,ArchetypeDemand!$I$4:$AH$4,0)),ArchetypeDemand!$F$106:$F$150,$F134)*'SHWLP-Det'!$R$14</f>
        <v>0.52173219369859514</v>
      </c>
      <c r="M134" s="1134">
        <f>SUMIFS(INDEX(ArchetypeDemand!$I$106:$AH$150,,MATCH(M$128,ArchetypeDemand!$I$4:$AH$4,0)),ArchetypeDemand!$F$106:$F$150,$F134)*'SHWLP-Det'!$R$14</f>
        <v>0.53653991455416561</v>
      </c>
      <c r="N134" s="1134">
        <f>SUMIFS(INDEX(ArchetypeDemand!$I$106:$AH$150,,MATCH(N$128,ArchetypeDemand!$I$4:$AH$4,0)),ArchetypeDemand!$F$106:$F$150,$F134)*'SHWLP-Det'!$R$14</f>
        <v>0.97464059090089139</v>
      </c>
      <c r="O134" s="1134">
        <f>SUMIFS(INDEX(ArchetypeDemand!$I$106:$AH$150,,MATCH(O$128,ArchetypeDemand!$I$4:$AH$4,0)),ArchetypeDemand!$F$106:$F$150,$F134)*'SHWLP-Det'!$R$14</f>
        <v>0.72544937189684477</v>
      </c>
      <c r="P134" s="1134">
        <f>SUMIFS(INDEX(ArchetypeDemand!$I$106:$AH$150,,MATCH(P$128,ArchetypeDemand!$I$4:$AH$4,0)),ArchetypeDemand!$F$106:$F$150,$F134)*'SHWLP-Det'!$R$14</f>
        <v>0.69945290093667989</v>
      </c>
      <c r="Q134" s="1134">
        <f>SUMIFS(INDEX(ArchetypeDemand!$I$106:$AH$150,,MATCH(Q$128,ArchetypeDemand!$I$4:$AH$4,0)),ArchetypeDemand!$F$106:$F$150,$F134)*'SHWLP-Det'!$R$14</f>
        <v>1.0093713651861771</v>
      </c>
      <c r="R134" s="1134">
        <f>SUMIFS(INDEX(ArchetypeDemand!$I$106:$AH$150,,MATCH(R$128,ArchetypeDemand!$I$4:$AH$4,0)),ArchetypeDemand!$F$106:$F$150,$F134)*'SHWLP-Det'!$R$14</f>
        <v>0.86889775944654235</v>
      </c>
      <c r="S134" s="1134">
        <f>SUMIFS(INDEX(ArchetypeDemand!$I$106:$AH$150,,MATCH(S$128,ArchetypeDemand!$I$4:$AH$4,0)),ArchetypeDemand!$F$106:$F$150,$F134)*'SHWLP-Det'!$R$14</f>
        <v>0.90528814364808796</v>
      </c>
      <c r="T134" s="1134">
        <f>SUMIFS(INDEX(ArchetypeDemand!$I$106:$AH$150,,MATCH(T$128,ArchetypeDemand!$I$4:$AH$4,0)),ArchetypeDemand!$F$106:$F$150,$F134)*'SHWLP-Det'!$R$14</f>
        <v>2.5319786649886407</v>
      </c>
      <c r="U134" s="1134">
        <f>SUMIFS(INDEX(ArchetypeDemand!$I$106:$AH$150,,MATCH(U$128,ArchetypeDemand!$I$4:$AH$4,0)),ArchetypeDemand!$F$106:$F$150,$F134)*'SHWLP-Det'!$R$14</f>
        <v>1.2009696641519059</v>
      </c>
      <c r="V134" s="1134">
        <f>SUMIFS(INDEX(ArchetypeDemand!$I$106:$AH$150,,MATCH(V$128,ArchetypeDemand!$I$4:$AH$4,0)),ArchetypeDemand!$F$106:$F$150,$F134)*'SHWLP-Det'!$R$14</f>
        <v>1.2691609965395552</v>
      </c>
      <c r="W134" s="1134">
        <f>SUMIFS(INDEX(ArchetypeDemand!$I$106:$AH$150,,MATCH(W$128,ArchetypeDemand!$I$4:$AH$4,0)),ArchetypeDemand!$F$106:$F$150,$F134)*'SHWLP-Det'!$R$14</f>
        <v>1.6114830262518849</v>
      </c>
      <c r="X134" s="1134">
        <f>SUMIFS(INDEX(ArchetypeDemand!$I$106:$AH$150,,MATCH(X$128,ArchetypeDemand!$I$4:$AH$4,0)),ArchetypeDemand!$F$106:$F$150,$F134)*'SHWLP-Det'!$R$14</f>
        <v>0.59499782214379693</v>
      </c>
      <c r="Y134" s="1134">
        <f>SUMIFS(INDEX(ArchetypeDemand!$I$106:$AH$150,,MATCH(Y$128,ArchetypeDemand!$I$4:$AH$4,0)),ArchetypeDemand!$F$106:$F$150,$F134)*'SHWLP-Det'!$R$14</f>
        <v>1.8253919057789827</v>
      </c>
      <c r="Z134" s="1134">
        <f>SUMIFS(INDEX(ArchetypeDemand!$I$106:$AH$150,,MATCH(Z$128,ArchetypeDemand!$I$4:$AH$4,0)),ArchetypeDemand!$F$106:$F$150,$F134)*'SHWLP-Det'!$R$14</f>
        <v>0.41254239937415049</v>
      </c>
      <c r="AA134" s="1134">
        <f>SUMIFS(INDEX(ArchetypeDemand!$I$106:$AH$150,,MATCH(AA$128,ArchetypeDemand!$I$4:$AH$4,0)),ArchetypeDemand!$F$106:$F$150,$F134)*'SHWLP-Det'!$R$14</f>
        <v>1.4409233347123533</v>
      </c>
      <c r="AB134" s="1134">
        <f>SUMIFS(INDEX(ArchetypeDemand!$I$106:$AH$150,,MATCH(AB$128,ArchetypeDemand!$I$4:$AH$4,0)),ArchetypeDemand!$F$106:$F$150,$F134)*'SHWLP-Det'!$R$14</f>
        <v>0.81043932670817775</v>
      </c>
      <c r="AC134" s="1134">
        <f>SUMIFS(INDEX(ArchetypeDemand!$I$106:$AH$150,,MATCH(AC$128,ArchetypeDemand!$I$4:$AH$4,0)),ArchetypeDemand!$F$106:$F$150,$F134)*'SHWLP-Det'!$R$14</f>
        <v>0.70891166775815107</v>
      </c>
      <c r="AD134" s="1134">
        <f>SUMIFS(INDEX(ArchetypeDemand!$I$106:$AH$150,,MATCH(AD$128,ArchetypeDemand!$I$4:$AH$4,0)),ArchetypeDemand!$F$106:$F$150,$F134)*'SHWLP-Det'!$R$14</f>
        <v>0.64180309054428764</v>
      </c>
      <c r="AE134" s="1134">
        <f>SUMIFS(INDEX(ArchetypeDemand!$I$106:$AH$150,,MATCH(AE$128,ArchetypeDemand!$I$4:$AH$4,0)),ArchetypeDemand!$F$106:$F$150,$F134)*'SHWLP-Det'!$R$14</f>
        <v>1.4990294318369142</v>
      </c>
      <c r="AF134" s="1134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38" t="s">
        <v>1223</v>
      </c>
      <c r="D135" s="1138" t="s">
        <v>1094</v>
      </c>
      <c r="E135" s="1138" t="s">
        <v>834</v>
      </c>
      <c r="F135" s="1138" t="s">
        <v>1229</v>
      </c>
      <c r="G135" s="1138">
        <f>SUMIFS(INDEX(ArchetypeDemand!$I$106:$AH$150,,MATCH(G$128,ArchetypeDemand!$I$4:$AH$4,0)),ArchetypeDemand!$F$106:$F$150,$F135)*'SHWLP-Det'!$R$14</f>
        <v>0.76909237692532073</v>
      </c>
      <c r="H135" s="1138">
        <f>SUMIFS(INDEX(ArchetypeDemand!$I$106:$AH$150,,MATCH(H$128,ArchetypeDemand!$I$4:$AH$4,0)),ArchetypeDemand!$F$106:$F$150,$F135)*'SHWLP-Det'!$R$14</f>
        <v>2.4965343417963082</v>
      </c>
      <c r="I135" s="1138">
        <f>SUMIFS(INDEX(ArchetypeDemand!$I$106:$AH$150,,MATCH(I$128,ArchetypeDemand!$I$4:$AH$4,0)),ArchetypeDemand!$F$106:$F$150,$F135)*'SHWLP-Det'!$R$14</f>
        <v>1.2183201304496838</v>
      </c>
      <c r="J135" s="1138">
        <f>SUMIFS(INDEX(ArchetypeDemand!$I$106:$AH$150,,MATCH(J$128,ArchetypeDemand!$I$4:$AH$4,0)),ArchetypeDemand!$F$106:$F$150,$F135)*'SHWLP-Det'!$R$14</f>
        <v>1.4992047951444092</v>
      </c>
      <c r="K135" s="1138">
        <f>SUMIFS(INDEX(ArchetypeDemand!$I$106:$AH$150,,MATCH(K$128,ArchetypeDemand!$I$4:$AH$4,0)),ArchetypeDemand!$F$106:$F$150,$F135)*'SHWLP-Det'!$R$14</f>
        <v>1.1379366432037346</v>
      </c>
      <c r="L135" s="1138">
        <f>SUMIFS(INDEX(ArchetypeDemand!$I$106:$AH$150,,MATCH(L$128,ArchetypeDemand!$I$4:$AH$4,0)),ArchetypeDemand!$F$106:$F$150,$F135)*'SHWLP-Det'!$R$14</f>
        <v>0.82808739640417595</v>
      </c>
      <c r="M135" s="1138">
        <f>SUMIFS(INDEX(ArchetypeDemand!$I$106:$AH$150,,MATCH(M$128,ArchetypeDemand!$I$4:$AH$4,0)),ArchetypeDemand!$F$106:$F$150,$F135)*'SHWLP-Det'!$R$14</f>
        <v>0.94855862026982185</v>
      </c>
      <c r="N135" s="1138">
        <f>SUMIFS(INDEX(ArchetypeDemand!$I$106:$AH$150,,MATCH(N$128,ArchetypeDemand!$I$4:$AH$4,0)),ArchetypeDemand!$F$106:$F$150,$F135)*'SHWLP-Det'!$R$14</f>
        <v>1.724681130198829</v>
      </c>
      <c r="O135" s="1138">
        <f>SUMIFS(INDEX(ArchetypeDemand!$I$106:$AH$150,,MATCH(O$128,ArchetypeDemand!$I$4:$AH$4,0)),ArchetypeDemand!$F$106:$F$150,$F135)*'SHWLP-Det'!$R$14</f>
        <v>1.2190304318899512</v>
      </c>
      <c r="P135" s="1138">
        <f>SUMIFS(INDEX(ArchetypeDemand!$I$106:$AH$150,,MATCH(P$128,ArchetypeDemand!$I$4:$AH$4,0)),ArchetypeDemand!$F$106:$F$150,$F135)*'SHWLP-Det'!$R$14</f>
        <v>1.4206402140493584</v>
      </c>
      <c r="Q135" s="1138">
        <f>SUMIFS(INDEX(ArchetypeDemand!$I$106:$AH$150,,MATCH(Q$128,ArchetypeDemand!$I$4:$AH$4,0)),ArchetypeDemand!$F$106:$F$150,$F135)*'SHWLP-Det'!$R$14</f>
        <v>1.6487480820404434</v>
      </c>
      <c r="R135" s="1138">
        <f>SUMIFS(INDEX(ArchetypeDemand!$I$106:$AH$150,,MATCH(R$128,ArchetypeDemand!$I$4:$AH$4,0)),ArchetypeDemand!$F$106:$F$150,$F135)*'SHWLP-Det'!$R$14</f>
        <v>1.3862289202071671</v>
      </c>
      <c r="S135" s="1138">
        <f>SUMIFS(INDEX(ArchetypeDemand!$I$106:$AH$150,,MATCH(S$128,ArchetypeDemand!$I$4:$AH$4,0)),ArchetypeDemand!$F$106:$F$150,$F135)*'SHWLP-Det'!$R$14</f>
        <v>1.879288859869086</v>
      </c>
      <c r="T135" s="1138">
        <f>SUMIFS(INDEX(ArchetypeDemand!$I$106:$AH$150,,MATCH(T$128,ArchetypeDemand!$I$4:$AH$4,0)),ArchetypeDemand!$F$106:$F$150,$F135)*'SHWLP-Det'!$R$14</f>
        <v>5.1264519417533663</v>
      </c>
      <c r="U135" s="1138">
        <f>SUMIFS(INDEX(ArchetypeDemand!$I$106:$AH$150,,MATCH(U$128,ArchetypeDemand!$I$4:$AH$4,0)),ArchetypeDemand!$F$106:$F$150,$F135)*'SHWLP-Det'!$R$14</f>
        <v>2.2052893248169494</v>
      </c>
      <c r="V135" s="1138">
        <f>SUMIFS(INDEX(ArchetypeDemand!$I$106:$AH$150,,MATCH(V$128,ArchetypeDemand!$I$4:$AH$4,0)),ArchetypeDemand!$F$106:$F$150,$F135)*'SHWLP-Det'!$R$14</f>
        <v>2.2989293500192538</v>
      </c>
      <c r="W135" s="1138">
        <f>SUMIFS(INDEX(ArchetypeDemand!$I$106:$AH$150,,MATCH(W$128,ArchetypeDemand!$I$4:$AH$4,0)),ArchetypeDemand!$F$106:$F$150,$F135)*'SHWLP-Det'!$R$14</f>
        <v>2.7779074491660802</v>
      </c>
      <c r="X135" s="1138">
        <f>SUMIFS(INDEX(ArchetypeDemand!$I$106:$AH$150,,MATCH(X$128,ArchetypeDemand!$I$4:$AH$4,0)),ArchetypeDemand!$F$106:$F$150,$F135)*'SHWLP-Det'!$R$14</f>
        <v>0.78771724252370579</v>
      </c>
      <c r="Y135" s="1138">
        <f>SUMIFS(INDEX(ArchetypeDemand!$I$106:$AH$150,,MATCH(Y$128,ArchetypeDemand!$I$4:$AH$4,0)),ArchetypeDemand!$F$106:$F$150,$F135)*'SHWLP-Det'!$R$14</f>
        <v>3.454888094840221</v>
      </c>
      <c r="Z135" s="1138">
        <f>SUMIFS(INDEX(ArchetypeDemand!$I$106:$AH$150,,MATCH(Z$128,ArchetypeDemand!$I$4:$AH$4,0)),ArchetypeDemand!$F$106:$F$150,$F135)*'SHWLP-Det'!$R$14</f>
        <v>0.92256317159620138</v>
      </c>
      <c r="AA135" s="1138">
        <f>SUMIFS(INDEX(ArchetypeDemand!$I$106:$AH$150,,MATCH(AA$128,ArchetypeDemand!$I$4:$AH$4,0)),ArchetypeDemand!$F$106:$F$150,$F135)*'SHWLP-Det'!$R$14</f>
        <v>2.7597345224151848</v>
      </c>
      <c r="AB135" s="1138">
        <f>SUMIFS(INDEX(ArchetypeDemand!$I$106:$AH$150,,MATCH(AB$128,ArchetypeDemand!$I$4:$AH$4,0)),ArchetypeDemand!$F$106:$F$150,$F135)*'SHWLP-Det'!$R$14</f>
        <v>1.8158715741280975</v>
      </c>
      <c r="AC135" s="1138">
        <f>SUMIFS(INDEX(ArchetypeDemand!$I$106:$AH$150,,MATCH(AC$128,ArchetypeDemand!$I$4:$AH$4,0)),ArchetypeDemand!$F$106:$F$150,$F135)*'SHWLP-Det'!$R$14</f>
        <v>1.1697042518009493</v>
      </c>
      <c r="AD135" s="1138">
        <f>SUMIFS(INDEX(ArchetypeDemand!$I$106:$AH$150,,MATCH(AD$128,ArchetypeDemand!$I$4:$AH$4,0)),ArchetypeDemand!$F$106:$F$150,$F135)*'SHWLP-Det'!$R$14</f>
        <v>1.2722802441966172</v>
      </c>
      <c r="AE135" s="1138">
        <f>SUMIFS(INDEX(ArchetypeDemand!$I$106:$AH$150,,MATCH(AE$128,ArchetypeDemand!$I$4:$AH$4,0)),ArchetypeDemand!$F$106:$F$150,$F135)*'SHWLP-Det'!$R$14</f>
        <v>2.6130622336392113</v>
      </c>
      <c r="AF135" s="1138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1" t="s">
        <v>1230</v>
      </c>
      <c r="D136" s="1141" t="s">
        <v>1094</v>
      </c>
      <c r="E136" s="1141" t="s">
        <v>834</v>
      </c>
      <c r="F136" s="1141" t="s">
        <v>938</v>
      </c>
      <c r="G136" s="1141">
        <f>SUM(ArchetypeDemand!I106:I150)*'SHWLP-Det'!$R$40</f>
        <v>7.5231331460619009</v>
      </c>
      <c r="H136" s="1141">
        <f>SUM(ArchetypeDemand!J106:J150)*'SHWLP-Det'!$R$40</f>
        <v>39.058218080897603</v>
      </c>
      <c r="I136" s="1141">
        <f>SUM(ArchetypeDemand!K106:K150)*'SHWLP-Det'!$R$40</f>
        <v>21.076528742193609</v>
      </c>
      <c r="J136" s="1141">
        <f>SUM(ArchetypeDemand!L106:L150)*'SHWLP-Det'!$R$40</f>
        <v>14.529774750966746</v>
      </c>
      <c r="K136" s="1141">
        <f>SUM(ArchetypeDemand!M106:M150)*'SHWLP-Det'!$R$40</f>
        <v>11.333458163167519</v>
      </c>
      <c r="L136" s="1141">
        <f>SUM(ArchetypeDemand!N106:N150)*'SHWLP-Det'!$R$40</f>
        <v>6.7594166232836557</v>
      </c>
      <c r="M136" s="1141">
        <f>SUM(ArchetypeDemand!O106:O150)*'SHWLP-Det'!$R$40</f>
        <v>13.121656042110892</v>
      </c>
      <c r="N136" s="1141">
        <f>SUM(ArchetypeDemand!P106:P150)*'SHWLP-Det'!$R$40</f>
        <v>23.872112202006964</v>
      </c>
      <c r="O136" s="1141">
        <f>SUM(ArchetypeDemand!Q106:Q150)*'SHWLP-Det'!$R$40</f>
        <v>11.10435484562954</v>
      </c>
      <c r="P136" s="1141">
        <f>SUM(ArchetypeDemand!R106:R150)*'SHWLP-Det'!$R$40</f>
        <v>11.700203567233494</v>
      </c>
      <c r="Q136" s="1141">
        <f>SUM(ArchetypeDemand!S106:S150)*'SHWLP-Det'!$R$40</f>
        <v>23.562054997454059</v>
      </c>
      <c r="R136" s="1141">
        <f>SUM(ArchetypeDemand!T106:T150)*'SHWLP-Det'!$R$40</f>
        <v>15.669127756413568</v>
      </c>
      <c r="S136" s="1141">
        <f>SUM(ArchetypeDemand!U106:U150)*'SHWLP-Det'!$R$40</f>
        <v>18.236825145095835</v>
      </c>
      <c r="T136" s="1141">
        <f>SUM(ArchetypeDemand!V106:V150)*'SHWLP-Det'!$R$40</f>
        <v>61.69468288296239</v>
      </c>
      <c r="U136" s="1141">
        <f>SUM(ArchetypeDemand!W106:W150)*'SHWLP-Det'!$R$40</f>
        <v>25.299596015657038</v>
      </c>
      <c r="V136" s="1141">
        <f>SUM(ArchetypeDemand!X106:X150)*'SHWLP-Det'!$R$40</f>
        <v>22.777915995047611</v>
      </c>
      <c r="W136" s="1141">
        <f>SUM(ArchetypeDemand!Y106:Y150)*'SHWLP-Det'!$R$40</f>
        <v>24.317881783644918</v>
      </c>
      <c r="X136" s="1141">
        <f>SUM(ArchetypeDemand!Z106:Z150)*'SHWLP-Det'!$R$40</f>
        <v>13.313583862160566</v>
      </c>
      <c r="Y136" s="1141">
        <f>SUM(ArchetypeDemand!AA106:AA150)*'SHWLP-Det'!$R$40</f>
        <v>38.5111520279576</v>
      </c>
      <c r="Z136" s="1141">
        <f>SUM(ArchetypeDemand!AB106:AB150)*'SHWLP-Det'!$R$40</f>
        <v>6.3297783346155523</v>
      </c>
      <c r="AA136" s="1141">
        <f>SUM(ArchetypeDemand!AC106:AC150)*'SHWLP-Det'!$R$40</f>
        <v>24.133068012678613</v>
      </c>
      <c r="AB136" s="1141">
        <f>SUM(ArchetypeDemand!AD106:AD150)*'SHWLP-Det'!$R$40</f>
        <v>12.575173922626915</v>
      </c>
      <c r="AC136" s="1141">
        <f>SUM(ArchetypeDemand!AE106:AE150)*'SHWLP-Det'!$R$40</f>
        <v>10.080600662288097</v>
      </c>
      <c r="AD136" s="1141">
        <f>SUM(ArchetypeDemand!AF106:AF150)*'SHWLP-Det'!$R$40</f>
        <v>12.602215937110742</v>
      </c>
      <c r="AE136" s="1141">
        <f>SUM(ArchetypeDemand!AG106:AG150)*'SHWLP-Det'!$R$40</f>
        <v>28.333250624407999</v>
      </c>
      <c r="AF136" s="1141">
        <f>SUM(ArchetypeDemand!AH106:AH150)*'SHWLP-Det'!$R$40</f>
        <v>9.8447554038062304</v>
      </c>
    </row>
    <row r="137" spans="3:32" ht="15">
      <c r="C137" s="1137" t="s">
        <v>1211</v>
      </c>
      <c r="D137" s="1137"/>
      <c r="E137" s="1137"/>
      <c r="F137" s="1137"/>
      <c r="G137" s="1137"/>
      <c r="H137" s="1137"/>
      <c r="I137" s="1137"/>
      <c r="J137" s="1137"/>
      <c r="K137" s="1137"/>
      <c r="L137" s="1137"/>
      <c r="M137" s="1137"/>
      <c r="N137" s="1137"/>
      <c r="O137" s="1137"/>
      <c r="P137" s="1137"/>
      <c r="Q137" s="1137"/>
      <c r="R137" s="1137"/>
      <c r="S137" s="1137"/>
      <c r="T137" s="1137"/>
      <c r="U137" s="1137"/>
      <c r="V137" s="1137"/>
      <c r="W137" s="1137"/>
      <c r="X137" s="1137"/>
      <c r="Y137" s="1137"/>
      <c r="Z137" s="1137"/>
      <c r="AA137" s="1137"/>
      <c r="AB137" s="1137"/>
      <c r="AC137" s="1137"/>
      <c r="AD137" s="1137"/>
      <c r="AE137" s="1137"/>
      <c r="AF137" s="1137"/>
    </row>
    <row r="138" spans="3:32">
      <c r="C138" s="1145" t="s">
        <v>1231</v>
      </c>
      <c r="D138" s="1134" t="s">
        <v>1094</v>
      </c>
      <c r="E138" s="1134" t="s">
        <v>833</v>
      </c>
      <c r="F138" s="1134" t="s">
        <v>1224</v>
      </c>
      <c r="G138" s="1134">
        <f>SUMIFS(INDEX(ArchetypeDemand!$I$106:$AH$150,,MATCH(G$128,ArchetypeDemand!$I$4:$AH$4,0)),ArchetypeDemand!$F$106:$F$150,$F138)*'SHWLP-Det'!$R$16</f>
        <v>0.24560870754620559</v>
      </c>
      <c r="H138" s="1134">
        <f>SUMIFS(INDEX(ArchetypeDemand!$I$106:$AH$150,,MATCH(H$128,ArchetypeDemand!$I$4:$AH$4,0)),ArchetypeDemand!$F$106:$F$150,$F138)*'SHWLP-Det'!$R$16</f>
        <v>1.9193024807408543</v>
      </c>
      <c r="I138" s="1134">
        <f>SUMIFS(INDEX(ArchetypeDemand!$I$106:$AH$150,,MATCH(I$128,ArchetypeDemand!$I$4:$AH$4,0)),ArchetypeDemand!$F$106:$F$150,$F138)*'SHWLP-Det'!$R$16</f>
        <v>1.0430826957443331</v>
      </c>
      <c r="J138" s="1134">
        <f>SUMIFS(INDEX(ArchetypeDemand!$I$106:$AH$150,,MATCH(J$128,ArchetypeDemand!$I$4:$AH$4,0)),ArchetypeDemand!$F$106:$F$150,$F138)*'SHWLP-Det'!$R$16</f>
        <v>0.47145158065266196</v>
      </c>
      <c r="K138" s="1134">
        <f>SUMIFS(INDEX(ArchetypeDemand!$I$106:$AH$150,,MATCH(K$128,ArchetypeDemand!$I$4:$AH$4,0)),ArchetypeDemand!$F$106:$F$150,$F138)*'SHWLP-Det'!$R$16</f>
        <v>0.35908025195400034</v>
      </c>
      <c r="L138" s="1134">
        <f>SUMIFS(INDEX(ArchetypeDemand!$I$106:$AH$150,,MATCH(L$128,ArchetypeDemand!$I$4:$AH$4,0)),ArchetypeDemand!$F$106:$F$150,$F138)*'SHWLP-Det'!$R$16</f>
        <v>0.1915586231566084</v>
      </c>
      <c r="M138" s="1134">
        <f>SUMIFS(INDEX(ArchetypeDemand!$I$106:$AH$150,,MATCH(M$128,ArchetypeDemand!$I$4:$AH$4,0)),ArchetypeDemand!$F$106:$F$150,$F138)*'SHWLP-Det'!$R$16</f>
        <v>0.59958166852469452</v>
      </c>
      <c r="N138" s="1134">
        <f>SUMIFS(INDEX(ArchetypeDemand!$I$106:$AH$150,,MATCH(N$128,ArchetypeDemand!$I$4:$AH$4,0)),ArchetypeDemand!$F$106:$F$150,$F138)*'SHWLP-Det'!$R$16</f>
        <v>1.1108536455978404</v>
      </c>
      <c r="O138" s="1134">
        <f>SUMIFS(INDEX(ArchetypeDemand!$I$106:$AH$150,,MATCH(O$128,ArchetypeDemand!$I$4:$AH$4,0)),ArchetypeDemand!$F$106:$F$150,$F138)*'SHWLP-Det'!$R$16</f>
        <v>0.29226678075335449</v>
      </c>
      <c r="P138" s="1134">
        <f>SUMIFS(INDEX(ArchetypeDemand!$I$106:$AH$150,,MATCH(P$128,ArchetypeDemand!$I$4:$AH$4,0)),ArchetypeDemand!$F$106:$F$150,$F138)*'SHWLP-Det'!$R$16</f>
        <v>0.34349067971639913</v>
      </c>
      <c r="Q138" s="1134">
        <f>SUMIFS(INDEX(ArchetypeDemand!$I$106:$AH$150,,MATCH(Q$128,ArchetypeDemand!$I$4:$AH$4,0)),ArchetypeDemand!$F$106:$F$150,$F138)*'SHWLP-Det'!$R$16</f>
        <v>0.75990443224790605</v>
      </c>
      <c r="R138" s="1134">
        <f>SUMIFS(INDEX(ArchetypeDemand!$I$106:$AH$150,,MATCH(R$128,ArchetypeDemand!$I$4:$AH$4,0)),ArchetypeDemand!$F$106:$F$150,$F138)*'SHWLP-Det'!$R$16</f>
        <v>0.63990066533733536</v>
      </c>
      <c r="S138" s="1134">
        <f>SUMIFS(INDEX(ArchetypeDemand!$I$106:$AH$150,,MATCH(S$128,ArchetypeDemand!$I$4:$AH$4,0)),ArchetypeDemand!$F$106:$F$150,$F138)*'SHWLP-Det'!$R$16</f>
        <v>0.52538538616091501</v>
      </c>
      <c r="T138" s="1134">
        <f>SUMIFS(INDEX(ArchetypeDemand!$I$106:$AH$150,,MATCH(T$128,ArchetypeDemand!$I$4:$AH$4,0)),ArchetypeDemand!$F$106:$F$150,$F138)*'SHWLP-Det'!$R$16</f>
        <v>2.9489435886615332</v>
      </c>
      <c r="U138" s="1134">
        <f>SUMIFS(INDEX(ArchetypeDemand!$I$106:$AH$150,,MATCH(U$128,ArchetypeDemand!$I$4:$AH$4,0)),ArchetypeDemand!$F$106:$F$150,$F138)*'SHWLP-Det'!$R$16</f>
        <v>0.95874904836419161</v>
      </c>
      <c r="V138" s="1134">
        <f>SUMIFS(INDEX(ArchetypeDemand!$I$106:$AH$150,,MATCH(V$128,ArchetypeDemand!$I$4:$AH$4,0)),ArchetypeDemand!$F$106:$F$150,$F138)*'SHWLP-Det'!$R$16</f>
        <v>0.65952102968332393</v>
      </c>
      <c r="W138" s="1134">
        <f>SUMIFS(INDEX(ArchetypeDemand!$I$106:$AH$150,,MATCH(W$128,ArchetypeDemand!$I$4:$AH$4,0)),ArchetypeDemand!$F$106:$F$150,$F138)*'SHWLP-Det'!$R$16</f>
        <v>0.65642347852212735</v>
      </c>
      <c r="X138" s="1134">
        <f>SUMIFS(INDEX(ArchetypeDemand!$I$106:$AH$150,,MATCH(X$128,ArchetypeDemand!$I$4:$AH$4,0)),ArchetypeDemand!$F$106:$F$150,$F138)*'SHWLP-Det'!$R$16</f>
        <v>0.51759508674252475</v>
      </c>
      <c r="Y138" s="1134">
        <f>SUMIFS(INDEX(ArchetypeDemand!$I$106:$AH$150,,MATCH(Y$128,ArchetypeDemand!$I$4:$AH$4,0)),ArchetypeDemand!$F$106:$F$150,$F138)*'SHWLP-Det'!$R$16</f>
        <v>1.4370388482143415</v>
      </c>
      <c r="Z138" s="1134">
        <f>SUMIFS(INDEX(ArchetypeDemand!$I$106:$AH$150,,MATCH(Z$128,ArchetypeDemand!$I$4:$AH$4,0)),ArchetypeDemand!$F$106:$F$150,$F138)*'SHWLP-Det'!$R$16</f>
        <v>0.14337787362469245</v>
      </c>
      <c r="AA138" s="1134">
        <f>SUMIFS(INDEX(ArchetypeDemand!$I$106:$AH$150,,MATCH(AA$128,ArchetypeDemand!$I$4:$AH$4,0)),ArchetypeDemand!$F$106:$F$150,$F138)*'SHWLP-Det'!$R$16</f>
        <v>0.64912167610762006</v>
      </c>
      <c r="AB138" s="1134">
        <f>SUMIFS(INDEX(ArchetypeDemand!$I$106:$AH$150,,MATCH(AB$128,ArchetypeDemand!$I$4:$AH$4,0)),ArchetypeDemand!$F$106:$F$150,$F138)*'SHWLP-Det'!$R$16</f>
        <v>0.2964485419816808</v>
      </c>
      <c r="AC138" s="1134">
        <f>SUMIFS(INDEX(ArchetypeDemand!$I$106:$AH$150,,MATCH(AC$128,ArchetypeDemand!$I$4:$AH$4,0)),ArchetypeDemand!$F$106:$F$150,$F138)*'SHWLP-Det'!$R$16</f>
        <v>0.32395433414227509</v>
      </c>
      <c r="AD138" s="1134">
        <f>SUMIFS(INDEX(ArchetypeDemand!$I$106:$AH$150,,MATCH(AD$128,ArchetypeDemand!$I$4:$AH$4,0)),ArchetypeDemand!$F$106:$F$150,$F138)*'SHWLP-Det'!$R$16</f>
        <v>0.42922022027622664</v>
      </c>
      <c r="AE138" s="1134">
        <f>SUMIFS(INDEX(ArchetypeDemand!$I$106:$AH$150,,MATCH(AE$128,ArchetypeDemand!$I$4:$AH$4,0)),ArchetypeDemand!$F$106:$F$150,$F138)*'SHWLP-Det'!$R$16</f>
        <v>0.80612836799918908</v>
      </c>
      <c r="AF138" s="1134">
        <f>SUMIFS(INDEX(ArchetypeDemand!$I$106:$AH$150,,MATCH(AF$128,ArchetypeDemand!$I$4:$AH$4,0)),ArchetypeDemand!$F$106:$F$150,$F138)*'SHWLP-Det'!$R$16</f>
        <v>0.35376155999515929</v>
      </c>
    </row>
    <row r="139" spans="3:32">
      <c r="C139" s="1136" t="s">
        <v>1231</v>
      </c>
      <c r="D139" s="1136" t="s">
        <v>1094</v>
      </c>
      <c r="E139" s="1136" t="s">
        <v>833</v>
      </c>
      <c r="F139" s="1136" t="s">
        <v>1225</v>
      </c>
      <c r="G139" s="1136">
        <f>SUMIFS(INDEX(ArchetypeDemand!$I$106:$AH$150,,MATCH(G$128,ArchetypeDemand!$I$4:$AH$4,0)),ArchetypeDemand!$F$106:$F$150,$F139)*'SHWLP-Det'!$R$16</f>
        <v>0.60389076737759484</v>
      </c>
      <c r="H139" s="1136">
        <f>SUMIFS(INDEX(ArchetypeDemand!$I$106:$AH$150,,MATCH(H$128,ArchetypeDemand!$I$4:$AH$4,0)),ArchetypeDemand!$F$106:$F$150,$F139)*'SHWLP-Det'!$R$16</f>
        <v>2.8111411895330711</v>
      </c>
      <c r="I139" s="1136">
        <f>SUMIFS(INDEX(ArchetypeDemand!$I$106:$AH$150,,MATCH(I$128,ArchetypeDemand!$I$4:$AH$4,0)),ArchetypeDemand!$F$106:$F$150,$F139)*'SHWLP-Det'!$R$16</f>
        <v>1.9155114148034635</v>
      </c>
      <c r="J139" s="1136">
        <f>SUMIFS(INDEX(ArchetypeDemand!$I$106:$AH$150,,MATCH(J$128,ArchetypeDemand!$I$4:$AH$4,0)),ArchetypeDemand!$F$106:$F$150,$F139)*'SHWLP-Det'!$R$16</f>
        <v>1.1485423092020639</v>
      </c>
      <c r="K139" s="1136">
        <f>SUMIFS(INDEX(ArchetypeDemand!$I$106:$AH$150,,MATCH(K$128,ArchetypeDemand!$I$4:$AH$4,0)),ArchetypeDemand!$F$106:$F$150,$F139)*'SHWLP-Det'!$R$16</f>
        <v>0.97741839475121539</v>
      </c>
      <c r="L139" s="1136">
        <f>SUMIFS(INDEX(ArchetypeDemand!$I$106:$AH$150,,MATCH(L$128,ArchetypeDemand!$I$4:$AH$4,0)),ArchetypeDemand!$F$106:$F$150,$F139)*'SHWLP-Det'!$R$16</f>
        <v>0.52458355452005412</v>
      </c>
      <c r="M139" s="1136">
        <f>SUMIFS(INDEX(ArchetypeDemand!$I$106:$AH$150,,MATCH(M$128,ArchetypeDemand!$I$4:$AH$4,0)),ArchetypeDemand!$F$106:$F$150,$F139)*'SHWLP-Det'!$R$16</f>
        <v>1.1413717425601366</v>
      </c>
      <c r="N139" s="1136">
        <f>SUMIFS(INDEX(ArchetypeDemand!$I$106:$AH$150,,MATCH(N$128,ArchetypeDemand!$I$4:$AH$4,0)),ArchetypeDemand!$F$106:$F$150,$F139)*'SHWLP-Det'!$R$16</f>
        <v>2.0859872504375918</v>
      </c>
      <c r="O139" s="1136">
        <f>SUMIFS(INDEX(ArchetypeDemand!$I$106:$AH$150,,MATCH(O$128,ArchetypeDemand!$I$4:$AH$4,0)),ArchetypeDemand!$F$106:$F$150,$F139)*'SHWLP-Det'!$R$16</f>
        <v>0.8848648005311226</v>
      </c>
      <c r="P139" s="1136">
        <f>SUMIFS(INDEX(ArchetypeDemand!$I$106:$AH$150,,MATCH(P$128,ArchetypeDemand!$I$4:$AH$4,0)),ArchetypeDemand!$F$106:$F$150,$F139)*'SHWLP-Det'!$R$16</f>
        <v>0.93279437941913534</v>
      </c>
      <c r="Q139" s="1136">
        <f>SUMIFS(INDEX(ArchetypeDemand!$I$106:$AH$150,,MATCH(Q$128,ArchetypeDemand!$I$4:$AH$4,0)),ArchetypeDemand!$F$106:$F$150,$F139)*'SHWLP-Det'!$R$16</f>
        <v>2.1181558247760632</v>
      </c>
      <c r="R139" s="1136">
        <f>SUMIFS(INDEX(ArchetypeDemand!$I$106:$AH$150,,MATCH(R$128,ArchetypeDemand!$I$4:$AH$4,0)),ArchetypeDemand!$F$106:$F$150,$F139)*'SHWLP-Det'!$R$16</f>
        <v>1.1925237958217909</v>
      </c>
      <c r="S139" s="1136">
        <f>SUMIFS(INDEX(ArchetypeDemand!$I$106:$AH$150,,MATCH(S$128,ArchetypeDemand!$I$4:$AH$4,0)),ArchetypeDemand!$F$106:$F$150,$F139)*'SHWLP-Det'!$R$16</f>
        <v>1.5684516031364941</v>
      </c>
      <c r="T139" s="1136">
        <f>SUMIFS(INDEX(ArchetypeDemand!$I$106:$AH$150,,MATCH(T$128,ArchetypeDemand!$I$4:$AH$4,0)),ArchetypeDemand!$F$106:$F$150,$F139)*'SHWLP-Det'!$R$16</f>
        <v>5.1548613127860454</v>
      </c>
      <c r="U139" s="1136">
        <f>SUMIFS(INDEX(ArchetypeDemand!$I$106:$AH$150,,MATCH(U$128,ArchetypeDemand!$I$4:$AH$4,0)),ArchetypeDemand!$F$106:$F$150,$F139)*'SHWLP-Det'!$R$16</f>
        <v>2.0144222249946893</v>
      </c>
      <c r="V139" s="1136">
        <f>SUMIFS(INDEX(ArchetypeDemand!$I$106:$AH$150,,MATCH(V$128,ArchetypeDemand!$I$4:$AH$4,0)),ArchetypeDemand!$F$106:$F$150,$F139)*'SHWLP-Det'!$R$16</f>
        <v>1.7964837956140498</v>
      </c>
      <c r="W139" s="1136">
        <f>SUMIFS(INDEX(ArchetypeDemand!$I$106:$AH$150,,MATCH(W$128,ArchetypeDemand!$I$4:$AH$4,0)),ArchetypeDemand!$F$106:$F$150,$F139)*'SHWLP-Det'!$R$16</f>
        <v>1.8371283787602113</v>
      </c>
      <c r="X139" s="1136">
        <f>SUMIFS(INDEX(ArchetypeDemand!$I$106:$AH$150,,MATCH(X$128,ArchetypeDemand!$I$4:$AH$4,0)),ArchetypeDemand!$F$106:$F$150,$F139)*'SHWLP-Det'!$R$16</f>
        <v>1.1759327406789637</v>
      </c>
      <c r="Y139" s="1136">
        <f>SUMIFS(INDEX(ArchetypeDemand!$I$106:$AH$150,,MATCH(Y$128,ArchetypeDemand!$I$4:$AH$4,0)),ArchetypeDemand!$F$106:$F$150,$F139)*'SHWLP-Det'!$R$16</f>
        <v>3.2403949115279453</v>
      </c>
      <c r="Z139" s="1136">
        <f>SUMIFS(INDEX(ArchetypeDemand!$I$106:$AH$150,,MATCH(Z$128,ArchetypeDemand!$I$4:$AH$4,0)),ArchetypeDemand!$F$106:$F$150,$F139)*'SHWLP-Det'!$R$16</f>
        <v>0.51655316114101535</v>
      </c>
      <c r="AA139" s="1136">
        <f>SUMIFS(INDEX(ArchetypeDemand!$I$106:$AH$150,,MATCH(AA$128,ArchetypeDemand!$I$4:$AH$4,0)),ArchetypeDemand!$F$106:$F$150,$F139)*'SHWLP-Det'!$R$16</f>
        <v>1.8658035101881849</v>
      </c>
      <c r="AB139" s="1136">
        <f>SUMIFS(INDEX(ArchetypeDemand!$I$106:$AH$150,,MATCH(AB$128,ArchetypeDemand!$I$4:$AH$4,0)),ArchetypeDemand!$F$106:$F$150,$F139)*'SHWLP-Det'!$R$16</f>
        <v>1.005664827710242</v>
      </c>
      <c r="AC139" s="1136">
        <f>SUMIFS(INDEX(ArchetypeDemand!$I$106:$AH$150,,MATCH(AC$128,ArchetypeDemand!$I$4:$AH$4,0)),ArchetypeDemand!$F$106:$F$150,$F139)*'SHWLP-Det'!$R$16</f>
        <v>0.7363213001978306</v>
      </c>
      <c r="AD139" s="1136">
        <f>SUMIFS(INDEX(ArchetypeDemand!$I$106:$AH$150,,MATCH(AD$128,ArchetypeDemand!$I$4:$AH$4,0)),ArchetypeDemand!$F$106:$F$150,$F139)*'SHWLP-Det'!$R$16</f>
        <v>1.10925882769133</v>
      </c>
      <c r="AE139" s="1136">
        <f>SUMIFS(INDEX(ArchetypeDemand!$I$106:$AH$150,,MATCH(AE$128,ArchetypeDemand!$I$4:$AH$4,0)),ArchetypeDemand!$F$106:$F$150,$F139)*'SHWLP-Det'!$R$16</f>
        <v>2.4308258696796963</v>
      </c>
      <c r="AF139" s="1136">
        <f>SUMIFS(INDEX(ArchetypeDemand!$I$106:$AH$150,,MATCH(AF$128,ArchetypeDemand!$I$4:$AH$4,0)),ArchetypeDemand!$F$106:$F$150,$F139)*'SHWLP-Det'!$R$16</f>
        <v>0.75031216868685224</v>
      </c>
    </row>
    <row r="140" spans="3:32">
      <c r="C140" s="1134" t="s">
        <v>1231</v>
      </c>
      <c r="D140" s="1134" t="s">
        <v>1094</v>
      </c>
      <c r="E140" s="1134" t="s">
        <v>833</v>
      </c>
      <c r="F140" s="1134" t="s">
        <v>1226</v>
      </c>
      <c r="G140" s="1134">
        <f>SUMIFS(INDEX(ArchetypeDemand!$I$106:$AH$150,,MATCH(G$128,ArchetypeDemand!$I$4:$AH$4,0)),ArchetypeDemand!$F$106:$F$150,$F140)*'SHWLP-Det'!$R$16</f>
        <v>0.40972641303702961</v>
      </c>
      <c r="H140" s="1134">
        <f>SUMIFS(INDEX(ArchetypeDemand!$I$106:$AH$150,,MATCH(H$128,ArchetypeDemand!$I$4:$AH$4,0)),ArchetypeDemand!$F$106:$F$150,$F140)*'SHWLP-Det'!$R$16</f>
        <v>1.9928983075796953</v>
      </c>
      <c r="I140" s="1134">
        <f>SUMIFS(INDEX(ArchetypeDemand!$I$106:$AH$150,,MATCH(I$128,ArchetypeDemand!$I$4:$AH$4,0)),ArchetypeDemand!$F$106:$F$150,$F140)*'SHWLP-Det'!$R$16</f>
        <v>0.9900251045513857</v>
      </c>
      <c r="J140" s="1134">
        <f>SUMIFS(INDEX(ArchetypeDemand!$I$106:$AH$150,,MATCH(J$128,ArchetypeDemand!$I$4:$AH$4,0)),ArchetypeDemand!$F$106:$F$150,$F140)*'SHWLP-Det'!$R$16</f>
        <v>0.79981902466359189</v>
      </c>
      <c r="K140" s="1134">
        <f>SUMIFS(INDEX(ArchetypeDemand!$I$106:$AH$150,,MATCH(K$128,ArchetypeDemand!$I$4:$AH$4,0)),ArchetypeDemand!$F$106:$F$150,$F140)*'SHWLP-Det'!$R$16</f>
        <v>0.57837630275384122</v>
      </c>
      <c r="L140" s="1134">
        <f>SUMIFS(INDEX(ArchetypeDemand!$I$106:$AH$150,,MATCH(L$128,ArchetypeDemand!$I$4:$AH$4,0)),ArchetypeDemand!$F$106:$F$150,$F140)*'SHWLP-Det'!$R$16</f>
        <v>0.33603515233632858</v>
      </c>
      <c r="M140" s="1134">
        <f>SUMIFS(INDEX(ArchetypeDemand!$I$106:$AH$150,,MATCH(M$128,ArchetypeDemand!$I$4:$AH$4,0)),ArchetypeDemand!$F$106:$F$150,$F140)*'SHWLP-Det'!$R$16</f>
        <v>0.61366293906654701</v>
      </c>
      <c r="N140" s="1134">
        <f>SUMIFS(INDEX(ArchetypeDemand!$I$106:$AH$150,,MATCH(N$128,ArchetypeDemand!$I$4:$AH$4,0)),ArchetypeDemand!$F$106:$F$150,$F140)*'SHWLP-Det'!$R$16</f>
        <v>1.1332035063121737</v>
      </c>
      <c r="O140" s="1134">
        <f>SUMIFS(INDEX(ArchetypeDemand!$I$106:$AH$150,,MATCH(O$128,ArchetypeDemand!$I$4:$AH$4,0)),ArchetypeDemand!$F$106:$F$150,$F140)*'SHWLP-Det'!$R$16</f>
        <v>0.61546802285185809</v>
      </c>
      <c r="P140" s="1134">
        <f>SUMIFS(INDEX(ArchetypeDemand!$I$106:$AH$150,,MATCH(P$128,ArchetypeDemand!$I$4:$AH$4,0)),ArchetypeDemand!$F$106:$F$150,$F140)*'SHWLP-Det'!$R$16</f>
        <v>0.6059596374907289</v>
      </c>
      <c r="Q140" s="1134">
        <f>SUMIFS(INDEX(ArchetypeDemand!$I$106:$AH$150,,MATCH(Q$128,ArchetypeDemand!$I$4:$AH$4,0)),ArchetypeDemand!$F$106:$F$150,$F140)*'SHWLP-Det'!$R$16</f>
        <v>1.3176218287593837</v>
      </c>
      <c r="R140" s="1134">
        <f>SUMIFS(INDEX(ArchetypeDemand!$I$106:$AH$150,,MATCH(R$128,ArchetypeDemand!$I$4:$AH$4,0)),ArchetypeDemand!$F$106:$F$150,$F140)*'SHWLP-Det'!$R$16</f>
        <v>0.82543529197178778</v>
      </c>
      <c r="S140" s="1134">
        <f>SUMIFS(INDEX(ArchetypeDemand!$I$106:$AH$150,,MATCH(S$128,ArchetypeDemand!$I$4:$AH$4,0)),ArchetypeDemand!$F$106:$F$150,$F140)*'SHWLP-Det'!$R$16</f>
        <v>0.93657416539242955</v>
      </c>
      <c r="T140" s="1134">
        <f>SUMIFS(INDEX(ArchetypeDemand!$I$106:$AH$150,,MATCH(T$128,ArchetypeDemand!$I$4:$AH$4,0)),ArchetypeDemand!$F$106:$F$150,$F140)*'SHWLP-Det'!$R$16</f>
        <v>2.8612001731970294</v>
      </c>
      <c r="U140" s="1134">
        <f>SUMIFS(INDEX(ArchetypeDemand!$I$106:$AH$150,,MATCH(U$128,ArchetypeDemand!$I$4:$AH$4,0)),ArchetypeDemand!$F$106:$F$150,$F140)*'SHWLP-Det'!$R$16</f>
        <v>1.3451934409632123</v>
      </c>
      <c r="V140" s="1134">
        <f>SUMIFS(INDEX(ArchetypeDemand!$I$106:$AH$150,,MATCH(V$128,ArchetypeDemand!$I$4:$AH$4,0)),ArchetypeDemand!$F$106:$F$150,$F140)*'SHWLP-Det'!$R$16</f>
        <v>1.3347145717772166</v>
      </c>
      <c r="W140" s="1134">
        <f>SUMIFS(INDEX(ArchetypeDemand!$I$106:$AH$150,,MATCH(W$128,ArchetypeDemand!$I$4:$AH$4,0)),ArchetypeDemand!$F$106:$F$150,$F140)*'SHWLP-Det'!$R$16</f>
        <v>1.342066221112528</v>
      </c>
      <c r="X140" s="1134">
        <f>SUMIFS(INDEX(ArchetypeDemand!$I$106:$AH$150,,MATCH(X$128,ArchetypeDemand!$I$4:$AH$4,0)),ArchetypeDemand!$F$106:$F$150,$F140)*'SHWLP-Det'!$R$16</f>
        <v>0.74947239307187086</v>
      </c>
      <c r="Y140" s="1134">
        <f>SUMIFS(INDEX(ArchetypeDemand!$I$106:$AH$150,,MATCH(Y$128,ArchetypeDemand!$I$4:$AH$4,0)),ArchetypeDemand!$F$106:$F$150,$F140)*'SHWLP-Det'!$R$16</f>
        <v>1.9427097857281519</v>
      </c>
      <c r="Z140" s="1134">
        <f>SUMIFS(INDEX(ArchetypeDemand!$I$106:$AH$150,,MATCH(Z$128,ArchetypeDemand!$I$4:$AH$4,0)),ArchetypeDemand!$F$106:$F$150,$F140)*'SHWLP-Det'!$R$16</f>
        <v>0.29579051736820117</v>
      </c>
      <c r="AA140" s="1134">
        <f>SUMIFS(INDEX(ArchetypeDemand!$I$106:$AH$150,,MATCH(AA$128,ArchetypeDemand!$I$4:$AH$4,0)),ArchetypeDemand!$F$106:$F$150,$F140)*'SHWLP-Det'!$R$16</f>
        <v>1.3460409327079044</v>
      </c>
      <c r="AB140" s="1134">
        <f>SUMIFS(INDEX(ArchetypeDemand!$I$106:$AH$150,,MATCH(AB$128,ArchetypeDemand!$I$4:$AH$4,0)),ArchetypeDemand!$F$106:$F$150,$F140)*'SHWLP-Det'!$R$16</f>
        <v>0.62521733135677771</v>
      </c>
      <c r="AC140" s="1134">
        <f>SUMIFS(INDEX(ArchetypeDemand!$I$106:$AH$150,,MATCH(AC$128,ArchetypeDemand!$I$4:$AH$4,0)),ArchetypeDemand!$F$106:$F$150,$F140)*'SHWLP-Det'!$R$16</f>
        <v>0.52877047058231863</v>
      </c>
      <c r="AD140" s="1134">
        <f>SUMIFS(INDEX(ArchetypeDemand!$I$106:$AH$150,,MATCH(AD$128,ArchetypeDemand!$I$4:$AH$4,0)),ArchetypeDemand!$F$106:$F$150,$F140)*'SHWLP-Det'!$R$16</f>
        <v>0.58785606075807817</v>
      </c>
      <c r="AE140" s="1134">
        <f>SUMIFS(INDEX(ArchetypeDemand!$I$106:$AH$150,,MATCH(AE$128,ArchetypeDemand!$I$4:$AH$4,0)),ArchetypeDemand!$F$106:$F$150,$F140)*'SHWLP-Det'!$R$16</f>
        <v>1.5227321750179843</v>
      </c>
      <c r="AF140" s="1134">
        <f>SUMIFS(INDEX(ArchetypeDemand!$I$106:$AH$150,,MATCH(AF$128,ArchetypeDemand!$I$4:$AH$4,0)),ArchetypeDemand!$F$106:$F$150,$F140)*'SHWLP-Det'!$R$16</f>
        <v>0.56167947085634251</v>
      </c>
    </row>
    <row r="141" spans="3:32">
      <c r="C141" s="1136" t="s">
        <v>1231</v>
      </c>
      <c r="D141" s="1136" t="s">
        <v>1094</v>
      </c>
      <c r="E141" s="1136" t="s">
        <v>833</v>
      </c>
      <c r="F141" s="1136" t="s">
        <v>1227</v>
      </c>
      <c r="G141" s="1136">
        <f>SUMIFS(INDEX(ArchetypeDemand!$I$106:$AH$150,,MATCH(G$128,ArchetypeDemand!$I$4:$AH$4,0)),ArchetypeDemand!$F$106:$F$150,$F141)*'SHWLP-Det'!$R$16</f>
        <v>0.17197414241592926</v>
      </c>
      <c r="H141" s="1136">
        <f>SUMIFS(INDEX(ArchetypeDemand!$I$106:$AH$150,,MATCH(H$128,ArchetypeDemand!$I$4:$AH$4,0)),ArchetypeDemand!$F$106:$F$150,$F141)*'SHWLP-Det'!$R$16</f>
        <v>1.0248308677226334</v>
      </c>
      <c r="I141" s="1136">
        <f>SUMIFS(INDEX(ArchetypeDemand!$I$106:$AH$150,,MATCH(I$128,ArchetypeDemand!$I$4:$AH$4,0)),ArchetypeDemand!$F$106:$F$150,$F141)*'SHWLP-Det'!$R$16</f>
        <v>0.37475526556464883</v>
      </c>
      <c r="J141" s="1136">
        <f>SUMIFS(INDEX(ArchetypeDemand!$I$106:$AH$150,,MATCH(J$128,ArchetypeDemand!$I$4:$AH$4,0)),ArchetypeDemand!$F$106:$F$150,$F141)*'SHWLP-Det'!$R$16</f>
        <v>0.35200796225782993</v>
      </c>
      <c r="K141" s="1136">
        <f>SUMIFS(INDEX(ArchetypeDemand!$I$106:$AH$150,,MATCH(K$128,ArchetypeDemand!$I$4:$AH$4,0)),ArchetypeDemand!$F$106:$F$150,$F141)*'SHWLP-Det'!$R$16</f>
        <v>0.24036417776783012</v>
      </c>
      <c r="L141" s="1136">
        <f>SUMIFS(INDEX(ArchetypeDemand!$I$106:$AH$150,,MATCH(L$128,ArchetypeDemand!$I$4:$AH$4,0)),ArchetypeDemand!$F$106:$F$150,$F141)*'SHWLP-Det'!$R$16</f>
        <v>0.16801757616816429</v>
      </c>
      <c r="M141" s="1136">
        <f>SUMIFS(INDEX(ArchetypeDemand!$I$106:$AH$150,,MATCH(M$128,ArchetypeDemand!$I$4:$AH$4,0)),ArchetypeDemand!$F$106:$F$150,$F141)*'SHWLP-Det'!$R$16</f>
        <v>0.27025963781112577</v>
      </c>
      <c r="N141" s="1136">
        <f>SUMIFS(INDEX(ArchetypeDemand!$I$106:$AH$150,,MATCH(N$128,ArchetypeDemand!$I$4:$AH$4,0)),ArchetypeDemand!$F$106:$F$150,$F141)*'SHWLP-Det'!$R$16</f>
        <v>0.44593441220901703</v>
      </c>
      <c r="O141" s="1136">
        <f>SUMIFS(INDEX(ArchetypeDemand!$I$106:$AH$150,,MATCH(O$128,ArchetypeDemand!$I$4:$AH$4,0)),ArchetypeDemand!$F$106:$F$150,$F141)*'SHWLP-Det'!$R$16</f>
        <v>0.27354134348971471</v>
      </c>
      <c r="P141" s="1136">
        <f>SUMIFS(INDEX(ArchetypeDemand!$I$106:$AH$150,,MATCH(P$128,ArchetypeDemand!$I$4:$AH$4,0)),ArchetypeDemand!$F$106:$F$150,$F141)*'SHWLP-Det'!$R$16</f>
        <v>0.27867900914768623</v>
      </c>
      <c r="Q141" s="1136">
        <f>SUMIFS(INDEX(ArchetypeDemand!$I$106:$AH$150,,MATCH(Q$128,ArchetypeDemand!$I$4:$AH$4,0)),ArchetypeDemand!$F$106:$F$150,$F141)*'SHWLP-Det'!$R$16</f>
        <v>0.51965129933562126</v>
      </c>
      <c r="R141" s="1136">
        <f>SUMIFS(INDEX(ArchetypeDemand!$I$106:$AH$150,,MATCH(R$128,ArchetypeDemand!$I$4:$AH$4,0)),ArchetypeDemand!$F$106:$F$150,$F141)*'SHWLP-Det'!$R$16</f>
        <v>0.36791065055515443</v>
      </c>
      <c r="S141" s="1136">
        <f>SUMIFS(INDEX(ArchetypeDemand!$I$106:$AH$150,,MATCH(S$128,ArchetypeDemand!$I$4:$AH$4,0)),ArchetypeDemand!$F$106:$F$150,$F141)*'SHWLP-Det'!$R$16</f>
        <v>0.45510681712363926</v>
      </c>
      <c r="T141" s="1136">
        <f>SUMIFS(INDEX(ArchetypeDemand!$I$106:$AH$150,,MATCH(T$128,ArchetypeDemand!$I$4:$AH$4,0)),ArchetypeDemand!$F$106:$F$150,$F141)*'SHWLP-Det'!$R$16</f>
        <v>1.2239697230823436</v>
      </c>
      <c r="U141" s="1136">
        <f>SUMIFS(INDEX(ArchetypeDemand!$I$106:$AH$150,,MATCH(U$128,ArchetypeDemand!$I$4:$AH$4,0)),ArchetypeDemand!$F$106:$F$150,$F141)*'SHWLP-Det'!$R$16</f>
        <v>0.62009653464136283</v>
      </c>
      <c r="V141" s="1136">
        <f>SUMIFS(INDEX(ArchetypeDemand!$I$106:$AH$150,,MATCH(V$128,ArchetypeDemand!$I$4:$AH$4,0)),ArchetypeDemand!$F$106:$F$150,$F141)*'SHWLP-Det'!$R$16</f>
        <v>0.54237517934409862</v>
      </c>
      <c r="W141" s="1136">
        <f>SUMIFS(INDEX(ArchetypeDemand!$I$106:$AH$150,,MATCH(W$128,ArchetypeDemand!$I$4:$AH$4,0)),ArchetypeDemand!$F$106:$F$150,$F141)*'SHWLP-Det'!$R$16</f>
        <v>0.65952490317223078</v>
      </c>
      <c r="X141" s="1136">
        <f>SUMIFS(INDEX(ArchetypeDemand!$I$106:$AH$150,,MATCH(X$128,ArchetypeDemand!$I$4:$AH$4,0)),ArchetypeDemand!$F$106:$F$150,$F141)*'SHWLP-Det'!$R$16</f>
        <v>0.24827592514155497</v>
      </c>
      <c r="Y141" s="1136">
        <f>SUMIFS(INDEX(ArchetypeDemand!$I$106:$AH$150,,MATCH(Y$128,ArchetypeDemand!$I$4:$AH$4,0)),ArchetypeDemand!$F$106:$F$150,$F141)*'SHWLP-Det'!$R$16</f>
        <v>0.87570637631395165</v>
      </c>
      <c r="Z141" s="1136">
        <f>SUMIFS(INDEX(ArchetypeDemand!$I$106:$AH$150,,MATCH(Z$128,ArchetypeDemand!$I$4:$AH$4,0)),ArchetypeDemand!$F$106:$F$150,$F141)*'SHWLP-Det'!$R$16</f>
        <v>0.17087500007326364</v>
      </c>
      <c r="AA141" s="1136">
        <f>SUMIFS(INDEX(ArchetypeDemand!$I$106:$AH$150,,MATCH(AA$128,ArchetypeDemand!$I$4:$AH$4,0)),ArchetypeDemand!$F$106:$F$150,$F141)*'SHWLP-Det'!$R$16</f>
        <v>0.63507695029809152</v>
      </c>
      <c r="AB141" s="1136">
        <f>SUMIFS(INDEX(ArchetypeDemand!$I$106:$AH$150,,MATCH(AB$128,ArchetypeDemand!$I$4:$AH$4,0)),ArchetypeDemand!$F$106:$F$150,$F141)*'SHWLP-Det'!$R$16</f>
        <v>0.31673399997619744</v>
      </c>
      <c r="AC141" s="1136">
        <f>SUMIFS(INDEX(ArchetypeDemand!$I$106:$AH$150,,MATCH(AC$128,ArchetypeDemand!$I$4:$AH$4,0)),ArchetypeDemand!$F$106:$F$150,$F141)*'SHWLP-Det'!$R$16</f>
        <v>0.26101727051038021</v>
      </c>
      <c r="AD141" s="1136">
        <f>SUMIFS(INDEX(ArchetypeDemand!$I$106:$AH$150,,MATCH(AD$128,ArchetypeDemand!$I$4:$AH$4,0)),ArchetypeDemand!$F$106:$F$150,$F141)*'SHWLP-Det'!$R$16</f>
        <v>0.28455641201912768</v>
      </c>
      <c r="AE141" s="1136">
        <f>SUMIFS(INDEX(ArchetypeDemand!$I$106:$AH$150,,MATCH(AE$128,ArchetypeDemand!$I$4:$AH$4,0)),ArchetypeDemand!$F$106:$F$150,$F141)*'SHWLP-Det'!$R$16</f>
        <v>0.70383038013729604</v>
      </c>
      <c r="AF141" s="1136">
        <f>SUMIFS(INDEX(ArchetypeDemand!$I$106:$AH$150,,MATCH(AF$128,ArchetypeDemand!$I$4:$AH$4,0)),ArchetypeDemand!$F$106:$F$150,$F141)*'SHWLP-Det'!$R$16</f>
        <v>0.25613065999350376</v>
      </c>
    </row>
    <row r="142" spans="3:32">
      <c r="C142" s="1134" t="s">
        <v>1231</v>
      </c>
      <c r="D142" s="1134" t="s">
        <v>1094</v>
      </c>
      <c r="E142" s="1134" t="s">
        <v>833</v>
      </c>
      <c r="F142" s="1134" t="s">
        <v>1228</v>
      </c>
      <c r="G142" s="1134">
        <f>SUMIFS(INDEX(ArchetypeDemand!$I$106:$AH$150,,MATCH(G$128,ArchetypeDemand!$I$4:$AH$4,0)),ArchetypeDemand!$F$106:$F$150,$F142)*'SHWLP-Det'!$R$16</f>
        <v>9.2327131757860642E-2</v>
      </c>
      <c r="H142" s="1134">
        <f>SUMIFS(INDEX(ArchetypeDemand!$I$106:$AH$150,,MATCH(H$128,ArchetypeDemand!$I$4:$AH$4,0)),ArchetypeDemand!$F$106:$F$150,$F142)*'SHWLP-Det'!$R$16</f>
        <v>0.49928647775635449</v>
      </c>
      <c r="I142" s="1134">
        <f>SUMIFS(INDEX(ArchetypeDemand!$I$106:$AH$150,,MATCH(I$128,ArchetypeDemand!$I$4:$AH$4,0)),ArchetypeDemand!$F$106:$F$150,$F142)*'SHWLP-Det'!$R$16</f>
        <v>0.15618388220432552</v>
      </c>
      <c r="J142" s="1134">
        <f>SUMIFS(INDEX(ArchetypeDemand!$I$106:$AH$150,,MATCH(J$128,ArchetypeDemand!$I$4:$AH$4,0)),ArchetypeDemand!$F$106:$F$150,$F142)*'SHWLP-Det'!$R$16</f>
        <v>0.167518563687241</v>
      </c>
      <c r="K142" s="1134">
        <f>SUMIFS(INDEX(ArchetypeDemand!$I$106:$AH$150,,MATCH(K$128,ArchetypeDemand!$I$4:$AH$4,0)),ArchetypeDemand!$F$106:$F$150,$F142)*'SHWLP-Det'!$R$16</f>
        <v>0.14459407568846031</v>
      </c>
      <c r="L142" s="1134">
        <f>SUMIFS(INDEX(ArchetypeDemand!$I$106:$AH$150,,MATCH(L$128,ArchetypeDemand!$I$4:$AH$4,0)),ArchetypeDemand!$F$106:$F$150,$F142)*'SHWLP-Det'!$R$16</f>
        <v>0.11773800225250415</v>
      </c>
      <c r="M142" s="1134">
        <f>SUMIFS(INDEX(ArchetypeDemand!$I$106:$AH$150,,MATCH(M$128,ArchetypeDemand!$I$4:$AH$4,0)),ArchetypeDemand!$F$106:$F$150,$F142)*'SHWLP-Det'!$R$16</f>
        <v>0.12107962366767562</v>
      </c>
      <c r="N142" s="1134">
        <f>SUMIFS(INDEX(ArchetypeDemand!$I$106:$AH$150,,MATCH(N$128,ArchetypeDemand!$I$4:$AH$4,0)),ArchetypeDemand!$F$106:$F$150,$F142)*'SHWLP-Det'!$R$16</f>
        <v>0.21994471008849328</v>
      </c>
      <c r="O142" s="1134">
        <f>SUMIFS(INDEX(ArchetypeDemand!$I$106:$AH$150,,MATCH(O$128,ArchetypeDemand!$I$4:$AH$4,0)),ArchetypeDemand!$F$106:$F$150,$F142)*'SHWLP-Det'!$R$16</f>
        <v>0.16371034951278382</v>
      </c>
      <c r="P142" s="1134">
        <f>SUMIFS(INDEX(ArchetypeDemand!$I$106:$AH$150,,MATCH(P$128,ArchetypeDemand!$I$4:$AH$4,0)),ArchetypeDemand!$F$106:$F$150,$F142)*'SHWLP-Det'!$R$16</f>
        <v>0.15784379078124949</v>
      </c>
      <c r="Q142" s="1134">
        <f>SUMIFS(INDEX(ArchetypeDemand!$I$106:$AH$150,,MATCH(Q$128,ArchetypeDemand!$I$4:$AH$4,0)),ArchetypeDemand!$F$106:$F$150,$F142)*'SHWLP-Det'!$R$16</f>
        <v>0.22778231725634707</v>
      </c>
      <c r="R142" s="1134">
        <f>SUMIFS(INDEX(ArchetypeDemand!$I$106:$AH$150,,MATCH(R$128,ArchetypeDemand!$I$4:$AH$4,0)),ArchetypeDemand!$F$106:$F$150,$F142)*'SHWLP-Det'!$R$16</f>
        <v>0.19608198917855715</v>
      </c>
      <c r="S142" s="1134">
        <f>SUMIFS(INDEX(ArchetypeDemand!$I$106:$AH$150,,MATCH(S$128,ArchetypeDemand!$I$4:$AH$4,0)),ArchetypeDemand!$F$106:$F$150,$F142)*'SHWLP-Det'!$R$16</f>
        <v>0.20429411637492151</v>
      </c>
      <c r="T142" s="1134">
        <f>SUMIFS(INDEX(ArchetypeDemand!$I$106:$AH$150,,MATCH(T$128,ArchetypeDemand!$I$4:$AH$4,0)),ArchetypeDemand!$F$106:$F$150,$F142)*'SHWLP-Det'!$R$16</f>
        <v>0.57138530717915281</v>
      </c>
      <c r="U142" s="1134">
        <f>SUMIFS(INDEX(ArchetypeDemand!$I$106:$AH$150,,MATCH(U$128,ArchetypeDemand!$I$4:$AH$4,0)),ArchetypeDemand!$F$106:$F$150,$F142)*'SHWLP-Det'!$R$16</f>
        <v>0.27101982728095353</v>
      </c>
      <c r="V142" s="1134">
        <f>SUMIFS(INDEX(ArchetypeDemand!$I$106:$AH$150,,MATCH(V$128,ArchetypeDemand!$I$4:$AH$4,0)),ArchetypeDemand!$F$106:$F$150,$F142)*'SHWLP-Det'!$R$16</f>
        <v>0.28640839510028293</v>
      </c>
      <c r="W142" s="1134">
        <f>SUMIFS(INDEX(ArchetypeDemand!$I$106:$AH$150,,MATCH(W$128,ArchetypeDemand!$I$4:$AH$4,0)),ArchetypeDemand!$F$106:$F$150,$F142)*'SHWLP-Det'!$R$16</f>
        <v>0.36365935333544958</v>
      </c>
      <c r="X142" s="1134">
        <f>SUMIFS(INDEX(ArchetypeDemand!$I$106:$AH$150,,MATCH(X$128,ArchetypeDemand!$I$4:$AH$4,0)),ArchetypeDemand!$F$106:$F$150,$F142)*'SHWLP-Det'!$R$16</f>
        <v>0.13427167380104504</v>
      </c>
      <c r="Y142" s="1134">
        <f>SUMIFS(INDEX(ArchetypeDemand!$I$106:$AH$150,,MATCH(Y$128,ArchetypeDemand!$I$4:$AH$4,0)),ArchetypeDemand!$F$106:$F$150,$F142)*'SHWLP-Det'!$R$16</f>
        <v>0.41193163640284558</v>
      </c>
      <c r="Z142" s="1134">
        <f>SUMIFS(INDEX(ArchetypeDemand!$I$106:$AH$150,,MATCH(Z$128,ArchetypeDemand!$I$4:$AH$4,0)),ArchetypeDemand!$F$106:$F$150,$F142)*'SHWLP-Det'!$R$16</f>
        <v>9.3097413833019491E-2</v>
      </c>
      <c r="AA142" s="1134">
        <f>SUMIFS(INDEX(ArchetypeDemand!$I$106:$AH$150,,MATCH(AA$128,ArchetypeDemand!$I$4:$AH$4,0)),ArchetypeDemand!$F$106:$F$150,$F142)*'SHWLP-Det'!$R$16</f>
        <v>0.32516957335022445</v>
      </c>
      <c r="AB142" s="1134">
        <f>SUMIFS(INDEX(ArchetypeDemand!$I$106:$AH$150,,MATCH(AB$128,ArchetypeDemand!$I$4:$AH$4,0)),ArchetypeDemand!$F$106:$F$150,$F142)*'SHWLP-Det'!$R$16</f>
        <v>0.18288982053618349</v>
      </c>
      <c r="AC142" s="1134">
        <f>SUMIFS(INDEX(ArchetypeDemand!$I$106:$AH$150,,MATCH(AC$128,ArchetypeDemand!$I$4:$AH$4,0)),ArchetypeDemand!$F$106:$F$150,$F142)*'SHWLP-Det'!$R$16</f>
        <v>0.15997832708700724</v>
      </c>
      <c r="AD142" s="1134">
        <f>SUMIFS(INDEX(ArchetypeDemand!$I$106:$AH$150,,MATCH(AD$128,ArchetypeDemand!$I$4:$AH$4,0)),ArchetypeDemand!$F$106:$F$150,$F142)*'SHWLP-Det'!$R$16</f>
        <v>0.14483410192590332</v>
      </c>
      <c r="AE142" s="1134">
        <f>SUMIFS(INDEX(ArchetypeDemand!$I$106:$AH$150,,MATCH(AE$128,ArchetypeDemand!$I$4:$AH$4,0)),ArchetypeDemand!$F$106:$F$150,$F142)*'SHWLP-Det'!$R$16</f>
        <v>0.33828223129382834</v>
      </c>
      <c r="AF142" s="1134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38" t="s">
        <v>1231</v>
      </c>
      <c r="D143" s="1138" t="s">
        <v>1094</v>
      </c>
      <c r="E143" s="1138" t="s">
        <v>833</v>
      </c>
      <c r="F143" s="1138" t="s">
        <v>1229</v>
      </c>
      <c r="G143" s="1138">
        <f>SUMIFS(INDEX(ArchetypeDemand!$I$106:$AH$150,,MATCH(G$128,ArchetypeDemand!$I$4:$AH$4,0)),ArchetypeDemand!$F$106:$F$150,$F143)*'SHWLP-Det'!$R$16</f>
        <v>0.17355915755340326</v>
      </c>
      <c r="H143" s="1138">
        <f>SUMIFS(INDEX(ArchetypeDemand!$I$106:$AH$150,,MATCH(H$128,ArchetypeDemand!$I$4:$AH$4,0)),ArchetypeDemand!$F$106:$F$150,$F143)*'SHWLP-Det'!$R$16</f>
        <v>0.5633866752099933</v>
      </c>
      <c r="I143" s="1138">
        <f>SUMIFS(INDEX(ArchetypeDemand!$I$106:$AH$150,,MATCH(I$128,ArchetypeDemand!$I$4:$AH$4,0)),ArchetypeDemand!$F$106:$F$150,$F143)*'SHWLP-Det'!$R$16</f>
        <v>0.27493526371505234</v>
      </c>
      <c r="J143" s="1138">
        <f>SUMIFS(INDEX(ArchetypeDemand!$I$106:$AH$150,,MATCH(J$128,ArchetypeDemand!$I$4:$AH$4,0)),ArchetypeDemand!$F$106:$F$150,$F143)*'SHWLP-Det'!$R$16</f>
        <v>0.33832180509383963</v>
      </c>
      <c r="K143" s="1138">
        <f>SUMIFS(INDEX(ArchetypeDemand!$I$106:$AH$150,,MATCH(K$128,ArchetypeDemand!$I$4:$AH$4,0)),ArchetypeDemand!$F$106:$F$150,$F143)*'SHWLP-Det'!$R$16</f>
        <v>0.25679532273242783</v>
      </c>
      <c r="L143" s="1138">
        <f>SUMIFS(INDEX(ArchetypeDemand!$I$106:$AH$150,,MATCH(L$128,ArchetypeDemand!$I$4:$AH$4,0)),ArchetypeDemand!$F$106:$F$150,$F143)*'SHWLP-Det'!$R$16</f>
        <v>0.18687241638653684</v>
      </c>
      <c r="M143" s="1138">
        <f>SUMIFS(INDEX(ArchetypeDemand!$I$106:$AH$150,,MATCH(M$128,ArchetypeDemand!$I$4:$AH$4,0)),ArchetypeDemand!$F$106:$F$150,$F143)*'SHWLP-Det'!$R$16</f>
        <v>0.21405885685957671</v>
      </c>
      <c r="N143" s="1138">
        <f>SUMIFS(INDEX(ArchetypeDemand!$I$106:$AH$150,,MATCH(N$128,ArchetypeDemand!$I$4:$AH$4,0)),ArchetypeDemand!$F$106:$F$150,$F143)*'SHWLP-Det'!$R$16</f>
        <v>0.38920448698534649</v>
      </c>
      <c r="O143" s="1138">
        <f>SUMIFS(INDEX(ArchetypeDemand!$I$106:$AH$150,,MATCH(O$128,ArchetypeDemand!$I$4:$AH$4,0)),ArchetypeDemand!$F$106:$F$150,$F143)*'SHWLP-Det'!$R$16</f>
        <v>0.27509555566863358</v>
      </c>
      <c r="P143" s="1138">
        <f>SUMIFS(INDEX(ArchetypeDemand!$I$106:$AH$150,,MATCH(P$128,ArchetypeDemand!$I$4:$AH$4,0)),ArchetypeDemand!$F$106:$F$150,$F143)*'SHWLP-Det'!$R$16</f>
        <v>0.32059233212349825</v>
      </c>
      <c r="Q143" s="1138">
        <f>SUMIFS(INDEX(ArchetypeDemand!$I$106:$AH$150,,MATCH(Q$128,ArchetypeDemand!$I$4:$AH$4,0)),ArchetypeDemand!$F$106:$F$150,$F143)*'SHWLP-Det'!$R$16</f>
        <v>0.37206886548625173</v>
      </c>
      <c r="R143" s="1138">
        <f>SUMIFS(INDEX(ArchetypeDemand!$I$106:$AH$150,,MATCH(R$128,ArchetypeDemand!$I$4:$AH$4,0)),ArchetypeDemand!$F$106:$F$150,$F143)*'SHWLP-Det'!$R$16</f>
        <v>0.31282682131002515</v>
      </c>
      <c r="S143" s="1138">
        <f>SUMIFS(INDEX(ArchetypeDemand!$I$106:$AH$150,,MATCH(S$128,ArchetypeDemand!$I$4:$AH$4,0)),ArchetypeDemand!$F$106:$F$150,$F143)*'SHWLP-Det'!$R$16</f>
        <v>0.42409442754110843</v>
      </c>
      <c r="T143" s="1138">
        <f>SUMIFS(INDEX(ArchetypeDemand!$I$106:$AH$150,,MATCH(T$128,ArchetypeDemand!$I$4:$AH$4,0)),ArchetypeDemand!$F$106:$F$150,$F143)*'SHWLP-Det'!$R$16</f>
        <v>1.1568736174524807</v>
      </c>
      <c r="U143" s="1138">
        <f>SUMIFS(INDEX(ArchetypeDemand!$I$106:$AH$150,,MATCH(U$128,ArchetypeDemand!$I$4:$AH$4,0)),ArchetypeDemand!$F$106:$F$150,$F143)*'SHWLP-Det'!$R$16</f>
        <v>0.49766213898373918</v>
      </c>
      <c r="V143" s="1138">
        <f>SUMIFS(INDEX(ArchetypeDemand!$I$106:$AH$150,,MATCH(V$128,ArchetypeDemand!$I$4:$AH$4,0)),ArchetypeDemand!$F$106:$F$150,$F143)*'SHWLP-Det'!$R$16</f>
        <v>0.51879364980739862</v>
      </c>
      <c r="W143" s="1138">
        <f>SUMIFS(INDEX(ArchetypeDemand!$I$106:$AH$150,,MATCH(W$128,ArchetypeDemand!$I$4:$AH$4,0)),ArchetypeDemand!$F$106:$F$150,$F143)*'SHWLP-Det'!$R$16</f>
        <v>0.62688344222842751</v>
      </c>
      <c r="X143" s="1138">
        <f>SUMIFS(INDEX(ArchetypeDemand!$I$106:$AH$150,,MATCH(X$128,ArchetypeDemand!$I$4:$AH$4,0)),ArchetypeDemand!$F$106:$F$150,$F143)*'SHWLP-Det'!$R$16</f>
        <v>0.17776218449760994</v>
      </c>
      <c r="Y143" s="1138">
        <f>SUMIFS(INDEX(ArchetypeDemand!$I$106:$AH$150,,MATCH(Y$128,ArchetypeDemand!$I$4:$AH$4,0)),ArchetypeDemand!$F$106:$F$150,$F143)*'SHWLP-Det'!$R$16</f>
        <v>0.77965597524050789</v>
      </c>
      <c r="Z143" s="1138">
        <f>SUMIFS(INDEX(ArchetypeDemand!$I$106:$AH$150,,MATCH(Z$128,ArchetypeDemand!$I$4:$AH$4,0)),ArchetypeDemand!$F$106:$F$150,$F143)*'SHWLP-Det'!$R$16</f>
        <v>0.20819252882489589</v>
      </c>
      <c r="AA143" s="1138">
        <f>SUMIFS(INDEX(ArchetypeDemand!$I$106:$AH$150,,MATCH(AA$128,ArchetypeDemand!$I$4:$AH$4,0)),ArchetypeDemand!$F$106:$F$150,$F143)*'SHWLP-Det'!$R$16</f>
        <v>0.6227824031961926</v>
      </c>
      <c r="AB143" s="1138">
        <f>SUMIFS(INDEX(ArchetypeDemand!$I$106:$AH$150,,MATCH(AB$128,ArchetypeDemand!$I$4:$AH$4,0)),ArchetypeDemand!$F$106:$F$150,$F143)*'SHWLP-Det'!$R$16</f>
        <v>0.40978320691565923</v>
      </c>
      <c r="AC143" s="1138">
        <f>SUMIFS(INDEX(ArchetypeDemand!$I$106:$AH$150,,MATCH(AC$128,ArchetypeDemand!$I$4:$AH$4,0)),ArchetypeDemand!$F$106:$F$150,$F143)*'SHWLP-Det'!$R$16</f>
        <v>0.26396423969356198</v>
      </c>
      <c r="AD143" s="1138">
        <f>SUMIFS(INDEX(ArchetypeDemand!$I$106:$AH$150,,MATCH(AD$128,ArchetypeDemand!$I$4:$AH$4,0)),ArchetypeDemand!$F$106:$F$150,$F143)*'SHWLP-Det'!$R$16</f>
        <v>0.28711230793546716</v>
      </c>
      <c r="AE143" s="1138">
        <f>SUMIFS(INDEX(ArchetypeDemand!$I$106:$AH$150,,MATCH(AE$128,ArchetypeDemand!$I$4:$AH$4,0)),ArchetypeDemand!$F$106:$F$150,$F143)*'SHWLP-Det'!$R$16</f>
        <v>0.58968323378541665</v>
      </c>
      <c r="AF143" s="1138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1" t="s">
        <v>1232</v>
      </c>
      <c r="D144" s="1141" t="s">
        <v>1094</v>
      </c>
      <c r="E144" s="1141" t="s">
        <v>833</v>
      </c>
      <c r="F144" s="1141" t="s">
        <v>938</v>
      </c>
      <c r="G144" s="1141">
        <f>SUM(ArchetypeDemand!I106:I150)*'SHWLP-Det'!$R$42</f>
        <v>1.6942607911168168</v>
      </c>
      <c r="H144" s="1141">
        <f>SUM(ArchetypeDemand!J106:J150)*'SHWLP-Det'!$R$42</f>
        <v>8.7961765637492331</v>
      </c>
      <c r="I144" s="1141">
        <f>SUM(ArchetypeDemand!K106:K150)*'SHWLP-Det'!$R$42</f>
        <v>4.7465777313057078</v>
      </c>
      <c r="J144" s="1141">
        <f>SUM(ArchetypeDemand!L106:L150)*'SHWLP-Det'!$R$42</f>
        <v>3.2722041716366981</v>
      </c>
      <c r="K144" s="1141">
        <f>SUM(ArchetypeDemand!M106:M150)*'SHWLP-Det'!$R$42</f>
        <v>2.5523719201578983</v>
      </c>
      <c r="L144" s="1141">
        <f>SUM(ArchetypeDemand!N106:N150)*'SHWLP-Det'!$R$42</f>
        <v>1.5222666319082183</v>
      </c>
      <c r="M144" s="1141">
        <f>SUM(ArchetypeDemand!O106:O150)*'SHWLP-Det'!$R$42</f>
        <v>2.9550862539641454</v>
      </c>
      <c r="N144" s="1141">
        <f>SUM(ArchetypeDemand!P106:P150)*'SHWLP-Det'!$R$42</f>
        <v>5.3761621547497924</v>
      </c>
      <c r="O144" s="1141">
        <f>SUM(ArchetypeDemand!Q106:Q150)*'SHWLP-Det'!$R$42</f>
        <v>2.5007762936438875</v>
      </c>
      <c r="P144" s="1141">
        <f>SUM(ArchetypeDemand!R106:R150)*'SHWLP-Det'!$R$42</f>
        <v>2.634965481426522</v>
      </c>
      <c r="Q144" s="1141">
        <f>SUM(ArchetypeDemand!S106:S150)*'SHWLP-Det'!$R$42</f>
        <v>5.3063351618628909</v>
      </c>
      <c r="R144" s="1141">
        <f>SUM(ArchetypeDemand!T106:T150)*'SHWLP-Det'!$R$42</f>
        <v>3.528794223532846</v>
      </c>
      <c r="S144" s="1141">
        <f>SUM(ArchetypeDemand!U106:U150)*'SHWLP-Det'!$R$42</f>
        <v>4.1070571526390074</v>
      </c>
      <c r="T144" s="1141">
        <f>SUM(ArchetypeDemand!V106:V150)*'SHWLP-Det'!$R$42</f>
        <v>13.894062513529377</v>
      </c>
      <c r="U144" s="1141">
        <f>SUM(ArchetypeDemand!W106:W150)*'SHWLP-Det'!$R$42</f>
        <v>5.6976412258316644</v>
      </c>
      <c r="V144" s="1141">
        <f>SUM(ArchetypeDemand!X106:X150)*'SHWLP-Det'!$R$42</f>
        <v>5.1297417212352787</v>
      </c>
      <c r="W144" s="1141">
        <f>SUM(ArchetypeDemand!Y106:Y150)*'SHWLP-Det'!$R$42</f>
        <v>5.4765524986900793</v>
      </c>
      <c r="X144" s="1141">
        <f>SUM(ArchetypeDemand!Z106:Z150)*'SHWLP-Det'!$R$42</f>
        <v>2.9983097054067009</v>
      </c>
      <c r="Y144" s="1141">
        <f>SUM(ArchetypeDemand!AA106:AA150)*'SHWLP-Det'!$R$42</f>
        <v>8.6729735649916631</v>
      </c>
      <c r="Z144" s="1141">
        <f>SUM(ArchetypeDemand!AB106:AB150)*'SHWLP-Det'!$R$42</f>
        <v>1.4255091649432827</v>
      </c>
      <c r="AA144" s="1141">
        <f>SUM(ArchetypeDemand!AC106:AC150)*'SHWLP-Det'!$R$42</f>
        <v>5.4349311795232689</v>
      </c>
      <c r="AB144" s="1141">
        <f>SUM(ArchetypeDemand!AD106:AD150)*'SHWLP-Det'!$R$42</f>
        <v>2.8320147609954498</v>
      </c>
      <c r="AC144" s="1141">
        <f>SUM(ArchetypeDemand!AE106:AE150)*'SHWLP-Det'!$R$42</f>
        <v>2.2702198833156753</v>
      </c>
      <c r="AD144" s="1141">
        <f>SUM(ArchetypeDemand!AF106:AF150)*'SHWLP-Det'!$R$42</f>
        <v>2.8381048067201813</v>
      </c>
      <c r="AE144" s="1141">
        <f>SUM(ArchetypeDemand!AG106:AG150)*'SHWLP-Det'!$R$42</f>
        <v>6.3808408924609976</v>
      </c>
      <c r="AF144" s="1141">
        <f>SUM(ArchetypeDemand!AH106:AH150)*'SHWLP-Det'!$R$42</f>
        <v>2.2171059258117056</v>
      </c>
    </row>
    <row r="145" spans="3:32" ht="15">
      <c r="C145" s="1137" t="s">
        <v>1212</v>
      </c>
      <c r="D145" s="1137"/>
      <c r="E145" s="1137"/>
      <c r="F145" s="1137"/>
      <c r="G145" s="1137"/>
      <c r="H145" s="1137"/>
      <c r="I145" s="1137"/>
      <c r="J145" s="1137"/>
      <c r="K145" s="1137"/>
      <c r="L145" s="1137"/>
      <c r="M145" s="1137"/>
      <c r="N145" s="1137"/>
      <c r="O145" s="1137"/>
      <c r="P145" s="1137"/>
      <c r="Q145" s="1137"/>
      <c r="R145" s="1137"/>
      <c r="S145" s="1137"/>
      <c r="T145" s="1137"/>
      <c r="U145" s="1137"/>
      <c r="V145" s="1137"/>
      <c r="W145" s="1137"/>
      <c r="X145" s="1137"/>
      <c r="Y145" s="1137"/>
      <c r="Z145" s="1137"/>
      <c r="AA145" s="1137"/>
      <c r="AB145" s="1137"/>
      <c r="AC145" s="1137"/>
      <c r="AD145" s="1137"/>
      <c r="AE145" s="1137"/>
      <c r="AF145" s="1137"/>
    </row>
    <row r="146" spans="3:32">
      <c r="C146" s="1145" t="s">
        <v>1233</v>
      </c>
      <c r="D146" s="1134" t="s">
        <v>1094</v>
      </c>
      <c r="E146" s="1134" t="s">
        <v>831</v>
      </c>
      <c r="F146" s="1134" t="s">
        <v>1224</v>
      </c>
      <c r="G146" s="1134">
        <f>SUMIFS(INDEX(ArchetypeDemand!$I$106:$AH$150,,MATCH(G$128,ArchetypeDemand!$I$4:$AH$4,0)),ArchetypeDemand!$F$106:$F$150,$F146)*'SHWLP-Det'!$R$7</f>
        <v>9.4054377694700701E-3</v>
      </c>
      <c r="H146" s="1134">
        <f>SUMIFS(INDEX(ArchetypeDemand!$I$106:$AH$150,,MATCH(H$128,ArchetypeDemand!$I$4:$AH$4,0)),ArchetypeDemand!$F$106:$F$150,$F146)*'SHWLP-Det'!$R$7</f>
        <v>7.3498534411698693E-2</v>
      </c>
      <c r="I146" s="1134">
        <f>SUMIFS(INDEX(ArchetypeDemand!$I$106:$AH$150,,MATCH(I$128,ArchetypeDemand!$I$4:$AH$4,0)),ArchetypeDemand!$F$106:$F$150,$F146)*'SHWLP-Det'!$R$7</f>
        <v>3.9944224621550777E-2</v>
      </c>
      <c r="J146" s="1134">
        <f>SUMIFS(INDEX(ArchetypeDemand!$I$106:$AH$150,,MATCH(J$128,ArchetypeDemand!$I$4:$AH$4,0)),ArchetypeDemand!$F$106:$F$150,$F146)*'SHWLP-Det'!$R$7</f>
        <v>1.8053954794386588E-2</v>
      </c>
      <c r="K146" s="1134">
        <f>SUMIFS(INDEX(ArchetypeDemand!$I$106:$AH$150,,MATCH(K$128,ArchetypeDemand!$I$4:$AH$4,0)),ArchetypeDemand!$F$106:$F$150,$F146)*'SHWLP-Det'!$R$7</f>
        <v>1.3750762331435754E-2</v>
      </c>
      <c r="L146" s="1134">
        <f>SUMIFS(INDEX(ArchetypeDemand!$I$106:$AH$150,,MATCH(L$128,ArchetypeDemand!$I$4:$AH$4,0)),ArchetypeDemand!$F$106:$F$150,$F146)*'SHWLP-Det'!$R$7</f>
        <v>7.3356222884154131E-3</v>
      </c>
      <c r="M146" s="1134">
        <f>SUMIFS(INDEX(ArchetypeDemand!$I$106:$AH$150,,MATCH(M$128,ArchetypeDemand!$I$4:$AH$4,0)),ArchetypeDemand!$F$106:$F$150,$F146)*'SHWLP-Det'!$R$7</f>
        <v>2.2960619464043788E-2</v>
      </c>
      <c r="N146" s="1134">
        <f>SUMIFS(INDEX(ArchetypeDemand!$I$106:$AH$150,,MATCH(N$128,ArchetypeDemand!$I$4:$AH$4,0)),ArchetypeDemand!$F$106:$F$150,$F146)*'SHWLP-Det'!$R$7</f>
        <v>4.2539472395105887E-2</v>
      </c>
      <c r="O146" s="1134">
        <f>SUMIFS(INDEX(ArchetypeDemand!$I$106:$AH$150,,MATCH(O$128,ArchetypeDemand!$I$4:$AH$4,0)),ArchetypeDemand!$F$106:$F$150,$F146)*'SHWLP-Det'!$R$7</f>
        <v>1.119218062715422E-2</v>
      </c>
      <c r="P146" s="1134">
        <f>SUMIFS(INDEX(ArchetypeDemand!$I$106:$AH$150,,MATCH(P$128,ArchetypeDemand!$I$4:$AH$4,0)),ArchetypeDemand!$F$106:$F$150,$F146)*'SHWLP-Det'!$R$7</f>
        <v>1.3153769036701558E-2</v>
      </c>
      <c r="Q146" s="1134">
        <f>SUMIFS(INDEX(ArchetypeDemand!$I$106:$AH$150,,MATCH(Q$128,ArchetypeDemand!$I$4:$AH$4,0)),ArchetypeDemand!$F$106:$F$150,$F146)*'SHWLP-Det'!$R$7</f>
        <v>2.9100083297769804E-2</v>
      </c>
      <c r="R146" s="1134">
        <f>SUMIFS(INDEX(ArchetypeDemand!$I$106:$AH$150,,MATCH(R$128,ArchetypeDemand!$I$4:$AH$4,0)),ArchetypeDemand!$F$106:$F$150,$F146)*'SHWLP-Det'!$R$7</f>
        <v>2.4504611202925495E-2</v>
      </c>
      <c r="S146" s="1134">
        <f>SUMIFS(INDEX(ArchetypeDemand!$I$106:$AH$150,,MATCH(S$128,ArchetypeDemand!$I$4:$AH$4,0)),ArchetypeDemand!$F$106:$F$150,$F146)*'SHWLP-Det'!$R$7</f>
        <v>2.0119317445599371E-2</v>
      </c>
      <c r="T146" s="1134">
        <f>SUMIFS(INDEX(ArchetypeDemand!$I$106:$AH$150,,MATCH(T$128,ArchetypeDemand!$I$4:$AH$4,0)),ArchetypeDemand!$F$106:$F$150,$F146)*'SHWLP-Det'!$R$7</f>
        <v>0.11292802151005127</v>
      </c>
      <c r="U146" s="1134">
        <f>SUMIFS(INDEX(ArchetypeDemand!$I$106:$AH$150,,MATCH(U$128,ArchetypeDemand!$I$4:$AH$4,0)),ArchetypeDemand!$F$106:$F$150,$F146)*'SHWLP-Det'!$R$7</f>
        <v>3.6714718305464106E-2</v>
      </c>
      <c r="V146" s="1134">
        <f>SUMIFS(INDEX(ArchetypeDemand!$I$106:$AH$150,,MATCH(V$128,ArchetypeDemand!$I$4:$AH$4,0)),ArchetypeDemand!$F$106:$F$150,$F146)*'SHWLP-Det'!$R$7</f>
        <v>2.5255961257710537E-2</v>
      </c>
      <c r="W146" s="1134">
        <f>SUMIFS(INDEX(ArchetypeDemand!$I$106:$AH$150,,MATCH(W$128,ArchetypeDemand!$I$4:$AH$4,0)),ArchetypeDemand!$F$106:$F$150,$F146)*'SHWLP-Det'!$R$7</f>
        <v>2.5137342398568897E-2</v>
      </c>
      <c r="X146" s="1134">
        <f>SUMIFS(INDEX(ArchetypeDemand!$I$106:$AH$150,,MATCH(X$128,ArchetypeDemand!$I$4:$AH$4,0)),ArchetypeDemand!$F$106:$F$150,$F146)*'SHWLP-Det'!$R$7</f>
        <v>1.9820992613726607E-2</v>
      </c>
      <c r="Y146" s="1134">
        <f>SUMIFS(INDEX(ArchetypeDemand!$I$106:$AH$150,,MATCH(Y$128,ArchetypeDemand!$I$4:$AH$4,0)),ArchetypeDemand!$F$106:$F$150,$F146)*'SHWLP-Det'!$R$7</f>
        <v>5.5030538592155641E-2</v>
      </c>
      <c r="Z146" s="1134">
        <f>SUMIFS(INDEX(ArchetypeDemand!$I$106:$AH$150,,MATCH(Z$128,ArchetypeDemand!$I$4:$AH$4,0)),ArchetypeDemand!$F$106:$F$150,$F146)*'SHWLP-Det'!$R$7</f>
        <v>5.4905694564688591E-3</v>
      </c>
      <c r="AA146" s="1134">
        <f>SUMIFS(INDEX(ArchetypeDemand!$I$106:$AH$150,,MATCH(AA$128,ArchetypeDemand!$I$4:$AH$4,0)),ArchetypeDemand!$F$106:$F$150,$F146)*'SHWLP-Det'!$R$7</f>
        <v>2.4857724265723604E-2</v>
      </c>
      <c r="AB146" s="1134">
        <f>SUMIFS(INDEX(ArchetypeDemand!$I$106:$AH$150,,MATCH(AB$128,ArchetypeDemand!$I$4:$AH$4,0)),ArchetypeDemand!$F$106:$F$150,$F146)*'SHWLP-Det'!$R$7</f>
        <v>1.1352318658874478E-2</v>
      </c>
      <c r="AC146" s="1134">
        <f>SUMIFS(INDEX(ArchetypeDemand!$I$106:$AH$150,,MATCH(AC$128,ArchetypeDemand!$I$4:$AH$4,0)),ArchetypeDemand!$F$106:$F$150,$F146)*'SHWLP-Det'!$R$7</f>
        <v>1.2405636430264069E-2</v>
      </c>
      <c r="AD146" s="1134">
        <f>SUMIFS(INDEX(ArchetypeDemand!$I$106:$AH$150,,MATCH(AD$128,ArchetypeDemand!$I$4:$AH$4,0)),ArchetypeDemand!$F$106:$F$150,$F146)*'SHWLP-Det'!$R$7</f>
        <v>1.6436730242745227E-2</v>
      </c>
      <c r="AE146" s="1134">
        <f>SUMIFS(INDEX(ArchetypeDemand!$I$106:$AH$150,,MATCH(AE$128,ArchetypeDemand!$I$4:$AH$4,0)),ArchetypeDemand!$F$106:$F$150,$F146)*'SHWLP-Det'!$R$7</f>
        <v>3.0870201122631065E-2</v>
      </c>
      <c r="AF146" s="1134">
        <f>SUMIFS(INDEX(ArchetypeDemand!$I$106:$AH$150,,MATCH(AF$128,ArchetypeDemand!$I$4:$AH$4,0)),ArchetypeDemand!$F$106:$F$150,$F146)*'SHWLP-Det'!$R$7</f>
        <v>1.3547086221033806E-2</v>
      </c>
    </row>
    <row r="147" spans="3:32">
      <c r="C147" s="1136" t="s">
        <v>1233</v>
      </c>
      <c r="D147" s="1136" t="s">
        <v>1094</v>
      </c>
      <c r="E147" s="1136" t="s">
        <v>831</v>
      </c>
      <c r="F147" s="1136" t="s">
        <v>1225</v>
      </c>
      <c r="G147" s="1136">
        <f>SUMIFS(INDEX(ArchetypeDemand!$I$106:$AH$150,,MATCH(G$128,ArchetypeDemand!$I$4:$AH$4,0)),ArchetypeDemand!$F$106:$F$150,$F147)*'SHWLP-Det'!$R$7</f>
        <v>2.3125633813528217E-2</v>
      </c>
      <c r="H147" s="1136">
        <f>SUMIFS(INDEX(ArchetypeDemand!$I$106:$AH$150,,MATCH(H$128,ArchetypeDemand!$I$4:$AH$4,0)),ArchetypeDemand!$F$106:$F$150,$F147)*'SHWLP-Det'!$R$7</f>
        <v>0.10765096149684877</v>
      </c>
      <c r="I147" s="1136">
        <f>SUMIFS(INDEX(ArchetypeDemand!$I$106:$AH$150,,MATCH(I$128,ArchetypeDemand!$I$4:$AH$4,0)),ArchetypeDemand!$F$106:$F$150,$F147)*'SHWLP-Det'!$R$7</f>
        <v>7.3353357821217352E-2</v>
      </c>
      <c r="J147" s="1136">
        <f>SUMIFS(INDEX(ArchetypeDemand!$I$106:$AH$150,,MATCH(J$128,ArchetypeDemand!$I$4:$AH$4,0)),ArchetypeDemand!$F$106:$F$150,$F147)*'SHWLP-Det'!$R$7</f>
        <v>4.3982737105406643E-2</v>
      </c>
      <c r="K147" s="1136">
        <f>SUMIFS(INDEX(ArchetypeDemand!$I$106:$AH$150,,MATCH(K$128,ArchetypeDemand!$I$4:$AH$4,0)),ArchetypeDemand!$F$106:$F$150,$F147)*'SHWLP-Det'!$R$7</f>
        <v>3.7429649699363486E-2</v>
      </c>
      <c r="L147" s="1136">
        <f>SUMIFS(INDEX(ArchetypeDemand!$I$106:$AH$150,,MATCH(L$128,ArchetypeDemand!$I$4:$AH$4,0)),ArchetypeDemand!$F$106:$F$150,$F147)*'SHWLP-Det'!$R$7</f>
        <v>2.0088611785058851E-2</v>
      </c>
      <c r="M147" s="1136">
        <f>SUMIFS(INDEX(ArchetypeDemand!$I$106:$AH$150,,MATCH(M$128,ArchetypeDemand!$I$4:$AH$4,0)),ArchetypeDemand!$F$106:$F$150,$F147)*'SHWLP-Det'!$R$7</f>
        <v>4.3708144567559427E-2</v>
      </c>
      <c r="N147" s="1136">
        <f>SUMIFS(INDEX(ArchetypeDemand!$I$106:$AH$150,,MATCH(N$128,ArchetypeDemand!$I$4:$AH$4,0)),ArchetypeDemand!$F$106:$F$150,$F147)*'SHWLP-Det'!$R$7</f>
        <v>7.9881627438667946E-2</v>
      </c>
      <c r="O147" s="1136">
        <f>SUMIFS(INDEX(ArchetypeDemand!$I$106:$AH$150,,MATCH(O$128,ArchetypeDemand!$I$4:$AH$4,0)),ArchetypeDemand!$F$106:$F$150,$F147)*'SHWLP-Det'!$R$7</f>
        <v>3.388536546174499E-2</v>
      </c>
      <c r="P147" s="1136">
        <f>SUMIFS(INDEX(ArchetypeDemand!$I$106:$AH$150,,MATCH(P$128,ArchetypeDemand!$I$4:$AH$4,0)),ArchetypeDemand!$F$106:$F$150,$F147)*'SHWLP-Det'!$R$7</f>
        <v>3.5720799864913708E-2</v>
      </c>
      <c r="Q147" s="1136">
        <f>SUMIFS(INDEX(ArchetypeDemand!$I$106:$AH$150,,MATCH(Q$128,ArchetypeDemand!$I$4:$AH$4,0)),ArchetypeDemand!$F$106:$F$150,$F147)*'SHWLP-Det'!$R$7</f>
        <v>8.1113503649800023E-2</v>
      </c>
      <c r="R147" s="1136">
        <f>SUMIFS(INDEX(ArchetypeDemand!$I$106:$AH$150,,MATCH(R$128,ArchetypeDemand!$I$4:$AH$4,0)),ArchetypeDemand!$F$106:$F$150,$F147)*'SHWLP-Det'!$R$7</f>
        <v>4.5666981689173283E-2</v>
      </c>
      <c r="S147" s="1136">
        <f>SUMIFS(INDEX(ArchetypeDemand!$I$106:$AH$150,,MATCH(S$128,ArchetypeDemand!$I$4:$AH$4,0)),ArchetypeDemand!$F$106:$F$150,$F147)*'SHWLP-Det'!$R$7</f>
        <v>6.0062911022609494E-2</v>
      </c>
      <c r="T147" s="1136">
        <f>SUMIFS(INDEX(ArchetypeDemand!$I$106:$AH$150,,MATCH(T$128,ArchetypeDemand!$I$4:$AH$4,0)),ArchetypeDemand!$F$106:$F$150,$F147)*'SHWLP-Det'!$R$7</f>
        <v>0.19740231432363547</v>
      </c>
      <c r="U147" s="1136">
        <f>SUMIFS(INDEX(ArchetypeDemand!$I$106:$AH$150,,MATCH(U$128,ArchetypeDemand!$I$4:$AH$4,0)),ArchetypeDemand!$F$106:$F$150,$F147)*'SHWLP-Det'!$R$7</f>
        <v>7.7141087821817708E-2</v>
      </c>
      <c r="V147" s="1136">
        <f>SUMIFS(INDEX(ArchetypeDemand!$I$106:$AH$150,,MATCH(V$128,ArchetypeDemand!$I$4:$AH$4,0)),ArchetypeDemand!$F$106:$F$150,$F147)*'SHWLP-Det'!$R$7</f>
        <v>6.879526671639119E-2</v>
      </c>
      <c r="W147" s="1136">
        <f>SUMIFS(INDEX(ArchetypeDemand!$I$106:$AH$150,,MATCH(W$128,ArchetypeDemand!$I$4:$AH$4,0)),ArchetypeDemand!$F$106:$F$150,$F147)*'SHWLP-Det'!$R$7</f>
        <v>7.0351726588138028E-2</v>
      </c>
      <c r="X147" s="1136">
        <f>SUMIFS(INDEX(ArchetypeDemand!$I$106:$AH$150,,MATCH(X$128,ArchetypeDemand!$I$4:$AH$4,0)),ArchetypeDemand!$F$106:$F$150,$F147)*'SHWLP-Det'!$R$7</f>
        <v>4.5031637208781235E-2</v>
      </c>
      <c r="Y147" s="1136">
        <f>SUMIFS(INDEX(ArchetypeDemand!$I$106:$AH$150,,MATCH(Y$128,ArchetypeDemand!$I$4:$AH$4,0)),ArchetypeDemand!$F$106:$F$150,$F147)*'SHWLP-Det'!$R$7</f>
        <v>0.12408897466776482</v>
      </c>
      <c r="Z147" s="1136">
        <f>SUMIFS(INDEX(ArchetypeDemand!$I$106:$AH$150,,MATCH(Z$128,ArchetypeDemand!$I$4:$AH$4,0)),ArchetypeDemand!$F$106:$F$150,$F147)*'SHWLP-Det'!$R$7</f>
        <v>1.9781092699333015E-2</v>
      </c>
      <c r="AA147" s="1136">
        <f>SUMIFS(INDEX(ArchetypeDemand!$I$106:$AH$150,,MATCH(AA$128,ArchetypeDemand!$I$4:$AH$4,0)),ArchetypeDemand!$F$106:$F$150,$F147)*'SHWLP-Det'!$R$7</f>
        <v>7.1449823503641083E-2</v>
      </c>
      <c r="AB147" s="1136">
        <f>SUMIFS(INDEX(ArchetypeDemand!$I$106:$AH$150,,MATCH(AB$128,ArchetypeDemand!$I$4:$AH$4,0)),ArchetypeDemand!$F$106:$F$150,$F147)*'SHWLP-Det'!$R$7</f>
        <v>3.8511329864777219E-2</v>
      </c>
      <c r="AC147" s="1136">
        <f>SUMIFS(INDEX(ArchetypeDemand!$I$106:$AH$150,,MATCH(AC$128,ArchetypeDemand!$I$4:$AH$4,0)),ArchetypeDemand!$F$106:$F$150,$F147)*'SHWLP-Det'!$R$7</f>
        <v>2.8196981436593112E-2</v>
      </c>
      <c r="AD147" s="1136">
        <f>SUMIFS(INDEX(ArchetypeDemand!$I$106:$AH$150,,MATCH(AD$128,ArchetypeDemand!$I$4:$AH$4,0)),ArchetypeDemand!$F$106:$F$150,$F147)*'SHWLP-Det'!$R$7</f>
        <v>4.2478399802349798E-2</v>
      </c>
      <c r="AE147" s="1136">
        <f>SUMIFS(INDEX(ArchetypeDemand!$I$106:$AH$150,,MATCH(AE$128,ArchetypeDemand!$I$4:$AH$4,0)),ArchetypeDemand!$F$106:$F$150,$F147)*'SHWLP-Det'!$R$7</f>
        <v>9.308701500898213E-2</v>
      </c>
      <c r="AF147" s="1136">
        <f>SUMIFS(INDEX(ArchetypeDemand!$I$106:$AH$150,,MATCH(AF$128,ArchetypeDemand!$I$4:$AH$4,0)),ArchetypeDemand!$F$106:$F$150,$F147)*'SHWLP-Det'!$R$7</f>
        <v>2.8732753332585754E-2</v>
      </c>
    </row>
    <row r="148" spans="3:32">
      <c r="C148" s="1134" t="s">
        <v>1233</v>
      </c>
      <c r="D148" s="1134" t="s">
        <v>1094</v>
      </c>
      <c r="E148" s="1134" t="s">
        <v>831</v>
      </c>
      <c r="F148" s="1134" t="s">
        <v>1226</v>
      </c>
      <c r="G148" s="1134">
        <f>SUMIFS(INDEX(ArchetypeDemand!$I$106:$AH$150,,MATCH(G$128,ArchetypeDemand!$I$4:$AH$4,0)),ArchetypeDemand!$F$106:$F$150,$F148)*'SHWLP-Det'!$R$7</f>
        <v>1.5690226616265207E-2</v>
      </c>
      <c r="H148" s="1134">
        <f>SUMIFS(INDEX(ArchetypeDemand!$I$106:$AH$150,,MATCH(H$128,ArchetypeDemand!$I$4:$AH$4,0)),ArchetypeDemand!$F$106:$F$150,$F148)*'SHWLP-Det'!$R$7</f>
        <v>7.6316842346873151E-2</v>
      </c>
      <c r="I148" s="1134">
        <f>SUMIFS(INDEX(ArchetypeDemand!$I$106:$AH$150,,MATCH(I$128,ArchetypeDemand!$I$4:$AH$4,0)),ArchetypeDemand!$F$106:$F$150,$F148)*'SHWLP-Det'!$R$7</f>
        <v>3.7912416070669613E-2</v>
      </c>
      <c r="J148" s="1134">
        <f>SUMIFS(INDEX(ArchetypeDemand!$I$106:$AH$150,,MATCH(J$128,ArchetypeDemand!$I$4:$AH$4,0)),ArchetypeDemand!$F$106:$F$150,$F148)*'SHWLP-Det'!$R$7</f>
        <v>3.0628588613440949E-2</v>
      </c>
      <c r="K148" s="1134">
        <f>SUMIFS(INDEX(ArchetypeDemand!$I$106:$AH$150,,MATCH(K$128,ArchetypeDemand!$I$4:$AH$4,0)),ArchetypeDemand!$F$106:$F$150,$F148)*'SHWLP-Det'!$R$7</f>
        <v>2.2148572732764559E-2</v>
      </c>
      <c r="L148" s="1134">
        <f>SUMIFS(INDEX(ArchetypeDemand!$I$106:$AH$150,,MATCH(L$128,ArchetypeDemand!$I$4:$AH$4,0)),ArchetypeDemand!$F$106:$F$150,$F148)*'SHWLP-Det'!$R$7</f>
        <v>1.2868264098735782E-2</v>
      </c>
      <c r="M148" s="1134">
        <f>SUMIFS(INDEX(ArchetypeDemand!$I$106:$AH$150,,MATCH(M$128,ArchetypeDemand!$I$4:$AH$4,0)),ArchetypeDemand!$F$106:$F$150,$F148)*'SHWLP-Det'!$R$7</f>
        <v>2.349985325229028E-2</v>
      </c>
      <c r="N148" s="1134">
        <f>SUMIFS(INDEX(ArchetypeDemand!$I$106:$AH$150,,MATCH(N$128,ArchetypeDemand!$I$4:$AH$4,0)),ArchetypeDemand!$F$106:$F$150,$F148)*'SHWLP-Det'!$R$7</f>
        <v>4.3395346872053896E-2</v>
      </c>
      <c r="O148" s="1134">
        <f>SUMIFS(INDEX(ArchetypeDemand!$I$106:$AH$150,,MATCH(O$128,ArchetypeDemand!$I$4:$AH$4,0)),ArchetypeDemand!$F$106:$F$150,$F148)*'SHWLP-Det'!$R$7</f>
        <v>2.3568977850440893E-2</v>
      </c>
      <c r="P148" s="1134">
        <f>SUMIFS(INDEX(ArchetypeDemand!$I$106:$AH$150,,MATCH(P$128,ArchetypeDemand!$I$4:$AH$4,0)),ArchetypeDemand!$F$106:$F$150,$F148)*'SHWLP-Det'!$R$7</f>
        <v>2.3204859950486486E-2</v>
      </c>
      <c r="Q148" s="1134">
        <f>SUMIFS(INDEX(ArchetypeDemand!$I$106:$AH$150,,MATCH(Q$128,ArchetypeDemand!$I$4:$AH$4,0)),ArchetypeDemand!$F$106:$F$150,$F148)*'SHWLP-Det'!$R$7</f>
        <v>5.0457535638309209E-2</v>
      </c>
      <c r="R148" s="1134">
        <f>SUMIFS(INDEX(ArchetypeDemand!$I$106:$AH$150,,MATCH(R$128,ArchetypeDemand!$I$4:$AH$4,0)),ArchetypeDemand!$F$106:$F$150,$F148)*'SHWLP-Det'!$R$7</f>
        <v>3.1609548166790749E-2</v>
      </c>
      <c r="S148" s="1134">
        <f>SUMIFS(INDEX(ArchetypeDemand!$I$106:$AH$150,,MATCH(S$128,ArchetypeDemand!$I$4:$AH$4,0)),ArchetypeDemand!$F$106:$F$150,$F148)*'SHWLP-Det'!$R$7</f>
        <v>3.5865544495952681E-2</v>
      </c>
      <c r="T148" s="1134">
        <f>SUMIFS(INDEX(ArchetypeDemand!$I$106:$AH$150,,MATCH(T$128,ArchetypeDemand!$I$4:$AH$4,0)),ArchetypeDemand!$F$106:$F$150,$F148)*'SHWLP-Det'!$R$7</f>
        <v>0.10956794017548825</v>
      </c>
      <c r="U148" s="1134">
        <f>SUMIFS(INDEX(ArchetypeDemand!$I$106:$AH$150,,MATCH(U$128,ArchetypeDemand!$I$4:$AH$4,0)),ArchetypeDemand!$F$106:$F$150,$F148)*'SHWLP-Det'!$R$7</f>
        <v>5.1513373948676465E-2</v>
      </c>
      <c r="V148" s="1134">
        <f>SUMIFS(INDEX(ArchetypeDemand!$I$106:$AH$150,,MATCH(V$128,ArchetypeDemand!$I$4:$AH$4,0)),ArchetypeDemand!$F$106:$F$150,$F148)*'SHWLP-Det'!$R$7</f>
        <v>5.1112091954206636E-2</v>
      </c>
      <c r="W148" s="1134">
        <f>SUMIFS(INDEX(ArchetypeDemand!$I$106:$AH$150,,MATCH(W$128,ArchetypeDemand!$I$4:$AH$4,0)),ArchetypeDemand!$F$106:$F$150,$F148)*'SHWLP-Det'!$R$7</f>
        <v>5.1393618944910853E-2</v>
      </c>
      <c r="X148" s="1134">
        <f>SUMIFS(INDEX(ArchetypeDemand!$I$106:$AH$150,,MATCH(X$128,ArchetypeDemand!$I$4:$AH$4,0)),ArchetypeDemand!$F$106:$F$150,$F148)*'SHWLP-Det'!$R$7</f>
        <v>2.8700594630372236E-2</v>
      </c>
      <c r="Y148" s="1134">
        <f>SUMIFS(INDEX(ArchetypeDemand!$I$106:$AH$150,,MATCH(Y$128,ArchetypeDemand!$I$4:$AH$4,0)),ArchetypeDemand!$F$106:$F$150,$F148)*'SHWLP-Det'!$R$7</f>
        <v>7.4394903081232186E-2</v>
      </c>
      <c r="Z148" s="1134">
        <f>SUMIFS(INDEX(ArchetypeDemand!$I$106:$AH$150,,MATCH(Z$128,ArchetypeDemand!$I$4:$AH$4,0)),ArchetypeDemand!$F$106:$F$150,$F148)*'SHWLP-Det'!$R$7</f>
        <v>1.1327120001975482E-2</v>
      </c>
      <c r="AA148" s="1134">
        <f>SUMIFS(INDEX(ArchetypeDemand!$I$106:$AH$150,,MATCH(AA$128,ArchetypeDemand!$I$4:$AH$4,0)),ArchetypeDemand!$F$106:$F$150,$F148)*'SHWLP-Det'!$R$7</f>
        <v>5.1545828135437496E-2</v>
      </c>
      <c r="AB148" s="1134">
        <f>SUMIFS(INDEX(ArchetypeDemand!$I$106:$AH$150,,MATCH(AB$128,ArchetypeDemand!$I$4:$AH$4,0)),ArchetypeDemand!$F$106:$F$150,$F148)*'SHWLP-Det'!$R$7</f>
        <v>2.39423217573182E-2</v>
      </c>
      <c r="AC148" s="1134">
        <f>SUMIFS(INDEX(ArchetypeDemand!$I$106:$AH$150,,MATCH(AC$128,ArchetypeDemand!$I$4:$AH$4,0)),ArchetypeDemand!$F$106:$F$150,$F148)*'SHWLP-Det'!$R$7</f>
        <v>2.0248947218045141E-2</v>
      </c>
      <c r="AD148" s="1134">
        <f>SUMIFS(INDEX(ArchetypeDemand!$I$106:$AH$150,,MATCH(AD$128,ArchetypeDemand!$I$4:$AH$4,0)),ArchetypeDemand!$F$106:$F$150,$F148)*'SHWLP-Det'!$R$7</f>
        <v>2.2511594365300584E-2</v>
      </c>
      <c r="AE148" s="1134">
        <f>SUMIFS(INDEX(ArchetypeDemand!$I$106:$AH$150,,MATCH(AE$128,ArchetypeDemand!$I$4:$AH$4,0)),ArchetypeDemand!$F$106:$F$150,$F148)*'SHWLP-Det'!$R$7</f>
        <v>5.8312113014181773E-2</v>
      </c>
      <c r="AF148" s="1134">
        <f>SUMIFS(INDEX(ArchetypeDemand!$I$106:$AH$150,,MATCH(AF$128,ArchetypeDemand!$I$4:$AH$4,0)),ArchetypeDemand!$F$106:$F$150,$F148)*'SHWLP-Det'!$R$7</f>
        <v>2.1509177595156567E-2</v>
      </c>
    </row>
    <row r="149" spans="3:32">
      <c r="C149" s="1136" t="s">
        <v>1233</v>
      </c>
      <c r="D149" s="1136" t="s">
        <v>1094</v>
      </c>
      <c r="E149" s="1136" t="s">
        <v>831</v>
      </c>
      <c r="F149" s="1136" t="s">
        <v>1227</v>
      </c>
      <c r="G149" s="1136">
        <f>SUMIFS(INDEX(ArchetypeDemand!$I$106:$AH$150,,MATCH(G$128,ArchetypeDemand!$I$4:$AH$4,0)),ArchetypeDemand!$F$106:$F$150,$F149)*'SHWLP-Det'!$R$7</f>
        <v>6.5856463747186655E-3</v>
      </c>
      <c r="H149" s="1136">
        <f>SUMIFS(INDEX(ArchetypeDemand!$I$106:$AH$150,,MATCH(H$128,ArchetypeDemand!$I$4:$AH$4,0)),ArchetypeDemand!$F$106:$F$150,$F149)*'SHWLP-Det'!$R$7</f>
        <v>3.9245281842395147E-2</v>
      </c>
      <c r="I149" s="1136">
        <f>SUMIFS(INDEX(ArchetypeDemand!$I$106:$AH$150,,MATCH(I$128,ArchetypeDemand!$I$4:$AH$4,0)),ArchetypeDemand!$F$106:$F$150,$F149)*'SHWLP-Det'!$R$7</f>
        <v>1.4351027552174375E-2</v>
      </c>
      <c r="J149" s="1136">
        <f>SUMIFS(INDEX(ArchetypeDemand!$I$106:$AH$150,,MATCH(J$128,ArchetypeDemand!$I$4:$AH$4,0)),ArchetypeDemand!$F$106:$F$150,$F149)*'SHWLP-Det'!$R$7</f>
        <v>1.3479933250131779E-2</v>
      </c>
      <c r="K149" s="1136">
        <f>SUMIFS(INDEX(ArchetypeDemand!$I$106:$AH$150,,MATCH(K$128,ArchetypeDemand!$I$4:$AH$4,0)),ArchetypeDemand!$F$106:$F$150,$F149)*'SHWLP-Det'!$R$7</f>
        <v>9.2046016551748811E-3</v>
      </c>
      <c r="L149" s="1136">
        <f>SUMIFS(INDEX(ArchetypeDemand!$I$106:$AH$150,,MATCH(L$128,ArchetypeDemand!$I$4:$AH$4,0)),ArchetypeDemand!$F$106:$F$150,$F149)*'SHWLP-Det'!$R$7</f>
        <v>6.4341320493678912E-3</v>
      </c>
      <c r="M149" s="1136">
        <f>SUMIFS(INDEX(ArchetypeDemand!$I$106:$AH$150,,MATCH(M$128,ArchetypeDemand!$I$4:$AH$4,0)),ArchetypeDemand!$F$106:$F$150,$F149)*'SHWLP-Det'!$R$7</f>
        <v>1.0349430321210671E-2</v>
      </c>
      <c r="N149" s="1136">
        <f>SUMIFS(INDEX(ArchetypeDemand!$I$106:$AH$150,,MATCH(N$128,ArchetypeDemand!$I$4:$AH$4,0)),ArchetypeDemand!$F$106:$F$150,$F149)*'SHWLP-Det'!$R$7</f>
        <v>1.7076790172466019E-2</v>
      </c>
      <c r="O149" s="1136">
        <f>SUMIFS(INDEX(ArchetypeDemand!$I$106:$AH$150,,MATCH(O$128,ArchetypeDemand!$I$4:$AH$4,0)),ArchetypeDemand!$F$106:$F$150,$F149)*'SHWLP-Det'!$R$7</f>
        <v>1.0475101266862619E-2</v>
      </c>
      <c r="P149" s="1136">
        <f>SUMIFS(INDEX(ArchetypeDemand!$I$106:$AH$150,,MATCH(P$128,ArchetypeDemand!$I$4:$AH$4,0)),ArchetypeDemand!$F$106:$F$150,$F149)*'SHWLP-Det'!$R$7</f>
        <v>1.0671845083924984E-2</v>
      </c>
      <c r="Q149" s="1136">
        <f>SUMIFS(INDEX(ArchetypeDemand!$I$106:$AH$150,,MATCH(Q$128,ArchetypeDemand!$I$4:$AH$4,0)),ArchetypeDemand!$F$106:$F$150,$F149)*'SHWLP-Det'!$R$7</f>
        <v>1.9899734038566083E-2</v>
      </c>
      <c r="R149" s="1136">
        <f>SUMIFS(INDEX(ArchetypeDemand!$I$106:$AH$150,,MATCH(R$128,ArchetypeDemand!$I$4:$AH$4,0)),ArchetypeDemand!$F$106:$F$150,$F149)*'SHWLP-Det'!$R$7</f>
        <v>1.4088917136094482E-2</v>
      </c>
      <c r="S149" s="1136">
        <f>SUMIFS(INDEX(ArchetypeDemand!$I$106:$AH$150,,MATCH(S$128,ArchetypeDemand!$I$4:$AH$4,0)),ArchetypeDemand!$F$106:$F$150,$F149)*'SHWLP-Det'!$R$7</f>
        <v>1.742804190324853E-2</v>
      </c>
      <c r="T149" s="1136">
        <f>SUMIFS(INDEX(ArchetypeDemand!$I$106:$AH$150,,MATCH(T$128,ArchetypeDemand!$I$4:$AH$4,0)),ArchetypeDemand!$F$106:$F$150,$F149)*'SHWLP-Det'!$R$7</f>
        <v>4.6871184564988552E-2</v>
      </c>
      <c r="U149" s="1136">
        <f>SUMIFS(INDEX(ArchetypeDemand!$I$106:$AH$150,,MATCH(U$128,ArchetypeDemand!$I$4:$AH$4,0)),ArchetypeDemand!$F$106:$F$150,$F149)*'SHWLP-Det'!$R$7</f>
        <v>2.3746223926267646E-2</v>
      </c>
      <c r="V149" s="1136">
        <f>SUMIFS(INDEX(ArchetypeDemand!$I$106:$AH$150,,MATCH(V$128,ArchetypeDemand!$I$4:$AH$4,0)),ArchetypeDemand!$F$106:$F$150,$F149)*'SHWLP-Det'!$R$7</f>
        <v>2.0769931359483261E-2</v>
      </c>
      <c r="W149" s="1136">
        <f>SUMIFS(INDEX(ArchetypeDemand!$I$106:$AH$150,,MATCH(W$128,ArchetypeDemand!$I$4:$AH$4,0)),ArchetypeDemand!$F$106:$F$150,$F149)*'SHWLP-Det'!$R$7</f>
        <v>2.5256109590639075E-2</v>
      </c>
      <c r="X149" s="1136">
        <f>SUMIFS(INDEX(ArchetypeDemand!$I$106:$AH$150,,MATCH(X$128,ArchetypeDemand!$I$4:$AH$4,0)),ArchetypeDemand!$F$106:$F$150,$F149)*'SHWLP-Det'!$R$7</f>
        <v>9.5075772634697873E-3</v>
      </c>
      <c r="Y149" s="1136">
        <f>SUMIFS(INDEX(ArchetypeDemand!$I$106:$AH$150,,MATCH(Y$128,ArchetypeDemand!$I$4:$AH$4,0)),ArchetypeDemand!$F$106:$F$150,$F149)*'SHWLP-Det'!$R$7</f>
        <v>3.3534649113364692E-2</v>
      </c>
      <c r="Z149" s="1136">
        <f>SUMIFS(INDEX(ArchetypeDemand!$I$106:$AH$150,,MATCH(Z$128,ArchetypeDemand!$I$4:$AH$4,0)),ArchetypeDemand!$F$106:$F$150,$F149)*'SHWLP-Det'!$R$7</f>
        <v>6.5435553796272718E-3</v>
      </c>
      <c r="AA149" s="1136">
        <f>SUMIFS(INDEX(ArchetypeDemand!$I$106:$AH$150,,MATCH(AA$128,ArchetypeDemand!$I$4:$AH$4,0)),ArchetypeDemand!$F$106:$F$150,$F149)*'SHWLP-Det'!$R$7</f>
        <v>2.4319889936026889E-2</v>
      </c>
      <c r="AB149" s="1136">
        <f>SUMIFS(INDEX(ArchetypeDemand!$I$106:$AH$150,,MATCH(AB$128,ArchetypeDemand!$I$4:$AH$4,0)),ArchetypeDemand!$F$106:$F$150,$F149)*'SHWLP-Det'!$R$7</f>
        <v>1.212913807500504E-2</v>
      </c>
      <c r="AC149" s="1136">
        <f>SUMIFS(INDEX(ArchetypeDemand!$I$106:$AH$150,,MATCH(AC$128,ArchetypeDemand!$I$4:$AH$4,0)),ArchetypeDemand!$F$106:$F$150,$F149)*'SHWLP-Det'!$R$7</f>
        <v>9.995499422920372E-3</v>
      </c>
      <c r="AD149" s="1136">
        <f>SUMIFS(INDEX(ArchetypeDemand!$I$106:$AH$150,,MATCH(AD$128,ArchetypeDemand!$I$4:$AH$4,0)),ArchetypeDemand!$F$106:$F$150,$F149)*'SHWLP-Det'!$R$7</f>
        <v>1.0896916692768689E-2</v>
      </c>
      <c r="AE149" s="1136">
        <f>SUMIFS(INDEX(ArchetypeDemand!$I$106:$AH$150,,MATCH(AE$128,ArchetypeDemand!$I$4:$AH$4,0)),ArchetypeDemand!$F$106:$F$150,$F149)*'SHWLP-Det'!$R$7</f>
        <v>2.6952761189863079E-2</v>
      </c>
      <c r="AF149" s="1136">
        <f>SUMIFS(INDEX(ArchetypeDemand!$I$106:$AH$150,,MATCH(AF$128,ArchetypeDemand!$I$4:$AH$4,0)),ArchetypeDemand!$F$106:$F$150,$F149)*'SHWLP-Det'!$R$7</f>
        <v>9.8083696115252583E-3</v>
      </c>
    </row>
    <row r="150" spans="3:32">
      <c r="C150" s="1134" t="s">
        <v>1233</v>
      </c>
      <c r="D150" s="1134" t="s">
        <v>1094</v>
      </c>
      <c r="E150" s="1134" t="s">
        <v>831</v>
      </c>
      <c r="F150" s="1134" t="s">
        <v>1228</v>
      </c>
      <c r="G150" s="1134">
        <f>SUMIFS(INDEX(ArchetypeDemand!$I$106:$AH$150,,MATCH(G$128,ArchetypeDemand!$I$4:$AH$4,0)),ArchetypeDemand!$F$106:$F$150,$F150)*'SHWLP-Det'!$R$7</f>
        <v>3.5356119938005741E-3</v>
      </c>
      <c r="H150" s="1134">
        <f>SUMIFS(INDEX(ArchetypeDemand!$I$106:$AH$150,,MATCH(H$128,ArchetypeDemand!$I$4:$AH$4,0)),ArchetypeDemand!$F$106:$F$150,$F150)*'SHWLP-Det'!$R$7</f>
        <v>1.911987544167932E-2</v>
      </c>
      <c r="I150" s="1134">
        <f>SUMIFS(INDEX(ArchetypeDemand!$I$106:$AH$150,,MATCH(I$128,ArchetypeDemand!$I$4:$AH$4,0)),ArchetypeDemand!$F$106:$F$150,$F150)*'SHWLP-Det'!$R$7</f>
        <v>5.9809678546949461E-3</v>
      </c>
      <c r="J150" s="1134">
        <f>SUMIFS(INDEX(ArchetypeDemand!$I$106:$AH$150,,MATCH(J$128,ArchetypeDemand!$I$4:$AH$4,0)),ArchetypeDemand!$F$106:$F$150,$F150)*'SHWLP-Det'!$R$7</f>
        <v>6.415022666470177E-3</v>
      </c>
      <c r="K150" s="1134">
        <f>SUMIFS(INDEX(ArchetypeDemand!$I$106:$AH$150,,MATCH(K$128,ArchetypeDemand!$I$4:$AH$4,0)),ArchetypeDemand!$F$106:$F$150,$F150)*'SHWLP-Det'!$R$7</f>
        <v>5.5371431831911398E-3</v>
      </c>
      <c r="L150" s="1134">
        <f>SUMIFS(INDEX(ArchetypeDemand!$I$106:$AH$150,,MATCH(L$128,ArchetypeDemand!$I$4:$AH$4,0)),ArchetypeDemand!$F$106:$F$150,$F150)*'SHWLP-Det'!$R$7</f>
        <v>4.5087059996817384E-3</v>
      </c>
      <c r="M150" s="1134">
        <f>SUMIFS(INDEX(ArchetypeDemand!$I$106:$AH$150,,MATCH(M$128,ArchetypeDemand!$I$4:$AH$4,0)),ArchetypeDemand!$F$106:$F$150,$F150)*'SHWLP-Det'!$R$7</f>
        <v>4.6366713824384197E-3</v>
      </c>
      <c r="N150" s="1134">
        <f>SUMIFS(INDEX(ArchetypeDemand!$I$106:$AH$150,,MATCH(N$128,ArchetypeDemand!$I$4:$AH$4,0)),ArchetypeDemand!$F$106:$F$150,$F150)*'SHWLP-Det'!$R$7</f>
        <v>8.4226504187449695E-3</v>
      </c>
      <c r="O150" s="1134">
        <f>SUMIFS(INDEX(ArchetypeDemand!$I$106:$AH$150,,MATCH(O$128,ArchetypeDemand!$I$4:$AH$4,0)),ArchetypeDemand!$F$106:$F$150,$F150)*'SHWLP-Det'!$R$7</f>
        <v>6.2691893945617189E-3</v>
      </c>
      <c r="P150" s="1134">
        <f>SUMIFS(INDEX(ArchetypeDemand!$I$106:$AH$150,,MATCH(P$128,ArchetypeDemand!$I$4:$AH$4,0)),ArchetypeDemand!$F$106:$F$150,$F150)*'SHWLP-Det'!$R$7</f>
        <v>6.0445330555351116E-3</v>
      </c>
      <c r="Q150" s="1134">
        <f>SUMIFS(INDEX(ArchetypeDemand!$I$106:$AH$150,,MATCH(Q$128,ArchetypeDemand!$I$4:$AH$4,0)),ArchetypeDemand!$F$106:$F$150,$F150)*'SHWLP-Det'!$R$7</f>
        <v>8.7227868724370008E-3</v>
      </c>
      <c r="R150" s="1134">
        <f>SUMIFS(INDEX(ArchetypeDemand!$I$106:$AH$150,,MATCH(R$128,ArchetypeDemand!$I$4:$AH$4,0)),ArchetypeDemand!$F$106:$F$150,$F150)*'SHWLP-Det'!$R$7</f>
        <v>7.5088418702983998E-3</v>
      </c>
      <c r="S150" s="1134">
        <f>SUMIFS(INDEX(ArchetypeDemand!$I$106:$AH$150,,MATCH(S$128,ArchetypeDemand!$I$4:$AH$4,0)),ArchetypeDemand!$F$106:$F$150,$F150)*'SHWLP-Det'!$R$7</f>
        <v>7.8233203432810684E-3</v>
      </c>
      <c r="T150" s="1134">
        <f>SUMIFS(INDEX(ArchetypeDemand!$I$106:$AH$150,,MATCH(T$128,ArchetypeDemand!$I$4:$AH$4,0)),ArchetypeDemand!$F$106:$F$150,$F150)*'SHWLP-Det'!$R$7</f>
        <v>2.1880856760960091E-2</v>
      </c>
      <c r="U150" s="1134">
        <f>SUMIFS(INDEX(ArchetypeDemand!$I$106:$AH$150,,MATCH(U$128,ArchetypeDemand!$I$4:$AH$4,0)),ArchetypeDemand!$F$106:$F$150,$F150)*'SHWLP-Det'!$R$7</f>
        <v>1.0378541319851164E-2</v>
      </c>
      <c r="V150" s="1134">
        <f>SUMIFS(INDEX(ArchetypeDemand!$I$106:$AH$150,,MATCH(V$128,ArchetypeDemand!$I$4:$AH$4,0)),ArchetypeDemand!$F$106:$F$150,$F150)*'SHWLP-Det'!$R$7</f>
        <v>1.096783727125282E-2</v>
      </c>
      <c r="W150" s="1134">
        <f>SUMIFS(INDEX(ArchetypeDemand!$I$106:$AH$150,,MATCH(W$128,ArchetypeDemand!$I$4:$AH$4,0)),ArchetypeDemand!$F$106:$F$150,$F150)*'SHWLP-Det'!$R$7</f>
        <v>1.3926116265396797E-2</v>
      </c>
      <c r="X150" s="1134">
        <f>SUMIFS(INDEX(ArchetypeDemand!$I$106:$AH$150,,MATCH(X$128,ArchetypeDemand!$I$4:$AH$4,0)),ArchetypeDemand!$F$106:$F$150,$F150)*'SHWLP-Det'!$R$7</f>
        <v>5.1418530098357026E-3</v>
      </c>
      <c r="Y150" s="1134">
        <f>SUMIFS(INDEX(ArchetypeDemand!$I$106:$AH$150,,MATCH(Y$128,ArchetypeDemand!$I$4:$AH$4,0)),ArchetypeDemand!$F$106:$F$150,$F150)*'SHWLP-Det'!$R$7</f>
        <v>1.577467431904489E-2</v>
      </c>
      <c r="Z150" s="1134">
        <f>SUMIFS(INDEX(ArchetypeDemand!$I$106:$AH$150,,MATCH(Z$128,ArchetypeDemand!$I$4:$AH$4,0)),ArchetypeDemand!$F$106:$F$150,$F150)*'SHWLP-Det'!$R$7</f>
        <v>3.5651094826934788E-3</v>
      </c>
      <c r="AA150" s="1134">
        <f>SUMIFS(INDEX(ArchetypeDemand!$I$106:$AH$150,,MATCH(AA$128,ArchetypeDemand!$I$4:$AH$4,0)),ArchetypeDemand!$F$106:$F$150,$F150)*'SHWLP-Det'!$R$7</f>
        <v>1.2452173285001752E-2</v>
      </c>
      <c r="AB150" s="1134">
        <f>SUMIFS(INDEX(ArchetypeDemand!$I$106:$AH$150,,MATCH(AB$128,ArchetypeDemand!$I$4:$AH$4,0)),ArchetypeDemand!$F$106:$F$150,$F150)*'SHWLP-Det'!$R$7</f>
        <v>7.0036557046700594E-3</v>
      </c>
      <c r="AC150" s="1134">
        <f>SUMIFS(INDEX(ArchetypeDemand!$I$106:$AH$150,,MATCH(AC$128,ArchetypeDemand!$I$4:$AH$4,0)),ArchetypeDemand!$F$106:$F$150,$F150)*'SHWLP-Det'!$R$7</f>
        <v>6.1262738398544219E-3</v>
      </c>
      <c r="AD150" s="1134">
        <f>SUMIFS(INDEX(ArchetypeDemand!$I$106:$AH$150,,MATCH(AD$128,ArchetypeDemand!$I$4:$AH$4,0)),ArchetypeDemand!$F$106:$F$150,$F150)*'SHWLP-Det'!$R$7</f>
        <v>5.546334843624782E-3</v>
      </c>
      <c r="AE150" s="1134">
        <f>SUMIFS(INDEX(ArchetypeDemand!$I$106:$AH$150,,MATCH(AE$128,ArchetypeDemand!$I$4:$AH$4,0)),ArchetypeDemand!$F$106:$F$150,$F150)*'SHWLP-Det'!$R$7</f>
        <v>1.2954314636230972E-2</v>
      </c>
      <c r="AF150" s="1134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38" t="s">
        <v>1233</v>
      </c>
      <c r="D151" s="1138" t="s">
        <v>1094</v>
      </c>
      <c r="E151" s="1138" t="s">
        <v>831</v>
      </c>
      <c r="F151" s="1138" t="s">
        <v>1229</v>
      </c>
      <c r="G151" s="1138">
        <f>SUMIFS(INDEX(ArchetypeDemand!$I$106:$AH$150,,MATCH(G$128,ArchetypeDemand!$I$4:$AH$4,0)),ArchetypeDemand!$F$106:$F$150,$F151)*'SHWLP-Det'!$R$7</f>
        <v>6.6463435763289757E-3</v>
      </c>
      <c r="H151" s="1138">
        <f>SUMIFS(INDEX(ArchetypeDemand!$I$106:$AH$150,,MATCH(H$128,ArchetypeDemand!$I$4:$AH$4,0)),ArchetypeDemand!$F$106:$F$150,$F151)*'SHWLP-Det'!$R$7</f>
        <v>2.1574553959327249E-2</v>
      </c>
      <c r="I151" s="1138">
        <f>SUMIFS(INDEX(ArchetypeDemand!$I$106:$AH$150,,MATCH(I$128,ArchetypeDemand!$I$4:$AH$4,0)),ArchetypeDemand!$F$106:$F$150,$F151)*'SHWLP-Det'!$R$7</f>
        <v>1.0528480603719201E-2</v>
      </c>
      <c r="J151" s="1138">
        <f>SUMIFS(INDEX(ArchetypeDemand!$I$106:$AH$150,,MATCH(J$128,ArchetypeDemand!$I$4:$AH$4,0)),ArchetypeDemand!$F$106:$F$150,$F151)*'SHWLP-Det'!$R$7</f>
        <v>1.2955830091106435E-2</v>
      </c>
      <c r="K151" s="1138">
        <f>SUMIFS(INDEX(ArchetypeDemand!$I$106:$AH$150,,MATCH(K$128,ArchetypeDemand!$I$4:$AH$4,0)),ArchetypeDemand!$F$106:$F$150,$F151)*'SHWLP-Det'!$R$7</f>
        <v>9.8338224714466013E-3</v>
      </c>
      <c r="L151" s="1138">
        <f>SUMIFS(INDEX(ArchetypeDemand!$I$106:$AH$150,,MATCH(L$128,ArchetypeDemand!$I$4:$AH$4,0)),ArchetypeDemand!$F$106:$F$150,$F151)*'SHWLP-Det'!$R$7</f>
        <v>7.1561668180001982E-3</v>
      </c>
      <c r="M151" s="1138">
        <f>SUMIFS(INDEX(ArchetypeDemand!$I$106:$AH$150,,MATCH(M$128,ArchetypeDemand!$I$4:$AH$4,0)),ArchetypeDemand!$F$106:$F$150,$F151)*'SHWLP-Det'!$R$7</f>
        <v>8.197255208543008E-3</v>
      </c>
      <c r="N151" s="1138">
        <f>SUMIFS(INDEX(ArchetypeDemand!$I$106:$AH$150,,MATCH(N$128,ArchetypeDemand!$I$4:$AH$4,0)),ArchetypeDemand!$F$106:$F$150,$F151)*'SHWLP-Det'!$R$7</f>
        <v>1.4904351798075139E-2</v>
      </c>
      <c r="O151" s="1138">
        <f>SUMIFS(INDEX(ArchetypeDemand!$I$106:$AH$150,,MATCH(O$128,ArchetypeDemand!$I$4:$AH$4,0)),ArchetypeDemand!$F$106:$F$150,$F151)*'SHWLP-Det'!$R$7</f>
        <v>1.0534618887697066E-2</v>
      </c>
      <c r="P151" s="1138">
        <f>SUMIFS(INDEX(ArchetypeDemand!$I$106:$AH$150,,MATCH(P$128,ArchetypeDemand!$I$4:$AH$4,0)),ArchetypeDemand!$F$106:$F$150,$F151)*'SHWLP-Det'!$R$7</f>
        <v>1.2276890584547302E-2</v>
      </c>
      <c r="Q151" s="1138">
        <f>SUMIFS(INDEX(ArchetypeDemand!$I$106:$AH$150,,MATCH(Q$128,ArchetypeDemand!$I$4:$AH$4,0)),ArchetypeDemand!$F$106:$F$150,$F151)*'SHWLP-Det'!$R$7</f>
        <v>1.4248153476520886E-2</v>
      </c>
      <c r="R151" s="1138">
        <f>SUMIFS(INDEX(ArchetypeDemand!$I$106:$AH$150,,MATCH(R$128,ArchetypeDemand!$I$4:$AH$4,0)),ArchetypeDemand!$F$106:$F$150,$F151)*'SHWLP-Det'!$R$7</f>
        <v>1.1979515017394301E-2</v>
      </c>
      <c r="S151" s="1138">
        <f>SUMIFS(INDEX(ArchetypeDemand!$I$106:$AH$150,,MATCH(S$128,ArchetypeDemand!$I$4:$AH$4,0)),ArchetypeDemand!$F$106:$F$150,$F151)*'SHWLP-Det'!$R$7</f>
        <v>1.6240441092124268E-2</v>
      </c>
      <c r="T151" s="1138">
        <f>SUMIFS(INDEX(ArchetypeDemand!$I$106:$AH$150,,MATCH(T$128,ArchetypeDemand!$I$4:$AH$4,0)),ArchetypeDemand!$F$106:$F$150,$F151)*'SHWLP-Det'!$R$7</f>
        <v>4.4301779545189948E-2</v>
      </c>
      <c r="U151" s="1138">
        <f>SUMIFS(INDEX(ArchetypeDemand!$I$106:$AH$150,,MATCH(U$128,ArchetypeDemand!$I$4:$AH$4,0)),ArchetypeDemand!$F$106:$F$150,$F151)*'SHWLP-Det'!$R$7</f>
        <v>1.9057672365106814E-2</v>
      </c>
      <c r="V151" s="1138">
        <f>SUMIFS(INDEX(ArchetypeDemand!$I$106:$AH$150,,MATCH(V$128,ArchetypeDemand!$I$4:$AH$4,0)),ArchetypeDemand!$F$106:$F$150,$F151)*'SHWLP-Det'!$R$7</f>
        <v>1.9866890865592679E-2</v>
      </c>
      <c r="W151" s="1138">
        <f>SUMIFS(INDEX(ArchetypeDemand!$I$106:$AH$150,,MATCH(W$128,ArchetypeDemand!$I$4:$AH$4,0)),ArchetypeDemand!$F$106:$F$150,$F151)*'SHWLP-Det'!$R$7</f>
        <v>2.4006124471305415E-2</v>
      </c>
      <c r="X151" s="1138">
        <f>SUMIFS(INDEX(ArchetypeDemand!$I$106:$AH$150,,MATCH(X$128,ArchetypeDemand!$I$4:$AH$4,0)),ArchetypeDemand!$F$106:$F$150,$F151)*'SHWLP-Det'!$R$7</f>
        <v>6.8072959658516683E-3</v>
      </c>
      <c r="Y151" s="1138">
        <f>SUMIFS(INDEX(ArchetypeDemand!$I$106:$AH$150,,MATCH(Y$128,ArchetypeDemand!$I$4:$AH$4,0)),ArchetypeDemand!$F$106:$F$150,$F151)*'SHWLP-Det'!$R$7</f>
        <v>2.9856456759948378E-2</v>
      </c>
      <c r="Z151" s="1138">
        <f>SUMIFS(INDEX(ArchetypeDemand!$I$106:$AH$150,,MATCH(Z$128,ArchetypeDemand!$I$4:$AH$4,0)),ArchetypeDemand!$F$106:$F$150,$F151)*'SHWLP-Det'!$R$7</f>
        <v>7.9726077039136856E-3</v>
      </c>
      <c r="AA151" s="1138">
        <f>SUMIFS(INDEX(ArchetypeDemand!$I$106:$AH$150,,MATCH(AA$128,ArchetypeDemand!$I$4:$AH$4,0)),ArchetypeDemand!$F$106:$F$150,$F151)*'SHWLP-Det'!$R$7</f>
        <v>2.3849077647545729E-2</v>
      </c>
      <c r="AB151" s="1138">
        <f>SUMIFS(INDEX(ArchetypeDemand!$I$106:$AH$150,,MATCH(AB$128,ArchetypeDemand!$I$4:$AH$4,0)),ArchetypeDemand!$F$106:$F$150,$F151)*'SHWLP-Det'!$R$7</f>
        <v>1.5692401503696822E-2</v>
      </c>
      <c r="AC151" s="1138">
        <f>SUMIFS(INDEX(ArchetypeDemand!$I$106:$AH$150,,MATCH(AC$128,ArchetypeDemand!$I$4:$AH$4,0)),ArchetypeDemand!$F$106:$F$150,$F151)*'SHWLP-Det'!$R$7</f>
        <v>1.0108351835759796E-2</v>
      </c>
      <c r="AD151" s="1138">
        <f>SUMIFS(INDEX(ArchetypeDemand!$I$106:$AH$150,,MATCH(AD$128,ArchetypeDemand!$I$4:$AH$4,0)),ArchetypeDemand!$F$106:$F$150,$F151)*'SHWLP-Det'!$R$7</f>
        <v>1.0994793190009126E-2</v>
      </c>
      <c r="AE151" s="1138">
        <f>SUMIFS(INDEX(ArchetypeDemand!$I$106:$AH$150,,MATCH(AE$128,ArchetypeDemand!$I$4:$AH$4,0)),ArchetypeDemand!$F$106:$F$150,$F151)*'SHWLP-Det'!$R$7</f>
        <v>2.2581564857692242E-2</v>
      </c>
      <c r="AF151" s="1138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1" t="s">
        <v>1234</v>
      </c>
      <c r="D152" s="1141" t="s">
        <v>1094</v>
      </c>
      <c r="E152" s="1141" t="s">
        <v>831</v>
      </c>
      <c r="F152" s="1141" t="s">
        <v>938</v>
      </c>
      <c r="G152" s="1141">
        <f>SUM(ArchetypeDemand!I106:I150)*'SHWLP-Det'!$R$33</f>
        <v>4.6243350452253203E-2</v>
      </c>
      <c r="H152" s="1141">
        <f>SUM(ArchetypeDemand!J106:J150)*'SHWLP-Det'!$R$33</f>
        <v>0.24008386289174669</v>
      </c>
      <c r="I152" s="1141">
        <f>SUM(ArchetypeDemand!K106:K150)*'SHWLP-Det'!$R$33</f>
        <v>0.12955364287982082</v>
      </c>
      <c r="J152" s="1141">
        <f>SUM(ArchetypeDemand!L106:L150)*'SHWLP-Det'!$R$33</f>
        <v>8.9311920014731414E-2</v>
      </c>
      <c r="K152" s="1141">
        <f>SUM(ArchetypeDemand!M106:M150)*'SHWLP-Det'!$R$33</f>
        <v>6.9664735091077318E-2</v>
      </c>
      <c r="L152" s="1141">
        <f>SUM(ArchetypeDemand!N106:N150)*'SHWLP-Det'!$R$33</f>
        <v>4.1548921931139259E-2</v>
      </c>
      <c r="M152" s="1141">
        <f>SUM(ArchetypeDemand!O106:O150)*'SHWLP-Det'!$R$33</f>
        <v>8.0656466805574589E-2</v>
      </c>
      <c r="N152" s="1141">
        <f>SUM(ArchetypeDemand!P106:P150)*'SHWLP-Det'!$R$33</f>
        <v>0.14673759312245924</v>
      </c>
      <c r="O152" s="1141">
        <f>SUM(ArchetypeDemand!Q106:Q150)*'SHWLP-Det'!$R$33</f>
        <v>6.8256478079405464E-2</v>
      </c>
      <c r="P152" s="1141">
        <f>SUM(ArchetypeDemand!R106:R150)*'SHWLP-Det'!$R$33</f>
        <v>7.1919053327602719E-2</v>
      </c>
      <c r="Q152" s="1141">
        <f>SUM(ArchetypeDemand!S106:S150)*'SHWLP-Det'!$R$33</f>
        <v>0.14483172708340189</v>
      </c>
      <c r="R152" s="1141">
        <f>SUM(ArchetypeDemand!T106:T150)*'SHWLP-Det'!$R$33</f>
        <v>9.6315318638253766E-2</v>
      </c>
      <c r="S152" s="1141">
        <f>SUM(ArchetypeDemand!U106:U150)*'SHWLP-Det'!$R$33</f>
        <v>0.11209849406461522</v>
      </c>
      <c r="T152" s="1141">
        <f>SUM(ArchetypeDemand!V106:V150)*'SHWLP-Det'!$R$33</f>
        <v>0.37922615301457036</v>
      </c>
      <c r="U152" s="1141">
        <f>SUM(ArchetypeDemand!W106:W150)*'SHWLP-Det'!$R$33</f>
        <v>0.15551208015836845</v>
      </c>
      <c r="V152" s="1141">
        <f>SUM(ArchetypeDemand!X106:X150)*'SHWLP-Det'!$R$33</f>
        <v>0.14001176524203224</v>
      </c>
      <c r="W152" s="1141">
        <f>SUM(ArchetypeDemand!Y106:Y150)*'SHWLP-Det'!$R$33</f>
        <v>0.14947765880844655</v>
      </c>
      <c r="X152" s="1141">
        <f>SUM(ArchetypeDemand!Z106:Z150)*'SHWLP-Det'!$R$33</f>
        <v>8.1836212700240829E-2</v>
      </c>
      <c r="Y152" s="1141">
        <f>SUM(ArchetypeDemand!AA106:AA150)*'SHWLP-Det'!$R$33</f>
        <v>0.23672114596045346</v>
      </c>
      <c r="Z152" s="1141">
        <f>SUM(ArchetypeDemand!AB106:AB150)*'SHWLP-Det'!$R$33</f>
        <v>3.8908012410484881E-2</v>
      </c>
      <c r="AA152" s="1141">
        <f>SUM(ArchetypeDemand!AC106:AC150)*'SHWLP-Det'!$R$33</f>
        <v>0.14834164169785335</v>
      </c>
      <c r="AB152" s="1141">
        <f>SUM(ArchetypeDemand!AD106:AD150)*'SHWLP-Det'!$R$33</f>
        <v>7.7297339208528645E-2</v>
      </c>
      <c r="AC152" s="1141">
        <f>SUM(ArchetypeDemand!AE106:AE150)*'SHWLP-Det'!$R$33</f>
        <v>6.1963644686977681E-2</v>
      </c>
      <c r="AD152" s="1141">
        <f>SUM(ArchetypeDemand!AF106:AF150)*'SHWLP-Det'!$R$33</f>
        <v>7.7463561622572327E-2</v>
      </c>
      <c r="AE152" s="1141">
        <f>SUM(ArchetypeDemand!AG106:AG150)*'SHWLP-Det'!$R$33</f>
        <v>0.17415941106424226</v>
      </c>
      <c r="AF152" s="1141">
        <f>SUM(ArchetypeDemand!AH106:AH150)*'SHWLP-Det'!$R$33</f>
        <v>6.0513946173242315E-2</v>
      </c>
    </row>
    <row r="153" spans="3:32" ht="15">
      <c r="C153" s="1137" t="s">
        <v>1213</v>
      </c>
      <c r="D153" s="1137"/>
      <c r="E153" s="1137"/>
      <c r="F153" s="1137"/>
      <c r="G153" s="1137"/>
      <c r="H153" s="1137"/>
      <c r="I153" s="1137"/>
      <c r="J153" s="1137"/>
      <c r="K153" s="1137"/>
      <c r="L153" s="1137"/>
      <c r="M153" s="1137"/>
      <c r="N153" s="1137"/>
      <c r="O153" s="1137"/>
      <c r="P153" s="1137"/>
      <c r="Q153" s="1137"/>
      <c r="R153" s="1137"/>
      <c r="S153" s="1137"/>
      <c r="T153" s="1137"/>
      <c r="U153" s="1137"/>
      <c r="V153" s="1137"/>
      <c r="W153" s="1137"/>
      <c r="X153" s="1137"/>
      <c r="Y153" s="1137"/>
      <c r="Z153" s="1137"/>
      <c r="AA153" s="1137"/>
      <c r="AB153" s="1137"/>
      <c r="AC153" s="1137"/>
      <c r="AD153" s="1137"/>
      <c r="AE153" s="1137"/>
      <c r="AF153" s="1137"/>
    </row>
    <row r="154" spans="3:32">
      <c r="C154" s="1145" t="s">
        <v>1235</v>
      </c>
      <c r="D154" s="1134" t="s">
        <v>1094</v>
      </c>
      <c r="E154" s="1134" t="s">
        <v>830</v>
      </c>
      <c r="F154" s="1134" t="s">
        <v>1224</v>
      </c>
      <c r="G154" s="1134">
        <f>SUMIFS(INDEX(ArchetypeDemand!$I$106:$AH$150,,MATCH(G$128,ArchetypeDemand!$I$4:$AH$4,0)),ArchetypeDemand!$F$106:$F$150,$F154)*'SHWLP-Det'!$R$8</f>
        <v>0</v>
      </c>
      <c r="H154" s="1134">
        <f>SUMIFS(INDEX(ArchetypeDemand!$I$106:$AH$150,,MATCH(H$128,ArchetypeDemand!$I$4:$AH$4,0)),ArchetypeDemand!$F$106:$F$150,$F154)*'SHWLP-Det'!$R$8</f>
        <v>0</v>
      </c>
      <c r="I154" s="1134">
        <f>SUMIFS(INDEX(ArchetypeDemand!$I$106:$AH$150,,MATCH(I$128,ArchetypeDemand!$I$4:$AH$4,0)),ArchetypeDemand!$F$106:$F$150,$F154)*'SHWLP-Det'!$R$8</f>
        <v>0</v>
      </c>
      <c r="J154" s="1134">
        <f>SUMIFS(INDEX(ArchetypeDemand!$I$106:$AH$150,,MATCH(J$128,ArchetypeDemand!$I$4:$AH$4,0)),ArchetypeDemand!$F$106:$F$150,$F154)*'SHWLP-Det'!$R$8</f>
        <v>0</v>
      </c>
      <c r="K154" s="1134">
        <f>SUMIFS(INDEX(ArchetypeDemand!$I$106:$AH$150,,MATCH(K$128,ArchetypeDemand!$I$4:$AH$4,0)),ArchetypeDemand!$F$106:$F$150,$F154)*'SHWLP-Det'!$R$8</f>
        <v>0</v>
      </c>
      <c r="L154" s="1134">
        <f>SUMIFS(INDEX(ArchetypeDemand!$I$106:$AH$150,,MATCH(L$128,ArchetypeDemand!$I$4:$AH$4,0)),ArchetypeDemand!$F$106:$F$150,$F154)*'SHWLP-Det'!$R$8</f>
        <v>0</v>
      </c>
      <c r="M154" s="1134">
        <f>SUMIFS(INDEX(ArchetypeDemand!$I$106:$AH$150,,MATCH(M$128,ArchetypeDemand!$I$4:$AH$4,0)),ArchetypeDemand!$F$106:$F$150,$F154)*'SHWLP-Det'!$R$8</f>
        <v>0</v>
      </c>
      <c r="N154" s="1134">
        <f>SUMIFS(INDEX(ArchetypeDemand!$I$106:$AH$150,,MATCH(N$128,ArchetypeDemand!$I$4:$AH$4,0)),ArchetypeDemand!$F$106:$F$150,$F154)*'SHWLP-Det'!$R$8</f>
        <v>0</v>
      </c>
      <c r="O154" s="1134">
        <f>SUMIFS(INDEX(ArchetypeDemand!$I$106:$AH$150,,MATCH(O$128,ArchetypeDemand!$I$4:$AH$4,0)),ArchetypeDemand!$F$106:$F$150,$F154)*'SHWLP-Det'!$R$8</f>
        <v>0</v>
      </c>
      <c r="P154" s="1134">
        <f>SUMIFS(INDEX(ArchetypeDemand!$I$106:$AH$150,,MATCH(P$128,ArchetypeDemand!$I$4:$AH$4,0)),ArchetypeDemand!$F$106:$F$150,$F154)*'SHWLP-Det'!$R$8</f>
        <v>0</v>
      </c>
      <c r="Q154" s="1134">
        <f>SUMIFS(INDEX(ArchetypeDemand!$I$106:$AH$150,,MATCH(Q$128,ArchetypeDemand!$I$4:$AH$4,0)),ArchetypeDemand!$F$106:$F$150,$F154)*'SHWLP-Det'!$R$8</f>
        <v>0</v>
      </c>
      <c r="R154" s="1134">
        <f>SUMIFS(INDEX(ArchetypeDemand!$I$106:$AH$150,,MATCH(R$128,ArchetypeDemand!$I$4:$AH$4,0)),ArchetypeDemand!$F$106:$F$150,$F154)*'SHWLP-Det'!$R$8</f>
        <v>0</v>
      </c>
      <c r="S154" s="1134">
        <f>SUMIFS(INDEX(ArchetypeDemand!$I$106:$AH$150,,MATCH(S$128,ArchetypeDemand!$I$4:$AH$4,0)),ArchetypeDemand!$F$106:$F$150,$F154)*'SHWLP-Det'!$R$8</f>
        <v>0</v>
      </c>
      <c r="T154" s="1134">
        <f>SUMIFS(INDEX(ArchetypeDemand!$I$106:$AH$150,,MATCH(T$128,ArchetypeDemand!$I$4:$AH$4,0)),ArchetypeDemand!$F$106:$F$150,$F154)*'SHWLP-Det'!$R$8</f>
        <v>0</v>
      </c>
      <c r="U154" s="1134">
        <f>SUMIFS(INDEX(ArchetypeDemand!$I$106:$AH$150,,MATCH(U$128,ArchetypeDemand!$I$4:$AH$4,0)),ArchetypeDemand!$F$106:$F$150,$F154)*'SHWLP-Det'!$R$8</f>
        <v>0</v>
      </c>
      <c r="V154" s="1134">
        <f>SUMIFS(INDEX(ArchetypeDemand!$I$106:$AH$150,,MATCH(V$128,ArchetypeDemand!$I$4:$AH$4,0)),ArchetypeDemand!$F$106:$F$150,$F154)*'SHWLP-Det'!$R$8</f>
        <v>0</v>
      </c>
      <c r="W154" s="1134">
        <f>SUMIFS(INDEX(ArchetypeDemand!$I$106:$AH$150,,MATCH(W$128,ArchetypeDemand!$I$4:$AH$4,0)),ArchetypeDemand!$F$106:$F$150,$F154)*'SHWLP-Det'!$R$8</f>
        <v>0</v>
      </c>
      <c r="X154" s="1134">
        <f>SUMIFS(INDEX(ArchetypeDemand!$I$106:$AH$150,,MATCH(X$128,ArchetypeDemand!$I$4:$AH$4,0)),ArchetypeDemand!$F$106:$F$150,$F154)*'SHWLP-Det'!$R$8</f>
        <v>0</v>
      </c>
      <c r="Y154" s="1134">
        <f>SUMIFS(INDEX(ArchetypeDemand!$I$106:$AH$150,,MATCH(Y$128,ArchetypeDemand!$I$4:$AH$4,0)),ArchetypeDemand!$F$106:$F$150,$F154)*'SHWLP-Det'!$R$8</f>
        <v>0</v>
      </c>
      <c r="Z154" s="1134">
        <f>SUMIFS(INDEX(ArchetypeDemand!$I$106:$AH$150,,MATCH(Z$128,ArchetypeDemand!$I$4:$AH$4,0)),ArchetypeDemand!$F$106:$F$150,$F154)*'SHWLP-Det'!$R$8</f>
        <v>0</v>
      </c>
      <c r="AA154" s="1134">
        <f>SUMIFS(INDEX(ArchetypeDemand!$I$106:$AH$150,,MATCH(AA$128,ArchetypeDemand!$I$4:$AH$4,0)),ArchetypeDemand!$F$106:$F$150,$F154)*'SHWLP-Det'!$R$8</f>
        <v>0</v>
      </c>
      <c r="AB154" s="1134">
        <f>SUMIFS(INDEX(ArchetypeDemand!$I$106:$AH$150,,MATCH(AB$128,ArchetypeDemand!$I$4:$AH$4,0)),ArchetypeDemand!$F$106:$F$150,$F154)*'SHWLP-Det'!$R$8</f>
        <v>0</v>
      </c>
      <c r="AC154" s="1134">
        <f>SUMIFS(INDEX(ArchetypeDemand!$I$106:$AH$150,,MATCH(AC$128,ArchetypeDemand!$I$4:$AH$4,0)),ArchetypeDemand!$F$106:$F$150,$F154)*'SHWLP-Det'!$R$8</f>
        <v>0</v>
      </c>
      <c r="AD154" s="1134">
        <f>SUMIFS(INDEX(ArchetypeDemand!$I$106:$AH$150,,MATCH(AD$128,ArchetypeDemand!$I$4:$AH$4,0)),ArchetypeDemand!$F$106:$F$150,$F154)*'SHWLP-Det'!$R$8</f>
        <v>0</v>
      </c>
      <c r="AE154" s="1134">
        <f>SUMIFS(INDEX(ArchetypeDemand!$I$106:$AH$150,,MATCH(AE$128,ArchetypeDemand!$I$4:$AH$4,0)),ArchetypeDemand!$F$106:$F$150,$F154)*'SHWLP-Det'!$R$8</f>
        <v>0</v>
      </c>
      <c r="AF154" s="1134">
        <f>SUMIFS(INDEX(ArchetypeDemand!$I$106:$AH$150,,MATCH(AF$128,ArchetypeDemand!$I$4:$AH$4,0)),ArchetypeDemand!$F$106:$F$150,$F154)*'SHWLP-Det'!$R$8</f>
        <v>0</v>
      </c>
    </row>
    <row r="155" spans="3:32">
      <c r="C155" s="1136" t="s">
        <v>1235</v>
      </c>
      <c r="D155" s="1136" t="s">
        <v>1094</v>
      </c>
      <c r="E155" s="1136" t="s">
        <v>830</v>
      </c>
      <c r="F155" s="1136" t="s">
        <v>1225</v>
      </c>
      <c r="G155" s="1136">
        <f>SUMIFS(INDEX(ArchetypeDemand!$I$106:$AH$150,,MATCH(G$128,ArchetypeDemand!$I$4:$AH$4,0)),ArchetypeDemand!$F$106:$F$150,$F155)*'SHWLP-Det'!$R$8</f>
        <v>0</v>
      </c>
      <c r="H155" s="1136">
        <f>SUMIFS(INDEX(ArchetypeDemand!$I$106:$AH$150,,MATCH(H$128,ArchetypeDemand!$I$4:$AH$4,0)),ArchetypeDemand!$F$106:$F$150,$F155)*'SHWLP-Det'!$R$8</f>
        <v>0</v>
      </c>
      <c r="I155" s="1136">
        <f>SUMIFS(INDEX(ArchetypeDemand!$I$106:$AH$150,,MATCH(I$128,ArchetypeDemand!$I$4:$AH$4,0)),ArchetypeDemand!$F$106:$F$150,$F155)*'SHWLP-Det'!$R$8</f>
        <v>0</v>
      </c>
      <c r="J155" s="1136">
        <f>SUMIFS(INDEX(ArchetypeDemand!$I$106:$AH$150,,MATCH(J$128,ArchetypeDemand!$I$4:$AH$4,0)),ArchetypeDemand!$F$106:$F$150,$F155)*'SHWLP-Det'!$R$8</f>
        <v>0</v>
      </c>
      <c r="K155" s="1136">
        <f>SUMIFS(INDEX(ArchetypeDemand!$I$106:$AH$150,,MATCH(K$128,ArchetypeDemand!$I$4:$AH$4,0)),ArchetypeDemand!$F$106:$F$150,$F155)*'SHWLP-Det'!$R$8</f>
        <v>0</v>
      </c>
      <c r="L155" s="1136">
        <f>SUMIFS(INDEX(ArchetypeDemand!$I$106:$AH$150,,MATCH(L$128,ArchetypeDemand!$I$4:$AH$4,0)),ArchetypeDemand!$F$106:$F$150,$F155)*'SHWLP-Det'!$R$8</f>
        <v>0</v>
      </c>
      <c r="M155" s="1136">
        <f>SUMIFS(INDEX(ArchetypeDemand!$I$106:$AH$150,,MATCH(M$128,ArchetypeDemand!$I$4:$AH$4,0)),ArchetypeDemand!$F$106:$F$150,$F155)*'SHWLP-Det'!$R$8</f>
        <v>0</v>
      </c>
      <c r="N155" s="1136">
        <f>SUMIFS(INDEX(ArchetypeDemand!$I$106:$AH$150,,MATCH(N$128,ArchetypeDemand!$I$4:$AH$4,0)),ArchetypeDemand!$F$106:$F$150,$F155)*'SHWLP-Det'!$R$8</f>
        <v>0</v>
      </c>
      <c r="O155" s="1136">
        <f>SUMIFS(INDEX(ArchetypeDemand!$I$106:$AH$150,,MATCH(O$128,ArchetypeDemand!$I$4:$AH$4,0)),ArchetypeDemand!$F$106:$F$150,$F155)*'SHWLP-Det'!$R$8</f>
        <v>0</v>
      </c>
      <c r="P155" s="1136">
        <f>SUMIFS(INDEX(ArchetypeDemand!$I$106:$AH$150,,MATCH(P$128,ArchetypeDemand!$I$4:$AH$4,0)),ArchetypeDemand!$F$106:$F$150,$F155)*'SHWLP-Det'!$R$8</f>
        <v>0</v>
      </c>
      <c r="Q155" s="1136">
        <f>SUMIFS(INDEX(ArchetypeDemand!$I$106:$AH$150,,MATCH(Q$128,ArchetypeDemand!$I$4:$AH$4,0)),ArchetypeDemand!$F$106:$F$150,$F155)*'SHWLP-Det'!$R$8</f>
        <v>0</v>
      </c>
      <c r="R155" s="1136">
        <f>SUMIFS(INDEX(ArchetypeDemand!$I$106:$AH$150,,MATCH(R$128,ArchetypeDemand!$I$4:$AH$4,0)),ArchetypeDemand!$F$106:$F$150,$F155)*'SHWLP-Det'!$R$8</f>
        <v>0</v>
      </c>
      <c r="S155" s="1136">
        <f>SUMIFS(INDEX(ArchetypeDemand!$I$106:$AH$150,,MATCH(S$128,ArchetypeDemand!$I$4:$AH$4,0)),ArchetypeDemand!$F$106:$F$150,$F155)*'SHWLP-Det'!$R$8</f>
        <v>0</v>
      </c>
      <c r="T155" s="1136">
        <f>SUMIFS(INDEX(ArchetypeDemand!$I$106:$AH$150,,MATCH(T$128,ArchetypeDemand!$I$4:$AH$4,0)),ArchetypeDemand!$F$106:$F$150,$F155)*'SHWLP-Det'!$R$8</f>
        <v>0</v>
      </c>
      <c r="U155" s="1136">
        <f>SUMIFS(INDEX(ArchetypeDemand!$I$106:$AH$150,,MATCH(U$128,ArchetypeDemand!$I$4:$AH$4,0)),ArchetypeDemand!$F$106:$F$150,$F155)*'SHWLP-Det'!$R$8</f>
        <v>0</v>
      </c>
      <c r="V155" s="1136">
        <f>SUMIFS(INDEX(ArchetypeDemand!$I$106:$AH$150,,MATCH(V$128,ArchetypeDemand!$I$4:$AH$4,0)),ArchetypeDemand!$F$106:$F$150,$F155)*'SHWLP-Det'!$R$8</f>
        <v>0</v>
      </c>
      <c r="W155" s="1136">
        <f>SUMIFS(INDEX(ArchetypeDemand!$I$106:$AH$150,,MATCH(W$128,ArchetypeDemand!$I$4:$AH$4,0)),ArchetypeDemand!$F$106:$F$150,$F155)*'SHWLP-Det'!$R$8</f>
        <v>0</v>
      </c>
      <c r="X155" s="1136">
        <f>SUMIFS(INDEX(ArchetypeDemand!$I$106:$AH$150,,MATCH(X$128,ArchetypeDemand!$I$4:$AH$4,0)),ArchetypeDemand!$F$106:$F$150,$F155)*'SHWLP-Det'!$R$8</f>
        <v>0</v>
      </c>
      <c r="Y155" s="1136">
        <f>SUMIFS(INDEX(ArchetypeDemand!$I$106:$AH$150,,MATCH(Y$128,ArchetypeDemand!$I$4:$AH$4,0)),ArchetypeDemand!$F$106:$F$150,$F155)*'SHWLP-Det'!$R$8</f>
        <v>0</v>
      </c>
      <c r="Z155" s="1136">
        <f>SUMIFS(INDEX(ArchetypeDemand!$I$106:$AH$150,,MATCH(Z$128,ArchetypeDemand!$I$4:$AH$4,0)),ArchetypeDemand!$F$106:$F$150,$F155)*'SHWLP-Det'!$R$8</f>
        <v>0</v>
      </c>
      <c r="AA155" s="1136">
        <f>SUMIFS(INDEX(ArchetypeDemand!$I$106:$AH$150,,MATCH(AA$128,ArchetypeDemand!$I$4:$AH$4,0)),ArchetypeDemand!$F$106:$F$150,$F155)*'SHWLP-Det'!$R$8</f>
        <v>0</v>
      </c>
      <c r="AB155" s="1136">
        <f>SUMIFS(INDEX(ArchetypeDemand!$I$106:$AH$150,,MATCH(AB$128,ArchetypeDemand!$I$4:$AH$4,0)),ArchetypeDemand!$F$106:$F$150,$F155)*'SHWLP-Det'!$R$8</f>
        <v>0</v>
      </c>
      <c r="AC155" s="1136">
        <f>SUMIFS(INDEX(ArchetypeDemand!$I$106:$AH$150,,MATCH(AC$128,ArchetypeDemand!$I$4:$AH$4,0)),ArchetypeDemand!$F$106:$F$150,$F155)*'SHWLP-Det'!$R$8</f>
        <v>0</v>
      </c>
      <c r="AD155" s="1136">
        <f>SUMIFS(INDEX(ArchetypeDemand!$I$106:$AH$150,,MATCH(AD$128,ArchetypeDemand!$I$4:$AH$4,0)),ArchetypeDemand!$F$106:$F$150,$F155)*'SHWLP-Det'!$R$8</f>
        <v>0</v>
      </c>
      <c r="AE155" s="1136">
        <f>SUMIFS(INDEX(ArchetypeDemand!$I$106:$AH$150,,MATCH(AE$128,ArchetypeDemand!$I$4:$AH$4,0)),ArchetypeDemand!$F$106:$F$150,$F155)*'SHWLP-Det'!$R$8</f>
        <v>0</v>
      </c>
      <c r="AF155" s="1136">
        <f>SUMIFS(INDEX(ArchetypeDemand!$I$106:$AH$150,,MATCH(AF$128,ArchetypeDemand!$I$4:$AH$4,0)),ArchetypeDemand!$F$106:$F$150,$F155)*'SHWLP-Det'!$R$8</f>
        <v>0</v>
      </c>
    </row>
    <row r="156" spans="3:32">
      <c r="C156" s="1134" t="s">
        <v>1235</v>
      </c>
      <c r="D156" s="1134" t="s">
        <v>1094</v>
      </c>
      <c r="E156" s="1134" t="s">
        <v>830</v>
      </c>
      <c r="F156" s="1134" t="s">
        <v>1226</v>
      </c>
      <c r="G156" s="1134">
        <f>SUMIFS(INDEX(ArchetypeDemand!$I$106:$AH$150,,MATCH(G$128,ArchetypeDemand!$I$4:$AH$4,0)),ArchetypeDemand!$F$106:$F$150,$F156)*'SHWLP-Det'!$R$8</f>
        <v>0</v>
      </c>
      <c r="H156" s="1134">
        <f>SUMIFS(INDEX(ArchetypeDemand!$I$106:$AH$150,,MATCH(H$128,ArchetypeDemand!$I$4:$AH$4,0)),ArchetypeDemand!$F$106:$F$150,$F156)*'SHWLP-Det'!$R$8</f>
        <v>0</v>
      </c>
      <c r="I156" s="1134">
        <f>SUMIFS(INDEX(ArchetypeDemand!$I$106:$AH$150,,MATCH(I$128,ArchetypeDemand!$I$4:$AH$4,0)),ArchetypeDemand!$F$106:$F$150,$F156)*'SHWLP-Det'!$R$8</f>
        <v>0</v>
      </c>
      <c r="J156" s="1134">
        <f>SUMIFS(INDEX(ArchetypeDemand!$I$106:$AH$150,,MATCH(J$128,ArchetypeDemand!$I$4:$AH$4,0)),ArchetypeDemand!$F$106:$F$150,$F156)*'SHWLP-Det'!$R$8</f>
        <v>0</v>
      </c>
      <c r="K156" s="1134">
        <f>SUMIFS(INDEX(ArchetypeDemand!$I$106:$AH$150,,MATCH(K$128,ArchetypeDemand!$I$4:$AH$4,0)),ArchetypeDemand!$F$106:$F$150,$F156)*'SHWLP-Det'!$R$8</f>
        <v>0</v>
      </c>
      <c r="L156" s="1134">
        <f>SUMIFS(INDEX(ArchetypeDemand!$I$106:$AH$150,,MATCH(L$128,ArchetypeDemand!$I$4:$AH$4,0)),ArchetypeDemand!$F$106:$F$150,$F156)*'SHWLP-Det'!$R$8</f>
        <v>0</v>
      </c>
      <c r="M156" s="1134">
        <f>SUMIFS(INDEX(ArchetypeDemand!$I$106:$AH$150,,MATCH(M$128,ArchetypeDemand!$I$4:$AH$4,0)),ArchetypeDemand!$F$106:$F$150,$F156)*'SHWLP-Det'!$R$8</f>
        <v>0</v>
      </c>
      <c r="N156" s="1134">
        <f>SUMIFS(INDEX(ArchetypeDemand!$I$106:$AH$150,,MATCH(N$128,ArchetypeDemand!$I$4:$AH$4,0)),ArchetypeDemand!$F$106:$F$150,$F156)*'SHWLP-Det'!$R$8</f>
        <v>0</v>
      </c>
      <c r="O156" s="1134">
        <f>SUMIFS(INDEX(ArchetypeDemand!$I$106:$AH$150,,MATCH(O$128,ArchetypeDemand!$I$4:$AH$4,0)),ArchetypeDemand!$F$106:$F$150,$F156)*'SHWLP-Det'!$R$8</f>
        <v>0</v>
      </c>
      <c r="P156" s="1134">
        <f>SUMIFS(INDEX(ArchetypeDemand!$I$106:$AH$150,,MATCH(P$128,ArchetypeDemand!$I$4:$AH$4,0)),ArchetypeDemand!$F$106:$F$150,$F156)*'SHWLP-Det'!$R$8</f>
        <v>0</v>
      </c>
      <c r="Q156" s="1134">
        <f>SUMIFS(INDEX(ArchetypeDemand!$I$106:$AH$150,,MATCH(Q$128,ArchetypeDemand!$I$4:$AH$4,0)),ArchetypeDemand!$F$106:$F$150,$F156)*'SHWLP-Det'!$R$8</f>
        <v>0</v>
      </c>
      <c r="R156" s="1134">
        <f>SUMIFS(INDEX(ArchetypeDemand!$I$106:$AH$150,,MATCH(R$128,ArchetypeDemand!$I$4:$AH$4,0)),ArchetypeDemand!$F$106:$F$150,$F156)*'SHWLP-Det'!$R$8</f>
        <v>0</v>
      </c>
      <c r="S156" s="1134">
        <f>SUMIFS(INDEX(ArchetypeDemand!$I$106:$AH$150,,MATCH(S$128,ArchetypeDemand!$I$4:$AH$4,0)),ArchetypeDemand!$F$106:$F$150,$F156)*'SHWLP-Det'!$R$8</f>
        <v>0</v>
      </c>
      <c r="T156" s="1134">
        <f>SUMIFS(INDEX(ArchetypeDemand!$I$106:$AH$150,,MATCH(T$128,ArchetypeDemand!$I$4:$AH$4,0)),ArchetypeDemand!$F$106:$F$150,$F156)*'SHWLP-Det'!$R$8</f>
        <v>0</v>
      </c>
      <c r="U156" s="1134">
        <f>SUMIFS(INDEX(ArchetypeDemand!$I$106:$AH$150,,MATCH(U$128,ArchetypeDemand!$I$4:$AH$4,0)),ArchetypeDemand!$F$106:$F$150,$F156)*'SHWLP-Det'!$R$8</f>
        <v>0</v>
      </c>
      <c r="V156" s="1134">
        <f>SUMIFS(INDEX(ArchetypeDemand!$I$106:$AH$150,,MATCH(V$128,ArchetypeDemand!$I$4:$AH$4,0)),ArchetypeDemand!$F$106:$F$150,$F156)*'SHWLP-Det'!$R$8</f>
        <v>0</v>
      </c>
      <c r="W156" s="1134">
        <f>SUMIFS(INDEX(ArchetypeDemand!$I$106:$AH$150,,MATCH(W$128,ArchetypeDemand!$I$4:$AH$4,0)),ArchetypeDemand!$F$106:$F$150,$F156)*'SHWLP-Det'!$R$8</f>
        <v>0</v>
      </c>
      <c r="X156" s="1134">
        <f>SUMIFS(INDEX(ArchetypeDemand!$I$106:$AH$150,,MATCH(X$128,ArchetypeDemand!$I$4:$AH$4,0)),ArchetypeDemand!$F$106:$F$150,$F156)*'SHWLP-Det'!$R$8</f>
        <v>0</v>
      </c>
      <c r="Y156" s="1134">
        <f>SUMIFS(INDEX(ArchetypeDemand!$I$106:$AH$150,,MATCH(Y$128,ArchetypeDemand!$I$4:$AH$4,0)),ArchetypeDemand!$F$106:$F$150,$F156)*'SHWLP-Det'!$R$8</f>
        <v>0</v>
      </c>
      <c r="Z156" s="1134">
        <f>SUMIFS(INDEX(ArchetypeDemand!$I$106:$AH$150,,MATCH(Z$128,ArchetypeDemand!$I$4:$AH$4,0)),ArchetypeDemand!$F$106:$F$150,$F156)*'SHWLP-Det'!$R$8</f>
        <v>0</v>
      </c>
      <c r="AA156" s="1134">
        <f>SUMIFS(INDEX(ArchetypeDemand!$I$106:$AH$150,,MATCH(AA$128,ArchetypeDemand!$I$4:$AH$4,0)),ArchetypeDemand!$F$106:$F$150,$F156)*'SHWLP-Det'!$R$8</f>
        <v>0</v>
      </c>
      <c r="AB156" s="1134">
        <f>SUMIFS(INDEX(ArchetypeDemand!$I$106:$AH$150,,MATCH(AB$128,ArchetypeDemand!$I$4:$AH$4,0)),ArchetypeDemand!$F$106:$F$150,$F156)*'SHWLP-Det'!$R$8</f>
        <v>0</v>
      </c>
      <c r="AC156" s="1134">
        <f>SUMIFS(INDEX(ArchetypeDemand!$I$106:$AH$150,,MATCH(AC$128,ArchetypeDemand!$I$4:$AH$4,0)),ArchetypeDemand!$F$106:$F$150,$F156)*'SHWLP-Det'!$R$8</f>
        <v>0</v>
      </c>
      <c r="AD156" s="1134">
        <f>SUMIFS(INDEX(ArchetypeDemand!$I$106:$AH$150,,MATCH(AD$128,ArchetypeDemand!$I$4:$AH$4,0)),ArchetypeDemand!$F$106:$F$150,$F156)*'SHWLP-Det'!$R$8</f>
        <v>0</v>
      </c>
      <c r="AE156" s="1134">
        <f>SUMIFS(INDEX(ArchetypeDemand!$I$106:$AH$150,,MATCH(AE$128,ArchetypeDemand!$I$4:$AH$4,0)),ArchetypeDemand!$F$106:$F$150,$F156)*'SHWLP-Det'!$R$8</f>
        <v>0</v>
      </c>
      <c r="AF156" s="1134">
        <f>SUMIFS(INDEX(ArchetypeDemand!$I$106:$AH$150,,MATCH(AF$128,ArchetypeDemand!$I$4:$AH$4,0)),ArchetypeDemand!$F$106:$F$150,$F156)*'SHWLP-Det'!$R$8</f>
        <v>0</v>
      </c>
    </row>
    <row r="157" spans="3:32">
      <c r="C157" s="1136" t="s">
        <v>1235</v>
      </c>
      <c r="D157" s="1136" t="s">
        <v>1094</v>
      </c>
      <c r="E157" s="1136" t="s">
        <v>830</v>
      </c>
      <c r="F157" s="1136" t="s">
        <v>1227</v>
      </c>
      <c r="G157" s="1136">
        <f>SUMIFS(INDEX(ArchetypeDemand!$I$106:$AH$150,,MATCH(G$128,ArchetypeDemand!$I$4:$AH$4,0)),ArchetypeDemand!$F$106:$F$150,$F157)*'SHWLP-Det'!$R$8</f>
        <v>0</v>
      </c>
      <c r="H157" s="1136">
        <f>SUMIFS(INDEX(ArchetypeDemand!$I$106:$AH$150,,MATCH(H$128,ArchetypeDemand!$I$4:$AH$4,0)),ArchetypeDemand!$F$106:$F$150,$F157)*'SHWLP-Det'!$R$8</f>
        <v>0</v>
      </c>
      <c r="I157" s="1136">
        <f>SUMIFS(INDEX(ArchetypeDemand!$I$106:$AH$150,,MATCH(I$128,ArchetypeDemand!$I$4:$AH$4,0)),ArchetypeDemand!$F$106:$F$150,$F157)*'SHWLP-Det'!$R$8</f>
        <v>0</v>
      </c>
      <c r="J157" s="1136">
        <f>SUMIFS(INDEX(ArchetypeDemand!$I$106:$AH$150,,MATCH(J$128,ArchetypeDemand!$I$4:$AH$4,0)),ArchetypeDemand!$F$106:$F$150,$F157)*'SHWLP-Det'!$R$8</f>
        <v>0</v>
      </c>
      <c r="K157" s="1136">
        <f>SUMIFS(INDEX(ArchetypeDemand!$I$106:$AH$150,,MATCH(K$128,ArchetypeDemand!$I$4:$AH$4,0)),ArchetypeDemand!$F$106:$F$150,$F157)*'SHWLP-Det'!$R$8</f>
        <v>0</v>
      </c>
      <c r="L157" s="1136">
        <f>SUMIFS(INDEX(ArchetypeDemand!$I$106:$AH$150,,MATCH(L$128,ArchetypeDemand!$I$4:$AH$4,0)),ArchetypeDemand!$F$106:$F$150,$F157)*'SHWLP-Det'!$R$8</f>
        <v>0</v>
      </c>
      <c r="M157" s="1136">
        <f>SUMIFS(INDEX(ArchetypeDemand!$I$106:$AH$150,,MATCH(M$128,ArchetypeDemand!$I$4:$AH$4,0)),ArchetypeDemand!$F$106:$F$150,$F157)*'SHWLP-Det'!$R$8</f>
        <v>0</v>
      </c>
      <c r="N157" s="1136">
        <f>SUMIFS(INDEX(ArchetypeDemand!$I$106:$AH$150,,MATCH(N$128,ArchetypeDemand!$I$4:$AH$4,0)),ArchetypeDemand!$F$106:$F$150,$F157)*'SHWLP-Det'!$R$8</f>
        <v>0</v>
      </c>
      <c r="O157" s="1136">
        <f>SUMIFS(INDEX(ArchetypeDemand!$I$106:$AH$150,,MATCH(O$128,ArchetypeDemand!$I$4:$AH$4,0)),ArchetypeDemand!$F$106:$F$150,$F157)*'SHWLP-Det'!$R$8</f>
        <v>0</v>
      </c>
      <c r="P157" s="1136">
        <f>SUMIFS(INDEX(ArchetypeDemand!$I$106:$AH$150,,MATCH(P$128,ArchetypeDemand!$I$4:$AH$4,0)),ArchetypeDemand!$F$106:$F$150,$F157)*'SHWLP-Det'!$R$8</f>
        <v>0</v>
      </c>
      <c r="Q157" s="1136">
        <f>SUMIFS(INDEX(ArchetypeDemand!$I$106:$AH$150,,MATCH(Q$128,ArchetypeDemand!$I$4:$AH$4,0)),ArchetypeDemand!$F$106:$F$150,$F157)*'SHWLP-Det'!$R$8</f>
        <v>0</v>
      </c>
      <c r="R157" s="1136">
        <f>SUMIFS(INDEX(ArchetypeDemand!$I$106:$AH$150,,MATCH(R$128,ArchetypeDemand!$I$4:$AH$4,0)),ArchetypeDemand!$F$106:$F$150,$F157)*'SHWLP-Det'!$R$8</f>
        <v>0</v>
      </c>
      <c r="S157" s="1136">
        <f>SUMIFS(INDEX(ArchetypeDemand!$I$106:$AH$150,,MATCH(S$128,ArchetypeDemand!$I$4:$AH$4,0)),ArchetypeDemand!$F$106:$F$150,$F157)*'SHWLP-Det'!$R$8</f>
        <v>0</v>
      </c>
      <c r="T157" s="1136">
        <f>SUMIFS(INDEX(ArchetypeDemand!$I$106:$AH$150,,MATCH(T$128,ArchetypeDemand!$I$4:$AH$4,0)),ArchetypeDemand!$F$106:$F$150,$F157)*'SHWLP-Det'!$R$8</f>
        <v>0</v>
      </c>
      <c r="U157" s="1136">
        <f>SUMIFS(INDEX(ArchetypeDemand!$I$106:$AH$150,,MATCH(U$128,ArchetypeDemand!$I$4:$AH$4,0)),ArchetypeDemand!$F$106:$F$150,$F157)*'SHWLP-Det'!$R$8</f>
        <v>0</v>
      </c>
      <c r="V157" s="1136">
        <f>SUMIFS(INDEX(ArchetypeDemand!$I$106:$AH$150,,MATCH(V$128,ArchetypeDemand!$I$4:$AH$4,0)),ArchetypeDemand!$F$106:$F$150,$F157)*'SHWLP-Det'!$R$8</f>
        <v>0</v>
      </c>
      <c r="W157" s="1136">
        <f>SUMIFS(INDEX(ArchetypeDemand!$I$106:$AH$150,,MATCH(W$128,ArchetypeDemand!$I$4:$AH$4,0)),ArchetypeDemand!$F$106:$F$150,$F157)*'SHWLP-Det'!$R$8</f>
        <v>0</v>
      </c>
      <c r="X157" s="1136">
        <f>SUMIFS(INDEX(ArchetypeDemand!$I$106:$AH$150,,MATCH(X$128,ArchetypeDemand!$I$4:$AH$4,0)),ArchetypeDemand!$F$106:$F$150,$F157)*'SHWLP-Det'!$R$8</f>
        <v>0</v>
      </c>
      <c r="Y157" s="1136">
        <f>SUMIFS(INDEX(ArchetypeDemand!$I$106:$AH$150,,MATCH(Y$128,ArchetypeDemand!$I$4:$AH$4,0)),ArchetypeDemand!$F$106:$F$150,$F157)*'SHWLP-Det'!$R$8</f>
        <v>0</v>
      </c>
      <c r="Z157" s="1136">
        <f>SUMIFS(INDEX(ArchetypeDemand!$I$106:$AH$150,,MATCH(Z$128,ArchetypeDemand!$I$4:$AH$4,0)),ArchetypeDemand!$F$106:$F$150,$F157)*'SHWLP-Det'!$R$8</f>
        <v>0</v>
      </c>
      <c r="AA157" s="1136">
        <f>SUMIFS(INDEX(ArchetypeDemand!$I$106:$AH$150,,MATCH(AA$128,ArchetypeDemand!$I$4:$AH$4,0)),ArchetypeDemand!$F$106:$F$150,$F157)*'SHWLP-Det'!$R$8</f>
        <v>0</v>
      </c>
      <c r="AB157" s="1136">
        <f>SUMIFS(INDEX(ArchetypeDemand!$I$106:$AH$150,,MATCH(AB$128,ArchetypeDemand!$I$4:$AH$4,0)),ArchetypeDemand!$F$106:$F$150,$F157)*'SHWLP-Det'!$R$8</f>
        <v>0</v>
      </c>
      <c r="AC157" s="1136">
        <f>SUMIFS(INDEX(ArchetypeDemand!$I$106:$AH$150,,MATCH(AC$128,ArchetypeDemand!$I$4:$AH$4,0)),ArchetypeDemand!$F$106:$F$150,$F157)*'SHWLP-Det'!$R$8</f>
        <v>0</v>
      </c>
      <c r="AD157" s="1136">
        <f>SUMIFS(INDEX(ArchetypeDemand!$I$106:$AH$150,,MATCH(AD$128,ArchetypeDemand!$I$4:$AH$4,0)),ArchetypeDemand!$F$106:$F$150,$F157)*'SHWLP-Det'!$R$8</f>
        <v>0</v>
      </c>
      <c r="AE157" s="1136">
        <f>SUMIFS(INDEX(ArchetypeDemand!$I$106:$AH$150,,MATCH(AE$128,ArchetypeDemand!$I$4:$AH$4,0)),ArchetypeDemand!$F$106:$F$150,$F157)*'SHWLP-Det'!$R$8</f>
        <v>0</v>
      </c>
      <c r="AF157" s="1136">
        <f>SUMIFS(INDEX(ArchetypeDemand!$I$106:$AH$150,,MATCH(AF$128,ArchetypeDemand!$I$4:$AH$4,0)),ArchetypeDemand!$F$106:$F$150,$F157)*'SHWLP-Det'!$R$8</f>
        <v>0</v>
      </c>
    </row>
    <row r="158" spans="3:32">
      <c r="C158" s="1134" t="s">
        <v>1235</v>
      </c>
      <c r="D158" s="1134" t="s">
        <v>1094</v>
      </c>
      <c r="E158" s="1134" t="s">
        <v>830</v>
      </c>
      <c r="F158" s="1134" t="s">
        <v>1228</v>
      </c>
      <c r="G158" s="1134">
        <f>SUMIFS(INDEX(ArchetypeDemand!$I$106:$AH$150,,MATCH(G$128,ArchetypeDemand!$I$4:$AH$4,0)),ArchetypeDemand!$F$106:$F$150,$F158)*'SHWLP-Det'!$R$8</f>
        <v>0</v>
      </c>
      <c r="H158" s="1134">
        <f>SUMIFS(INDEX(ArchetypeDemand!$I$106:$AH$150,,MATCH(H$128,ArchetypeDemand!$I$4:$AH$4,0)),ArchetypeDemand!$F$106:$F$150,$F158)*'SHWLP-Det'!$R$8</f>
        <v>0</v>
      </c>
      <c r="I158" s="1134">
        <f>SUMIFS(INDEX(ArchetypeDemand!$I$106:$AH$150,,MATCH(I$128,ArchetypeDemand!$I$4:$AH$4,0)),ArchetypeDemand!$F$106:$F$150,$F158)*'SHWLP-Det'!$R$8</f>
        <v>0</v>
      </c>
      <c r="J158" s="1134">
        <f>SUMIFS(INDEX(ArchetypeDemand!$I$106:$AH$150,,MATCH(J$128,ArchetypeDemand!$I$4:$AH$4,0)),ArchetypeDemand!$F$106:$F$150,$F158)*'SHWLP-Det'!$R$8</f>
        <v>0</v>
      </c>
      <c r="K158" s="1134">
        <f>SUMIFS(INDEX(ArchetypeDemand!$I$106:$AH$150,,MATCH(K$128,ArchetypeDemand!$I$4:$AH$4,0)),ArchetypeDemand!$F$106:$F$150,$F158)*'SHWLP-Det'!$R$8</f>
        <v>0</v>
      </c>
      <c r="L158" s="1134">
        <f>SUMIFS(INDEX(ArchetypeDemand!$I$106:$AH$150,,MATCH(L$128,ArchetypeDemand!$I$4:$AH$4,0)),ArchetypeDemand!$F$106:$F$150,$F158)*'SHWLP-Det'!$R$8</f>
        <v>0</v>
      </c>
      <c r="M158" s="1134">
        <f>SUMIFS(INDEX(ArchetypeDemand!$I$106:$AH$150,,MATCH(M$128,ArchetypeDemand!$I$4:$AH$4,0)),ArchetypeDemand!$F$106:$F$150,$F158)*'SHWLP-Det'!$R$8</f>
        <v>0</v>
      </c>
      <c r="N158" s="1134">
        <f>SUMIFS(INDEX(ArchetypeDemand!$I$106:$AH$150,,MATCH(N$128,ArchetypeDemand!$I$4:$AH$4,0)),ArchetypeDemand!$F$106:$F$150,$F158)*'SHWLP-Det'!$R$8</f>
        <v>0</v>
      </c>
      <c r="O158" s="1134">
        <f>SUMIFS(INDEX(ArchetypeDemand!$I$106:$AH$150,,MATCH(O$128,ArchetypeDemand!$I$4:$AH$4,0)),ArchetypeDemand!$F$106:$F$150,$F158)*'SHWLP-Det'!$R$8</f>
        <v>0</v>
      </c>
      <c r="P158" s="1134">
        <f>SUMIFS(INDEX(ArchetypeDemand!$I$106:$AH$150,,MATCH(P$128,ArchetypeDemand!$I$4:$AH$4,0)),ArchetypeDemand!$F$106:$F$150,$F158)*'SHWLP-Det'!$R$8</f>
        <v>0</v>
      </c>
      <c r="Q158" s="1134">
        <f>SUMIFS(INDEX(ArchetypeDemand!$I$106:$AH$150,,MATCH(Q$128,ArchetypeDemand!$I$4:$AH$4,0)),ArchetypeDemand!$F$106:$F$150,$F158)*'SHWLP-Det'!$R$8</f>
        <v>0</v>
      </c>
      <c r="R158" s="1134">
        <f>SUMIFS(INDEX(ArchetypeDemand!$I$106:$AH$150,,MATCH(R$128,ArchetypeDemand!$I$4:$AH$4,0)),ArchetypeDemand!$F$106:$F$150,$F158)*'SHWLP-Det'!$R$8</f>
        <v>0</v>
      </c>
      <c r="S158" s="1134">
        <f>SUMIFS(INDEX(ArchetypeDemand!$I$106:$AH$150,,MATCH(S$128,ArchetypeDemand!$I$4:$AH$4,0)),ArchetypeDemand!$F$106:$F$150,$F158)*'SHWLP-Det'!$R$8</f>
        <v>0</v>
      </c>
      <c r="T158" s="1134">
        <f>SUMIFS(INDEX(ArchetypeDemand!$I$106:$AH$150,,MATCH(T$128,ArchetypeDemand!$I$4:$AH$4,0)),ArchetypeDemand!$F$106:$F$150,$F158)*'SHWLP-Det'!$R$8</f>
        <v>0</v>
      </c>
      <c r="U158" s="1134">
        <f>SUMIFS(INDEX(ArchetypeDemand!$I$106:$AH$150,,MATCH(U$128,ArchetypeDemand!$I$4:$AH$4,0)),ArchetypeDemand!$F$106:$F$150,$F158)*'SHWLP-Det'!$R$8</f>
        <v>0</v>
      </c>
      <c r="V158" s="1134">
        <f>SUMIFS(INDEX(ArchetypeDemand!$I$106:$AH$150,,MATCH(V$128,ArchetypeDemand!$I$4:$AH$4,0)),ArchetypeDemand!$F$106:$F$150,$F158)*'SHWLP-Det'!$R$8</f>
        <v>0</v>
      </c>
      <c r="W158" s="1134">
        <f>SUMIFS(INDEX(ArchetypeDemand!$I$106:$AH$150,,MATCH(W$128,ArchetypeDemand!$I$4:$AH$4,0)),ArchetypeDemand!$F$106:$F$150,$F158)*'SHWLP-Det'!$R$8</f>
        <v>0</v>
      </c>
      <c r="X158" s="1134">
        <f>SUMIFS(INDEX(ArchetypeDemand!$I$106:$AH$150,,MATCH(X$128,ArchetypeDemand!$I$4:$AH$4,0)),ArchetypeDemand!$F$106:$F$150,$F158)*'SHWLP-Det'!$R$8</f>
        <v>0</v>
      </c>
      <c r="Y158" s="1134">
        <f>SUMIFS(INDEX(ArchetypeDemand!$I$106:$AH$150,,MATCH(Y$128,ArchetypeDemand!$I$4:$AH$4,0)),ArchetypeDemand!$F$106:$F$150,$F158)*'SHWLP-Det'!$R$8</f>
        <v>0</v>
      </c>
      <c r="Z158" s="1134">
        <f>SUMIFS(INDEX(ArchetypeDemand!$I$106:$AH$150,,MATCH(Z$128,ArchetypeDemand!$I$4:$AH$4,0)),ArchetypeDemand!$F$106:$F$150,$F158)*'SHWLP-Det'!$R$8</f>
        <v>0</v>
      </c>
      <c r="AA158" s="1134">
        <f>SUMIFS(INDEX(ArchetypeDemand!$I$106:$AH$150,,MATCH(AA$128,ArchetypeDemand!$I$4:$AH$4,0)),ArchetypeDemand!$F$106:$F$150,$F158)*'SHWLP-Det'!$R$8</f>
        <v>0</v>
      </c>
      <c r="AB158" s="1134">
        <f>SUMIFS(INDEX(ArchetypeDemand!$I$106:$AH$150,,MATCH(AB$128,ArchetypeDemand!$I$4:$AH$4,0)),ArchetypeDemand!$F$106:$F$150,$F158)*'SHWLP-Det'!$R$8</f>
        <v>0</v>
      </c>
      <c r="AC158" s="1134">
        <f>SUMIFS(INDEX(ArchetypeDemand!$I$106:$AH$150,,MATCH(AC$128,ArchetypeDemand!$I$4:$AH$4,0)),ArchetypeDemand!$F$106:$F$150,$F158)*'SHWLP-Det'!$R$8</f>
        <v>0</v>
      </c>
      <c r="AD158" s="1134">
        <f>SUMIFS(INDEX(ArchetypeDemand!$I$106:$AH$150,,MATCH(AD$128,ArchetypeDemand!$I$4:$AH$4,0)),ArchetypeDemand!$F$106:$F$150,$F158)*'SHWLP-Det'!$R$8</f>
        <v>0</v>
      </c>
      <c r="AE158" s="1134">
        <f>SUMIFS(INDEX(ArchetypeDemand!$I$106:$AH$150,,MATCH(AE$128,ArchetypeDemand!$I$4:$AH$4,0)),ArchetypeDemand!$F$106:$F$150,$F158)*'SHWLP-Det'!$R$8</f>
        <v>0</v>
      </c>
      <c r="AF158" s="1134">
        <f>SUMIFS(INDEX(ArchetypeDemand!$I$106:$AH$150,,MATCH(AF$128,ArchetypeDemand!$I$4:$AH$4,0)),ArchetypeDemand!$F$106:$F$150,$F158)*'SHWLP-Det'!$R$8</f>
        <v>0</v>
      </c>
    </row>
    <row r="159" spans="3:32" ht="13.5" thickBot="1">
      <c r="C159" s="1138" t="s">
        <v>1235</v>
      </c>
      <c r="D159" s="1138" t="s">
        <v>1094</v>
      </c>
      <c r="E159" s="1138" t="s">
        <v>830</v>
      </c>
      <c r="F159" s="1138" t="s">
        <v>1229</v>
      </c>
      <c r="G159" s="1138">
        <f>SUMIFS(INDEX(ArchetypeDemand!$I$106:$AH$150,,MATCH(G$128,ArchetypeDemand!$I$4:$AH$4,0)),ArchetypeDemand!$F$106:$F$150,$F159)*'SHWLP-Det'!$R$8</f>
        <v>0</v>
      </c>
      <c r="H159" s="1138">
        <f>SUMIFS(INDEX(ArchetypeDemand!$I$106:$AH$150,,MATCH(H$128,ArchetypeDemand!$I$4:$AH$4,0)),ArchetypeDemand!$F$106:$F$150,$F159)*'SHWLP-Det'!$R$8</f>
        <v>0</v>
      </c>
      <c r="I159" s="1138">
        <f>SUMIFS(INDEX(ArchetypeDemand!$I$106:$AH$150,,MATCH(I$128,ArchetypeDemand!$I$4:$AH$4,0)),ArchetypeDemand!$F$106:$F$150,$F159)*'SHWLP-Det'!$R$8</f>
        <v>0</v>
      </c>
      <c r="J159" s="1138">
        <f>SUMIFS(INDEX(ArchetypeDemand!$I$106:$AH$150,,MATCH(J$128,ArchetypeDemand!$I$4:$AH$4,0)),ArchetypeDemand!$F$106:$F$150,$F159)*'SHWLP-Det'!$R$8</f>
        <v>0</v>
      </c>
      <c r="K159" s="1138">
        <f>SUMIFS(INDEX(ArchetypeDemand!$I$106:$AH$150,,MATCH(K$128,ArchetypeDemand!$I$4:$AH$4,0)),ArchetypeDemand!$F$106:$F$150,$F159)*'SHWLP-Det'!$R$8</f>
        <v>0</v>
      </c>
      <c r="L159" s="1138">
        <f>SUMIFS(INDEX(ArchetypeDemand!$I$106:$AH$150,,MATCH(L$128,ArchetypeDemand!$I$4:$AH$4,0)),ArchetypeDemand!$F$106:$F$150,$F159)*'SHWLP-Det'!$R$8</f>
        <v>0</v>
      </c>
      <c r="M159" s="1138">
        <f>SUMIFS(INDEX(ArchetypeDemand!$I$106:$AH$150,,MATCH(M$128,ArchetypeDemand!$I$4:$AH$4,0)),ArchetypeDemand!$F$106:$F$150,$F159)*'SHWLP-Det'!$R$8</f>
        <v>0</v>
      </c>
      <c r="N159" s="1138">
        <f>SUMIFS(INDEX(ArchetypeDemand!$I$106:$AH$150,,MATCH(N$128,ArchetypeDemand!$I$4:$AH$4,0)),ArchetypeDemand!$F$106:$F$150,$F159)*'SHWLP-Det'!$R$8</f>
        <v>0</v>
      </c>
      <c r="O159" s="1138">
        <f>SUMIFS(INDEX(ArchetypeDemand!$I$106:$AH$150,,MATCH(O$128,ArchetypeDemand!$I$4:$AH$4,0)),ArchetypeDemand!$F$106:$F$150,$F159)*'SHWLP-Det'!$R$8</f>
        <v>0</v>
      </c>
      <c r="P159" s="1138">
        <f>SUMIFS(INDEX(ArchetypeDemand!$I$106:$AH$150,,MATCH(P$128,ArchetypeDemand!$I$4:$AH$4,0)),ArchetypeDemand!$F$106:$F$150,$F159)*'SHWLP-Det'!$R$8</f>
        <v>0</v>
      </c>
      <c r="Q159" s="1138">
        <f>SUMIFS(INDEX(ArchetypeDemand!$I$106:$AH$150,,MATCH(Q$128,ArchetypeDemand!$I$4:$AH$4,0)),ArchetypeDemand!$F$106:$F$150,$F159)*'SHWLP-Det'!$R$8</f>
        <v>0</v>
      </c>
      <c r="R159" s="1138">
        <f>SUMIFS(INDEX(ArchetypeDemand!$I$106:$AH$150,,MATCH(R$128,ArchetypeDemand!$I$4:$AH$4,0)),ArchetypeDemand!$F$106:$F$150,$F159)*'SHWLP-Det'!$R$8</f>
        <v>0</v>
      </c>
      <c r="S159" s="1138">
        <f>SUMIFS(INDEX(ArchetypeDemand!$I$106:$AH$150,,MATCH(S$128,ArchetypeDemand!$I$4:$AH$4,0)),ArchetypeDemand!$F$106:$F$150,$F159)*'SHWLP-Det'!$R$8</f>
        <v>0</v>
      </c>
      <c r="T159" s="1138">
        <f>SUMIFS(INDEX(ArchetypeDemand!$I$106:$AH$150,,MATCH(T$128,ArchetypeDemand!$I$4:$AH$4,0)),ArchetypeDemand!$F$106:$F$150,$F159)*'SHWLP-Det'!$R$8</f>
        <v>0</v>
      </c>
      <c r="U159" s="1138">
        <f>SUMIFS(INDEX(ArchetypeDemand!$I$106:$AH$150,,MATCH(U$128,ArchetypeDemand!$I$4:$AH$4,0)),ArchetypeDemand!$F$106:$F$150,$F159)*'SHWLP-Det'!$R$8</f>
        <v>0</v>
      </c>
      <c r="V159" s="1138">
        <f>SUMIFS(INDEX(ArchetypeDemand!$I$106:$AH$150,,MATCH(V$128,ArchetypeDemand!$I$4:$AH$4,0)),ArchetypeDemand!$F$106:$F$150,$F159)*'SHWLP-Det'!$R$8</f>
        <v>0</v>
      </c>
      <c r="W159" s="1138">
        <f>SUMIFS(INDEX(ArchetypeDemand!$I$106:$AH$150,,MATCH(W$128,ArchetypeDemand!$I$4:$AH$4,0)),ArchetypeDemand!$F$106:$F$150,$F159)*'SHWLP-Det'!$R$8</f>
        <v>0</v>
      </c>
      <c r="X159" s="1138">
        <f>SUMIFS(INDEX(ArchetypeDemand!$I$106:$AH$150,,MATCH(X$128,ArchetypeDemand!$I$4:$AH$4,0)),ArchetypeDemand!$F$106:$F$150,$F159)*'SHWLP-Det'!$R$8</f>
        <v>0</v>
      </c>
      <c r="Y159" s="1138">
        <f>SUMIFS(INDEX(ArchetypeDemand!$I$106:$AH$150,,MATCH(Y$128,ArchetypeDemand!$I$4:$AH$4,0)),ArchetypeDemand!$F$106:$F$150,$F159)*'SHWLP-Det'!$R$8</f>
        <v>0</v>
      </c>
      <c r="Z159" s="1138">
        <f>SUMIFS(INDEX(ArchetypeDemand!$I$106:$AH$150,,MATCH(Z$128,ArchetypeDemand!$I$4:$AH$4,0)),ArchetypeDemand!$F$106:$F$150,$F159)*'SHWLP-Det'!$R$8</f>
        <v>0</v>
      </c>
      <c r="AA159" s="1138">
        <f>SUMIFS(INDEX(ArchetypeDemand!$I$106:$AH$150,,MATCH(AA$128,ArchetypeDemand!$I$4:$AH$4,0)),ArchetypeDemand!$F$106:$F$150,$F159)*'SHWLP-Det'!$R$8</f>
        <v>0</v>
      </c>
      <c r="AB159" s="1138">
        <f>SUMIFS(INDEX(ArchetypeDemand!$I$106:$AH$150,,MATCH(AB$128,ArchetypeDemand!$I$4:$AH$4,0)),ArchetypeDemand!$F$106:$F$150,$F159)*'SHWLP-Det'!$R$8</f>
        <v>0</v>
      </c>
      <c r="AC159" s="1138">
        <f>SUMIFS(INDEX(ArchetypeDemand!$I$106:$AH$150,,MATCH(AC$128,ArchetypeDemand!$I$4:$AH$4,0)),ArchetypeDemand!$F$106:$F$150,$F159)*'SHWLP-Det'!$R$8</f>
        <v>0</v>
      </c>
      <c r="AD159" s="1138">
        <f>SUMIFS(INDEX(ArchetypeDemand!$I$106:$AH$150,,MATCH(AD$128,ArchetypeDemand!$I$4:$AH$4,0)),ArchetypeDemand!$F$106:$F$150,$F159)*'SHWLP-Det'!$R$8</f>
        <v>0</v>
      </c>
      <c r="AE159" s="1138">
        <f>SUMIFS(INDEX(ArchetypeDemand!$I$106:$AH$150,,MATCH(AE$128,ArchetypeDemand!$I$4:$AH$4,0)),ArchetypeDemand!$F$106:$F$150,$F159)*'SHWLP-Det'!$R$8</f>
        <v>0</v>
      </c>
      <c r="AF159" s="1138">
        <f>SUMIFS(INDEX(ArchetypeDemand!$I$106:$AH$150,,MATCH(AF$128,ArchetypeDemand!$I$4:$AH$4,0)),ArchetypeDemand!$F$106:$F$150,$F159)*'SHWLP-Det'!$R$8</f>
        <v>0</v>
      </c>
    </row>
    <row r="160" spans="3:32" ht="13.5" thickBot="1">
      <c r="C160" s="1141" t="s">
        <v>1236</v>
      </c>
      <c r="D160" s="1141" t="s">
        <v>1094</v>
      </c>
      <c r="E160" s="1141" t="s">
        <v>830</v>
      </c>
      <c r="F160" s="1141" t="s">
        <v>938</v>
      </c>
      <c r="G160" s="1141">
        <f>SUM(ArchetypeDemand!I106:I150)*'SHWLP-Det'!$R$34</f>
        <v>8.2316497623164425E-5</v>
      </c>
      <c r="H160" s="1141">
        <f>SUM(ArchetypeDemand!J106:J150)*'SHWLP-Det'!$R$34</f>
        <v>4.2736658429397295E-4</v>
      </c>
      <c r="I160" s="1141">
        <f>SUM(ArchetypeDemand!K106:K150)*'SHWLP-Det'!$R$34</f>
        <v>2.306148242264622E-4</v>
      </c>
      <c r="J160" s="1141">
        <f>SUM(ArchetypeDemand!L106:L150)*'SHWLP-Det'!$R$34</f>
        <v>1.5898165638330542E-4</v>
      </c>
      <c r="K160" s="1141">
        <f>SUM(ArchetypeDemand!M106:M150)*'SHWLP-Det'!$R$34</f>
        <v>1.2400825079627486E-4</v>
      </c>
      <c r="L160" s="1141">
        <f>SUM(ArchetypeDemand!N106:N150)*'SHWLP-Det'!$R$34</f>
        <v>7.3960076420522908E-5</v>
      </c>
      <c r="M160" s="1141">
        <f>SUM(ArchetypeDemand!O106:O150)*'SHWLP-Det'!$R$34</f>
        <v>1.4357432567411256E-4</v>
      </c>
      <c r="N160" s="1141">
        <f>SUM(ArchetypeDemand!P106:P150)*'SHWLP-Det'!$R$34</f>
        <v>2.612034944995046E-4</v>
      </c>
      <c r="O160" s="1141">
        <f>SUM(ArchetypeDemand!Q106:Q150)*'SHWLP-Det'!$R$34</f>
        <v>1.2150145179013921E-4</v>
      </c>
      <c r="P160" s="1141">
        <f>SUM(ArchetypeDemand!R106:R150)*'SHWLP-Det'!$R$34</f>
        <v>1.2802109977767383E-4</v>
      </c>
      <c r="Q160" s="1141">
        <f>SUM(ArchetypeDemand!S106:S150)*'SHWLP-Det'!$R$34</f>
        <v>2.578109155505351E-4</v>
      </c>
      <c r="R160" s="1141">
        <f>SUM(ArchetypeDemand!T106:T150)*'SHWLP-Det'!$R$34</f>
        <v>1.7144821082863026E-4</v>
      </c>
      <c r="S160" s="1141">
        <f>SUM(ArchetypeDemand!U106:U150)*'SHWLP-Det'!$R$34</f>
        <v>1.9954340094275325E-4</v>
      </c>
      <c r="T160" s="1141">
        <f>SUM(ArchetypeDemand!V106:V150)*'SHWLP-Det'!$R$34</f>
        <v>6.7504989188655652E-4</v>
      </c>
      <c r="U160" s="1141">
        <f>SUM(ArchetypeDemand!W106:W150)*'SHWLP-Det'!$R$34</f>
        <v>2.7682271400181289E-4</v>
      </c>
      <c r="V160" s="1141">
        <f>SUM(ArchetypeDemand!X106:X150)*'SHWLP-Det'!$R$34</f>
        <v>2.4923103598777487E-4</v>
      </c>
      <c r="W160" s="1141">
        <f>SUM(ArchetypeDemand!Y106:Y150)*'SHWLP-Det'!$R$34</f>
        <v>2.660810089598977E-4</v>
      </c>
      <c r="X160" s="1141">
        <f>SUM(ArchetypeDemand!Z106:Z150)*'SHWLP-Det'!$R$34</f>
        <v>1.4567435841794459E-4</v>
      </c>
      <c r="Y160" s="1141">
        <f>SUM(ArchetypeDemand!AA106:AA150)*'SHWLP-Det'!$R$34</f>
        <v>4.2138070572818906E-4</v>
      </c>
      <c r="Z160" s="1141">
        <f>SUM(ArchetypeDemand!AB106:AB150)*'SHWLP-Det'!$R$34</f>
        <v>6.9259067082879936E-5</v>
      </c>
      <c r="AA160" s="1141">
        <f>SUM(ArchetypeDemand!AC106:AC150)*'SHWLP-Det'!$R$34</f>
        <v>2.6405881660425141E-4</v>
      </c>
      <c r="AB160" s="1141">
        <f>SUM(ArchetypeDemand!AD106:AD150)*'SHWLP-Det'!$R$34</f>
        <v>1.3759483638205443E-4</v>
      </c>
      <c r="AC160" s="1141">
        <f>SUM(ArchetypeDemand!AE106:AE150)*'SHWLP-Det'!$R$34</f>
        <v>1.1029975468288492E-4</v>
      </c>
      <c r="AD160" s="1141">
        <f>SUM(ArchetypeDemand!AF106:AF150)*'SHWLP-Det'!$R$34</f>
        <v>1.3789072426251137E-4</v>
      </c>
      <c r="AE160" s="1141">
        <f>SUM(ArchetypeDemand!AG106:AG150)*'SHWLP-Det'!$R$34</f>
        <v>3.1001630735479909E-4</v>
      </c>
      <c r="AF160" s="1141">
        <f>SUM(ArchetypeDemand!AH106:AH150)*'SHWLP-Det'!$R$34</f>
        <v>1.0771918681543732E-4</v>
      </c>
    </row>
    <row r="161" spans="3:32" ht="15">
      <c r="C161" s="1137" t="s">
        <v>1214</v>
      </c>
      <c r="D161" s="1137"/>
      <c r="E161" s="1137"/>
      <c r="F161" s="1137"/>
      <c r="G161" s="1137"/>
      <c r="H161" s="1137"/>
      <c r="I161" s="1137"/>
      <c r="J161" s="1137"/>
      <c r="K161" s="1137"/>
      <c r="L161" s="1137"/>
      <c r="M161" s="1137"/>
      <c r="N161" s="1137"/>
      <c r="O161" s="1137"/>
      <c r="P161" s="1137"/>
      <c r="Q161" s="1137"/>
      <c r="R161" s="1137"/>
      <c r="S161" s="1137"/>
      <c r="T161" s="1137"/>
      <c r="U161" s="1137"/>
      <c r="V161" s="1137"/>
      <c r="W161" s="1137"/>
      <c r="X161" s="1137"/>
      <c r="Y161" s="1137"/>
      <c r="Z161" s="1137"/>
      <c r="AA161" s="1137"/>
      <c r="AB161" s="1137"/>
      <c r="AC161" s="1137"/>
      <c r="AD161" s="1137"/>
      <c r="AE161" s="1137"/>
      <c r="AF161" s="1137"/>
    </row>
    <row r="162" spans="3:32">
      <c r="C162" s="1145" t="s">
        <v>1237</v>
      </c>
      <c r="D162" s="1134" t="s">
        <v>1094</v>
      </c>
      <c r="E162" s="1134" t="s">
        <v>832</v>
      </c>
      <c r="F162" s="1134" t="s">
        <v>1224</v>
      </c>
      <c r="G162" s="1134">
        <f>SUMIFS(INDEX(ArchetypeDemand!$I$106:$AH$150,,MATCH(G$128,ArchetypeDemand!$I$4:$AH$4,0)),ArchetypeDemand!$F$106:$F$150,$F162)*'SHWLP-Det'!$R$9</f>
        <v>0</v>
      </c>
      <c r="H162" s="1134">
        <f>SUMIFS(INDEX(ArchetypeDemand!$I$106:$AH$150,,MATCH(H$128,ArchetypeDemand!$I$4:$AH$4,0)),ArchetypeDemand!$F$106:$F$150,$F162)*'SHWLP-Det'!$R$9</f>
        <v>0</v>
      </c>
      <c r="I162" s="1134">
        <f>SUMIFS(INDEX(ArchetypeDemand!$I$106:$AH$150,,MATCH(I$128,ArchetypeDemand!$I$4:$AH$4,0)),ArchetypeDemand!$F$106:$F$150,$F162)*'SHWLP-Det'!$R$9</f>
        <v>0</v>
      </c>
      <c r="J162" s="1134">
        <f>SUMIFS(INDEX(ArchetypeDemand!$I$106:$AH$150,,MATCH(J$128,ArchetypeDemand!$I$4:$AH$4,0)),ArchetypeDemand!$F$106:$F$150,$F162)*'SHWLP-Det'!$R$9</f>
        <v>0</v>
      </c>
      <c r="K162" s="1134">
        <f>SUMIFS(INDEX(ArchetypeDemand!$I$106:$AH$150,,MATCH(K$128,ArchetypeDemand!$I$4:$AH$4,0)),ArchetypeDemand!$F$106:$F$150,$F162)*'SHWLP-Det'!$R$9</f>
        <v>0</v>
      </c>
      <c r="L162" s="1134">
        <f>SUMIFS(INDEX(ArchetypeDemand!$I$106:$AH$150,,MATCH(L$128,ArchetypeDemand!$I$4:$AH$4,0)),ArchetypeDemand!$F$106:$F$150,$F162)*'SHWLP-Det'!$R$9</f>
        <v>0</v>
      </c>
      <c r="M162" s="1134">
        <f>SUMIFS(INDEX(ArchetypeDemand!$I$106:$AH$150,,MATCH(M$128,ArchetypeDemand!$I$4:$AH$4,0)),ArchetypeDemand!$F$106:$F$150,$F162)*'SHWLP-Det'!$R$9</f>
        <v>0</v>
      </c>
      <c r="N162" s="1134">
        <f>SUMIFS(INDEX(ArchetypeDemand!$I$106:$AH$150,,MATCH(N$128,ArchetypeDemand!$I$4:$AH$4,0)),ArchetypeDemand!$F$106:$F$150,$F162)*'SHWLP-Det'!$R$9</f>
        <v>0</v>
      </c>
      <c r="O162" s="1134">
        <f>SUMIFS(INDEX(ArchetypeDemand!$I$106:$AH$150,,MATCH(O$128,ArchetypeDemand!$I$4:$AH$4,0)),ArchetypeDemand!$F$106:$F$150,$F162)*'SHWLP-Det'!$R$9</f>
        <v>0</v>
      </c>
      <c r="P162" s="1134">
        <f>SUMIFS(INDEX(ArchetypeDemand!$I$106:$AH$150,,MATCH(P$128,ArchetypeDemand!$I$4:$AH$4,0)),ArchetypeDemand!$F$106:$F$150,$F162)*'SHWLP-Det'!$R$9</f>
        <v>0</v>
      </c>
      <c r="Q162" s="1134">
        <f>SUMIFS(INDEX(ArchetypeDemand!$I$106:$AH$150,,MATCH(Q$128,ArchetypeDemand!$I$4:$AH$4,0)),ArchetypeDemand!$F$106:$F$150,$F162)*'SHWLP-Det'!$R$9</f>
        <v>0</v>
      </c>
      <c r="R162" s="1134">
        <f>SUMIFS(INDEX(ArchetypeDemand!$I$106:$AH$150,,MATCH(R$128,ArchetypeDemand!$I$4:$AH$4,0)),ArchetypeDemand!$F$106:$F$150,$F162)*'SHWLP-Det'!$R$9</f>
        <v>0</v>
      </c>
      <c r="S162" s="1134">
        <f>SUMIFS(INDEX(ArchetypeDemand!$I$106:$AH$150,,MATCH(S$128,ArchetypeDemand!$I$4:$AH$4,0)),ArchetypeDemand!$F$106:$F$150,$F162)*'SHWLP-Det'!$R$9</f>
        <v>0</v>
      </c>
      <c r="T162" s="1134">
        <f>SUMIFS(INDEX(ArchetypeDemand!$I$106:$AH$150,,MATCH(T$128,ArchetypeDemand!$I$4:$AH$4,0)),ArchetypeDemand!$F$106:$F$150,$F162)*'SHWLP-Det'!$R$9</f>
        <v>0</v>
      </c>
      <c r="U162" s="1134">
        <f>SUMIFS(INDEX(ArchetypeDemand!$I$106:$AH$150,,MATCH(U$128,ArchetypeDemand!$I$4:$AH$4,0)),ArchetypeDemand!$F$106:$F$150,$F162)*'SHWLP-Det'!$R$9</f>
        <v>0</v>
      </c>
      <c r="V162" s="1134">
        <f>SUMIFS(INDEX(ArchetypeDemand!$I$106:$AH$150,,MATCH(V$128,ArchetypeDemand!$I$4:$AH$4,0)),ArchetypeDemand!$F$106:$F$150,$F162)*'SHWLP-Det'!$R$9</f>
        <v>0</v>
      </c>
      <c r="W162" s="1134">
        <f>SUMIFS(INDEX(ArchetypeDemand!$I$106:$AH$150,,MATCH(W$128,ArchetypeDemand!$I$4:$AH$4,0)),ArchetypeDemand!$F$106:$F$150,$F162)*'SHWLP-Det'!$R$9</f>
        <v>0</v>
      </c>
      <c r="X162" s="1134">
        <f>SUMIFS(INDEX(ArchetypeDemand!$I$106:$AH$150,,MATCH(X$128,ArchetypeDemand!$I$4:$AH$4,0)),ArchetypeDemand!$F$106:$F$150,$F162)*'SHWLP-Det'!$R$9</f>
        <v>0</v>
      </c>
      <c r="Y162" s="1134">
        <f>SUMIFS(INDEX(ArchetypeDemand!$I$106:$AH$150,,MATCH(Y$128,ArchetypeDemand!$I$4:$AH$4,0)),ArchetypeDemand!$F$106:$F$150,$F162)*'SHWLP-Det'!$R$9</f>
        <v>0</v>
      </c>
      <c r="Z162" s="1134">
        <f>SUMIFS(INDEX(ArchetypeDemand!$I$106:$AH$150,,MATCH(Z$128,ArchetypeDemand!$I$4:$AH$4,0)),ArchetypeDemand!$F$106:$F$150,$F162)*'SHWLP-Det'!$R$9</f>
        <v>0</v>
      </c>
      <c r="AA162" s="1134">
        <f>SUMIFS(INDEX(ArchetypeDemand!$I$106:$AH$150,,MATCH(AA$128,ArchetypeDemand!$I$4:$AH$4,0)),ArchetypeDemand!$F$106:$F$150,$F162)*'SHWLP-Det'!$R$9</f>
        <v>0</v>
      </c>
      <c r="AB162" s="1134">
        <f>SUMIFS(INDEX(ArchetypeDemand!$I$106:$AH$150,,MATCH(AB$128,ArchetypeDemand!$I$4:$AH$4,0)),ArchetypeDemand!$F$106:$F$150,$F162)*'SHWLP-Det'!$R$9</f>
        <v>0</v>
      </c>
      <c r="AC162" s="1134">
        <f>SUMIFS(INDEX(ArchetypeDemand!$I$106:$AH$150,,MATCH(AC$128,ArchetypeDemand!$I$4:$AH$4,0)),ArchetypeDemand!$F$106:$F$150,$F162)*'SHWLP-Det'!$R$9</f>
        <v>0</v>
      </c>
      <c r="AD162" s="1134">
        <f>SUMIFS(INDEX(ArchetypeDemand!$I$106:$AH$150,,MATCH(AD$128,ArchetypeDemand!$I$4:$AH$4,0)),ArchetypeDemand!$F$106:$F$150,$F162)*'SHWLP-Det'!$R$9</f>
        <v>0</v>
      </c>
      <c r="AE162" s="1134">
        <f>SUMIFS(INDEX(ArchetypeDemand!$I$106:$AH$150,,MATCH(AE$128,ArchetypeDemand!$I$4:$AH$4,0)),ArchetypeDemand!$F$106:$F$150,$F162)*'SHWLP-Det'!$R$9</f>
        <v>0</v>
      </c>
      <c r="AF162" s="1134">
        <f>SUMIFS(INDEX(ArchetypeDemand!$I$106:$AH$150,,MATCH(AF$128,ArchetypeDemand!$I$4:$AH$4,0)),ArchetypeDemand!$F$106:$F$150,$F162)*'SHWLP-Det'!$R$9</f>
        <v>0</v>
      </c>
    </row>
    <row r="163" spans="3:32">
      <c r="C163" s="1136" t="s">
        <v>1237</v>
      </c>
      <c r="D163" s="1136" t="s">
        <v>1094</v>
      </c>
      <c r="E163" s="1136" t="s">
        <v>832</v>
      </c>
      <c r="F163" s="1136" t="s">
        <v>1225</v>
      </c>
      <c r="G163" s="1136">
        <f>SUMIFS(INDEX(ArchetypeDemand!$I$106:$AH$150,,MATCH(G$128,ArchetypeDemand!$I$4:$AH$4,0)),ArchetypeDemand!$F$106:$F$150,$F163)*'SHWLP-Det'!$R$9</f>
        <v>0</v>
      </c>
      <c r="H163" s="1136">
        <f>SUMIFS(INDEX(ArchetypeDemand!$I$106:$AH$150,,MATCH(H$128,ArchetypeDemand!$I$4:$AH$4,0)),ArchetypeDemand!$F$106:$F$150,$F163)*'SHWLP-Det'!$R$9</f>
        <v>0</v>
      </c>
      <c r="I163" s="1136">
        <f>SUMIFS(INDEX(ArchetypeDemand!$I$106:$AH$150,,MATCH(I$128,ArchetypeDemand!$I$4:$AH$4,0)),ArchetypeDemand!$F$106:$F$150,$F163)*'SHWLP-Det'!$R$9</f>
        <v>0</v>
      </c>
      <c r="J163" s="1136">
        <f>SUMIFS(INDEX(ArchetypeDemand!$I$106:$AH$150,,MATCH(J$128,ArchetypeDemand!$I$4:$AH$4,0)),ArchetypeDemand!$F$106:$F$150,$F163)*'SHWLP-Det'!$R$9</f>
        <v>0</v>
      </c>
      <c r="K163" s="1136">
        <f>SUMIFS(INDEX(ArchetypeDemand!$I$106:$AH$150,,MATCH(K$128,ArchetypeDemand!$I$4:$AH$4,0)),ArchetypeDemand!$F$106:$F$150,$F163)*'SHWLP-Det'!$R$9</f>
        <v>0</v>
      </c>
      <c r="L163" s="1136">
        <f>SUMIFS(INDEX(ArchetypeDemand!$I$106:$AH$150,,MATCH(L$128,ArchetypeDemand!$I$4:$AH$4,0)),ArchetypeDemand!$F$106:$F$150,$F163)*'SHWLP-Det'!$R$9</f>
        <v>0</v>
      </c>
      <c r="M163" s="1136">
        <f>SUMIFS(INDEX(ArchetypeDemand!$I$106:$AH$150,,MATCH(M$128,ArchetypeDemand!$I$4:$AH$4,0)),ArchetypeDemand!$F$106:$F$150,$F163)*'SHWLP-Det'!$R$9</f>
        <v>0</v>
      </c>
      <c r="N163" s="1136">
        <f>SUMIFS(INDEX(ArchetypeDemand!$I$106:$AH$150,,MATCH(N$128,ArchetypeDemand!$I$4:$AH$4,0)),ArchetypeDemand!$F$106:$F$150,$F163)*'SHWLP-Det'!$R$9</f>
        <v>0</v>
      </c>
      <c r="O163" s="1136">
        <f>SUMIFS(INDEX(ArchetypeDemand!$I$106:$AH$150,,MATCH(O$128,ArchetypeDemand!$I$4:$AH$4,0)),ArchetypeDemand!$F$106:$F$150,$F163)*'SHWLP-Det'!$R$9</f>
        <v>0</v>
      </c>
      <c r="P163" s="1136">
        <f>SUMIFS(INDEX(ArchetypeDemand!$I$106:$AH$150,,MATCH(P$128,ArchetypeDemand!$I$4:$AH$4,0)),ArchetypeDemand!$F$106:$F$150,$F163)*'SHWLP-Det'!$R$9</f>
        <v>0</v>
      </c>
      <c r="Q163" s="1136">
        <f>SUMIFS(INDEX(ArchetypeDemand!$I$106:$AH$150,,MATCH(Q$128,ArchetypeDemand!$I$4:$AH$4,0)),ArchetypeDemand!$F$106:$F$150,$F163)*'SHWLP-Det'!$R$9</f>
        <v>0</v>
      </c>
      <c r="R163" s="1136">
        <f>SUMIFS(INDEX(ArchetypeDemand!$I$106:$AH$150,,MATCH(R$128,ArchetypeDemand!$I$4:$AH$4,0)),ArchetypeDemand!$F$106:$F$150,$F163)*'SHWLP-Det'!$R$9</f>
        <v>0</v>
      </c>
      <c r="S163" s="1136">
        <f>SUMIFS(INDEX(ArchetypeDemand!$I$106:$AH$150,,MATCH(S$128,ArchetypeDemand!$I$4:$AH$4,0)),ArchetypeDemand!$F$106:$F$150,$F163)*'SHWLP-Det'!$R$9</f>
        <v>0</v>
      </c>
      <c r="T163" s="1136">
        <f>SUMIFS(INDEX(ArchetypeDemand!$I$106:$AH$150,,MATCH(T$128,ArchetypeDemand!$I$4:$AH$4,0)),ArchetypeDemand!$F$106:$F$150,$F163)*'SHWLP-Det'!$R$9</f>
        <v>0</v>
      </c>
      <c r="U163" s="1136">
        <f>SUMIFS(INDEX(ArchetypeDemand!$I$106:$AH$150,,MATCH(U$128,ArchetypeDemand!$I$4:$AH$4,0)),ArchetypeDemand!$F$106:$F$150,$F163)*'SHWLP-Det'!$R$9</f>
        <v>0</v>
      </c>
      <c r="V163" s="1136">
        <f>SUMIFS(INDEX(ArchetypeDemand!$I$106:$AH$150,,MATCH(V$128,ArchetypeDemand!$I$4:$AH$4,0)),ArchetypeDemand!$F$106:$F$150,$F163)*'SHWLP-Det'!$R$9</f>
        <v>0</v>
      </c>
      <c r="W163" s="1136">
        <f>SUMIFS(INDEX(ArchetypeDemand!$I$106:$AH$150,,MATCH(W$128,ArchetypeDemand!$I$4:$AH$4,0)),ArchetypeDemand!$F$106:$F$150,$F163)*'SHWLP-Det'!$R$9</f>
        <v>0</v>
      </c>
      <c r="X163" s="1136">
        <f>SUMIFS(INDEX(ArchetypeDemand!$I$106:$AH$150,,MATCH(X$128,ArchetypeDemand!$I$4:$AH$4,0)),ArchetypeDemand!$F$106:$F$150,$F163)*'SHWLP-Det'!$R$9</f>
        <v>0</v>
      </c>
      <c r="Y163" s="1136">
        <f>SUMIFS(INDEX(ArchetypeDemand!$I$106:$AH$150,,MATCH(Y$128,ArchetypeDemand!$I$4:$AH$4,0)),ArchetypeDemand!$F$106:$F$150,$F163)*'SHWLP-Det'!$R$9</f>
        <v>0</v>
      </c>
      <c r="Z163" s="1136">
        <f>SUMIFS(INDEX(ArchetypeDemand!$I$106:$AH$150,,MATCH(Z$128,ArchetypeDemand!$I$4:$AH$4,0)),ArchetypeDemand!$F$106:$F$150,$F163)*'SHWLP-Det'!$R$9</f>
        <v>0</v>
      </c>
      <c r="AA163" s="1136">
        <f>SUMIFS(INDEX(ArchetypeDemand!$I$106:$AH$150,,MATCH(AA$128,ArchetypeDemand!$I$4:$AH$4,0)),ArchetypeDemand!$F$106:$F$150,$F163)*'SHWLP-Det'!$R$9</f>
        <v>0</v>
      </c>
      <c r="AB163" s="1136">
        <f>SUMIFS(INDEX(ArchetypeDemand!$I$106:$AH$150,,MATCH(AB$128,ArchetypeDemand!$I$4:$AH$4,0)),ArchetypeDemand!$F$106:$F$150,$F163)*'SHWLP-Det'!$R$9</f>
        <v>0</v>
      </c>
      <c r="AC163" s="1136">
        <f>SUMIFS(INDEX(ArchetypeDemand!$I$106:$AH$150,,MATCH(AC$128,ArchetypeDemand!$I$4:$AH$4,0)),ArchetypeDemand!$F$106:$F$150,$F163)*'SHWLP-Det'!$R$9</f>
        <v>0</v>
      </c>
      <c r="AD163" s="1136">
        <f>SUMIFS(INDEX(ArchetypeDemand!$I$106:$AH$150,,MATCH(AD$128,ArchetypeDemand!$I$4:$AH$4,0)),ArchetypeDemand!$F$106:$F$150,$F163)*'SHWLP-Det'!$R$9</f>
        <v>0</v>
      </c>
      <c r="AE163" s="1136">
        <f>SUMIFS(INDEX(ArchetypeDemand!$I$106:$AH$150,,MATCH(AE$128,ArchetypeDemand!$I$4:$AH$4,0)),ArchetypeDemand!$F$106:$F$150,$F163)*'SHWLP-Det'!$R$9</f>
        <v>0</v>
      </c>
      <c r="AF163" s="1136">
        <f>SUMIFS(INDEX(ArchetypeDemand!$I$106:$AH$150,,MATCH(AF$128,ArchetypeDemand!$I$4:$AH$4,0)),ArchetypeDemand!$F$106:$F$150,$F163)*'SHWLP-Det'!$R$9</f>
        <v>0</v>
      </c>
    </row>
    <row r="164" spans="3:32">
      <c r="C164" s="1134" t="s">
        <v>1237</v>
      </c>
      <c r="D164" s="1134" t="s">
        <v>1094</v>
      </c>
      <c r="E164" s="1134" t="s">
        <v>832</v>
      </c>
      <c r="F164" s="1134" t="s">
        <v>1226</v>
      </c>
      <c r="G164" s="1134">
        <f>SUMIFS(INDEX(ArchetypeDemand!$I$106:$AH$150,,MATCH(G$128,ArchetypeDemand!$I$4:$AH$4,0)),ArchetypeDemand!$F$106:$F$150,$F164)*'SHWLP-Det'!$R$9</f>
        <v>0</v>
      </c>
      <c r="H164" s="1134">
        <f>SUMIFS(INDEX(ArchetypeDemand!$I$106:$AH$150,,MATCH(H$128,ArchetypeDemand!$I$4:$AH$4,0)),ArchetypeDemand!$F$106:$F$150,$F164)*'SHWLP-Det'!$R$9</f>
        <v>0</v>
      </c>
      <c r="I164" s="1134">
        <f>SUMIFS(INDEX(ArchetypeDemand!$I$106:$AH$150,,MATCH(I$128,ArchetypeDemand!$I$4:$AH$4,0)),ArchetypeDemand!$F$106:$F$150,$F164)*'SHWLP-Det'!$R$9</f>
        <v>0</v>
      </c>
      <c r="J164" s="1134">
        <f>SUMIFS(INDEX(ArchetypeDemand!$I$106:$AH$150,,MATCH(J$128,ArchetypeDemand!$I$4:$AH$4,0)),ArchetypeDemand!$F$106:$F$150,$F164)*'SHWLP-Det'!$R$9</f>
        <v>0</v>
      </c>
      <c r="K164" s="1134">
        <f>SUMIFS(INDEX(ArchetypeDemand!$I$106:$AH$150,,MATCH(K$128,ArchetypeDemand!$I$4:$AH$4,0)),ArchetypeDemand!$F$106:$F$150,$F164)*'SHWLP-Det'!$R$9</f>
        <v>0</v>
      </c>
      <c r="L164" s="1134">
        <f>SUMIFS(INDEX(ArchetypeDemand!$I$106:$AH$150,,MATCH(L$128,ArchetypeDemand!$I$4:$AH$4,0)),ArchetypeDemand!$F$106:$F$150,$F164)*'SHWLP-Det'!$R$9</f>
        <v>0</v>
      </c>
      <c r="M164" s="1134">
        <f>SUMIFS(INDEX(ArchetypeDemand!$I$106:$AH$150,,MATCH(M$128,ArchetypeDemand!$I$4:$AH$4,0)),ArchetypeDemand!$F$106:$F$150,$F164)*'SHWLP-Det'!$R$9</f>
        <v>0</v>
      </c>
      <c r="N164" s="1134">
        <f>SUMIFS(INDEX(ArchetypeDemand!$I$106:$AH$150,,MATCH(N$128,ArchetypeDemand!$I$4:$AH$4,0)),ArchetypeDemand!$F$106:$F$150,$F164)*'SHWLP-Det'!$R$9</f>
        <v>0</v>
      </c>
      <c r="O164" s="1134">
        <f>SUMIFS(INDEX(ArchetypeDemand!$I$106:$AH$150,,MATCH(O$128,ArchetypeDemand!$I$4:$AH$4,0)),ArchetypeDemand!$F$106:$F$150,$F164)*'SHWLP-Det'!$R$9</f>
        <v>0</v>
      </c>
      <c r="P164" s="1134">
        <f>SUMIFS(INDEX(ArchetypeDemand!$I$106:$AH$150,,MATCH(P$128,ArchetypeDemand!$I$4:$AH$4,0)),ArchetypeDemand!$F$106:$F$150,$F164)*'SHWLP-Det'!$R$9</f>
        <v>0</v>
      </c>
      <c r="Q164" s="1134">
        <f>SUMIFS(INDEX(ArchetypeDemand!$I$106:$AH$150,,MATCH(Q$128,ArchetypeDemand!$I$4:$AH$4,0)),ArchetypeDemand!$F$106:$F$150,$F164)*'SHWLP-Det'!$R$9</f>
        <v>0</v>
      </c>
      <c r="R164" s="1134">
        <f>SUMIFS(INDEX(ArchetypeDemand!$I$106:$AH$150,,MATCH(R$128,ArchetypeDemand!$I$4:$AH$4,0)),ArchetypeDemand!$F$106:$F$150,$F164)*'SHWLP-Det'!$R$9</f>
        <v>0</v>
      </c>
      <c r="S164" s="1134">
        <f>SUMIFS(INDEX(ArchetypeDemand!$I$106:$AH$150,,MATCH(S$128,ArchetypeDemand!$I$4:$AH$4,0)),ArchetypeDemand!$F$106:$F$150,$F164)*'SHWLP-Det'!$R$9</f>
        <v>0</v>
      </c>
      <c r="T164" s="1134">
        <f>SUMIFS(INDEX(ArchetypeDemand!$I$106:$AH$150,,MATCH(T$128,ArchetypeDemand!$I$4:$AH$4,0)),ArchetypeDemand!$F$106:$F$150,$F164)*'SHWLP-Det'!$R$9</f>
        <v>0</v>
      </c>
      <c r="U164" s="1134">
        <f>SUMIFS(INDEX(ArchetypeDemand!$I$106:$AH$150,,MATCH(U$128,ArchetypeDemand!$I$4:$AH$4,0)),ArchetypeDemand!$F$106:$F$150,$F164)*'SHWLP-Det'!$R$9</f>
        <v>0</v>
      </c>
      <c r="V164" s="1134">
        <f>SUMIFS(INDEX(ArchetypeDemand!$I$106:$AH$150,,MATCH(V$128,ArchetypeDemand!$I$4:$AH$4,0)),ArchetypeDemand!$F$106:$F$150,$F164)*'SHWLP-Det'!$R$9</f>
        <v>0</v>
      </c>
      <c r="W164" s="1134">
        <f>SUMIFS(INDEX(ArchetypeDemand!$I$106:$AH$150,,MATCH(W$128,ArchetypeDemand!$I$4:$AH$4,0)),ArchetypeDemand!$F$106:$F$150,$F164)*'SHWLP-Det'!$R$9</f>
        <v>0</v>
      </c>
      <c r="X164" s="1134">
        <f>SUMIFS(INDEX(ArchetypeDemand!$I$106:$AH$150,,MATCH(X$128,ArchetypeDemand!$I$4:$AH$4,0)),ArchetypeDemand!$F$106:$F$150,$F164)*'SHWLP-Det'!$R$9</f>
        <v>0</v>
      </c>
      <c r="Y164" s="1134">
        <f>SUMIFS(INDEX(ArchetypeDemand!$I$106:$AH$150,,MATCH(Y$128,ArchetypeDemand!$I$4:$AH$4,0)),ArchetypeDemand!$F$106:$F$150,$F164)*'SHWLP-Det'!$R$9</f>
        <v>0</v>
      </c>
      <c r="Z164" s="1134">
        <f>SUMIFS(INDEX(ArchetypeDemand!$I$106:$AH$150,,MATCH(Z$128,ArchetypeDemand!$I$4:$AH$4,0)),ArchetypeDemand!$F$106:$F$150,$F164)*'SHWLP-Det'!$R$9</f>
        <v>0</v>
      </c>
      <c r="AA164" s="1134">
        <f>SUMIFS(INDEX(ArchetypeDemand!$I$106:$AH$150,,MATCH(AA$128,ArchetypeDemand!$I$4:$AH$4,0)),ArchetypeDemand!$F$106:$F$150,$F164)*'SHWLP-Det'!$R$9</f>
        <v>0</v>
      </c>
      <c r="AB164" s="1134">
        <f>SUMIFS(INDEX(ArchetypeDemand!$I$106:$AH$150,,MATCH(AB$128,ArchetypeDemand!$I$4:$AH$4,0)),ArchetypeDemand!$F$106:$F$150,$F164)*'SHWLP-Det'!$R$9</f>
        <v>0</v>
      </c>
      <c r="AC164" s="1134">
        <f>SUMIFS(INDEX(ArchetypeDemand!$I$106:$AH$150,,MATCH(AC$128,ArchetypeDemand!$I$4:$AH$4,0)),ArchetypeDemand!$F$106:$F$150,$F164)*'SHWLP-Det'!$R$9</f>
        <v>0</v>
      </c>
      <c r="AD164" s="1134">
        <f>SUMIFS(INDEX(ArchetypeDemand!$I$106:$AH$150,,MATCH(AD$128,ArchetypeDemand!$I$4:$AH$4,0)),ArchetypeDemand!$F$106:$F$150,$F164)*'SHWLP-Det'!$R$9</f>
        <v>0</v>
      </c>
      <c r="AE164" s="1134">
        <f>SUMIFS(INDEX(ArchetypeDemand!$I$106:$AH$150,,MATCH(AE$128,ArchetypeDemand!$I$4:$AH$4,0)),ArchetypeDemand!$F$106:$F$150,$F164)*'SHWLP-Det'!$R$9</f>
        <v>0</v>
      </c>
      <c r="AF164" s="1134">
        <f>SUMIFS(INDEX(ArchetypeDemand!$I$106:$AH$150,,MATCH(AF$128,ArchetypeDemand!$I$4:$AH$4,0)),ArchetypeDemand!$F$106:$F$150,$F164)*'SHWLP-Det'!$R$9</f>
        <v>0</v>
      </c>
    </row>
    <row r="165" spans="3:32">
      <c r="C165" s="1136" t="s">
        <v>1237</v>
      </c>
      <c r="D165" s="1136" t="s">
        <v>1094</v>
      </c>
      <c r="E165" s="1136" t="s">
        <v>832</v>
      </c>
      <c r="F165" s="1136" t="s">
        <v>1227</v>
      </c>
      <c r="G165" s="1136">
        <f>SUMIFS(INDEX(ArchetypeDemand!$I$106:$AH$150,,MATCH(G$128,ArchetypeDemand!$I$4:$AH$4,0)),ArchetypeDemand!$F$106:$F$150,$F165)*'SHWLP-Det'!$R$9</f>
        <v>0</v>
      </c>
      <c r="H165" s="1136">
        <f>SUMIFS(INDEX(ArchetypeDemand!$I$106:$AH$150,,MATCH(H$128,ArchetypeDemand!$I$4:$AH$4,0)),ArchetypeDemand!$F$106:$F$150,$F165)*'SHWLP-Det'!$R$9</f>
        <v>0</v>
      </c>
      <c r="I165" s="1136">
        <f>SUMIFS(INDEX(ArchetypeDemand!$I$106:$AH$150,,MATCH(I$128,ArchetypeDemand!$I$4:$AH$4,0)),ArchetypeDemand!$F$106:$F$150,$F165)*'SHWLP-Det'!$R$9</f>
        <v>0</v>
      </c>
      <c r="J165" s="1136">
        <f>SUMIFS(INDEX(ArchetypeDemand!$I$106:$AH$150,,MATCH(J$128,ArchetypeDemand!$I$4:$AH$4,0)),ArchetypeDemand!$F$106:$F$150,$F165)*'SHWLP-Det'!$R$9</f>
        <v>0</v>
      </c>
      <c r="K165" s="1136">
        <f>SUMIFS(INDEX(ArchetypeDemand!$I$106:$AH$150,,MATCH(K$128,ArchetypeDemand!$I$4:$AH$4,0)),ArchetypeDemand!$F$106:$F$150,$F165)*'SHWLP-Det'!$R$9</f>
        <v>0</v>
      </c>
      <c r="L165" s="1136">
        <f>SUMIFS(INDEX(ArchetypeDemand!$I$106:$AH$150,,MATCH(L$128,ArchetypeDemand!$I$4:$AH$4,0)),ArchetypeDemand!$F$106:$F$150,$F165)*'SHWLP-Det'!$R$9</f>
        <v>0</v>
      </c>
      <c r="M165" s="1136">
        <f>SUMIFS(INDEX(ArchetypeDemand!$I$106:$AH$150,,MATCH(M$128,ArchetypeDemand!$I$4:$AH$4,0)),ArchetypeDemand!$F$106:$F$150,$F165)*'SHWLP-Det'!$R$9</f>
        <v>0</v>
      </c>
      <c r="N165" s="1136">
        <f>SUMIFS(INDEX(ArchetypeDemand!$I$106:$AH$150,,MATCH(N$128,ArchetypeDemand!$I$4:$AH$4,0)),ArchetypeDemand!$F$106:$F$150,$F165)*'SHWLP-Det'!$R$9</f>
        <v>0</v>
      </c>
      <c r="O165" s="1136">
        <f>SUMIFS(INDEX(ArchetypeDemand!$I$106:$AH$150,,MATCH(O$128,ArchetypeDemand!$I$4:$AH$4,0)),ArchetypeDemand!$F$106:$F$150,$F165)*'SHWLP-Det'!$R$9</f>
        <v>0</v>
      </c>
      <c r="P165" s="1136">
        <f>SUMIFS(INDEX(ArchetypeDemand!$I$106:$AH$150,,MATCH(P$128,ArchetypeDemand!$I$4:$AH$4,0)),ArchetypeDemand!$F$106:$F$150,$F165)*'SHWLP-Det'!$R$9</f>
        <v>0</v>
      </c>
      <c r="Q165" s="1136">
        <f>SUMIFS(INDEX(ArchetypeDemand!$I$106:$AH$150,,MATCH(Q$128,ArchetypeDemand!$I$4:$AH$4,0)),ArchetypeDemand!$F$106:$F$150,$F165)*'SHWLP-Det'!$R$9</f>
        <v>0</v>
      </c>
      <c r="R165" s="1136">
        <f>SUMIFS(INDEX(ArchetypeDemand!$I$106:$AH$150,,MATCH(R$128,ArchetypeDemand!$I$4:$AH$4,0)),ArchetypeDemand!$F$106:$F$150,$F165)*'SHWLP-Det'!$R$9</f>
        <v>0</v>
      </c>
      <c r="S165" s="1136">
        <f>SUMIFS(INDEX(ArchetypeDemand!$I$106:$AH$150,,MATCH(S$128,ArchetypeDemand!$I$4:$AH$4,0)),ArchetypeDemand!$F$106:$F$150,$F165)*'SHWLP-Det'!$R$9</f>
        <v>0</v>
      </c>
      <c r="T165" s="1136">
        <f>SUMIFS(INDEX(ArchetypeDemand!$I$106:$AH$150,,MATCH(T$128,ArchetypeDemand!$I$4:$AH$4,0)),ArchetypeDemand!$F$106:$F$150,$F165)*'SHWLP-Det'!$R$9</f>
        <v>0</v>
      </c>
      <c r="U165" s="1136">
        <f>SUMIFS(INDEX(ArchetypeDemand!$I$106:$AH$150,,MATCH(U$128,ArchetypeDemand!$I$4:$AH$4,0)),ArchetypeDemand!$F$106:$F$150,$F165)*'SHWLP-Det'!$R$9</f>
        <v>0</v>
      </c>
      <c r="V165" s="1136">
        <f>SUMIFS(INDEX(ArchetypeDemand!$I$106:$AH$150,,MATCH(V$128,ArchetypeDemand!$I$4:$AH$4,0)),ArchetypeDemand!$F$106:$F$150,$F165)*'SHWLP-Det'!$R$9</f>
        <v>0</v>
      </c>
      <c r="W165" s="1136">
        <f>SUMIFS(INDEX(ArchetypeDemand!$I$106:$AH$150,,MATCH(W$128,ArchetypeDemand!$I$4:$AH$4,0)),ArchetypeDemand!$F$106:$F$150,$F165)*'SHWLP-Det'!$R$9</f>
        <v>0</v>
      </c>
      <c r="X165" s="1136">
        <f>SUMIFS(INDEX(ArchetypeDemand!$I$106:$AH$150,,MATCH(X$128,ArchetypeDemand!$I$4:$AH$4,0)),ArchetypeDemand!$F$106:$F$150,$F165)*'SHWLP-Det'!$R$9</f>
        <v>0</v>
      </c>
      <c r="Y165" s="1136">
        <f>SUMIFS(INDEX(ArchetypeDemand!$I$106:$AH$150,,MATCH(Y$128,ArchetypeDemand!$I$4:$AH$4,0)),ArchetypeDemand!$F$106:$F$150,$F165)*'SHWLP-Det'!$R$9</f>
        <v>0</v>
      </c>
      <c r="Z165" s="1136">
        <f>SUMIFS(INDEX(ArchetypeDemand!$I$106:$AH$150,,MATCH(Z$128,ArchetypeDemand!$I$4:$AH$4,0)),ArchetypeDemand!$F$106:$F$150,$F165)*'SHWLP-Det'!$R$9</f>
        <v>0</v>
      </c>
      <c r="AA165" s="1136">
        <f>SUMIFS(INDEX(ArchetypeDemand!$I$106:$AH$150,,MATCH(AA$128,ArchetypeDemand!$I$4:$AH$4,0)),ArchetypeDemand!$F$106:$F$150,$F165)*'SHWLP-Det'!$R$9</f>
        <v>0</v>
      </c>
      <c r="AB165" s="1136">
        <f>SUMIFS(INDEX(ArchetypeDemand!$I$106:$AH$150,,MATCH(AB$128,ArchetypeDemand!$I$4:$AH$4,0)),ArchetypeDemand!$F$106:$F$150,$F165)*'SHWLP-Det'!$R$9</f>
        <v>0</v>
      </c>
      <c r="AC165" s="1136">
        <f>SUMIFS(INDEX(ArchetypeDemand!$I$106:$AH$150,,MATCH(AC$128,ArchetypeDemand!$I$4:$AH$4,0)),ArchetypeDemand!$F$106:$F$150,$F165)*'SHWLP-Det'!$R$9</f>
        <v>0</v>
      </c>
      <c r="AD165" s="1136">
        <f>SUMIFS(INDEX(ArchetypeDemand!$I$106:$AH$150,,MATCH(AD$128,ArchetypeDemand!$I$4:$AH$4,0)),ArchetypeDemand!$F$106:$F$150,$F165)*'SHWLP-Det'!$R$9</f>
        <v>0</v>
      </c>
      <c r="AE165" s="1136">
        <f>SUMIFS(INDEX(ArchetypeDemand!$I$106:$AH$150,,MATCH(AE$128,ArchetypeDemand!$I$4:$AH$4,0)),ArchetypeDemand!$F$106:$F$150,$F165)*'SHWLP-Det'!$R$9</f>
        <v>0</v>
      </c>
      <c r="AF165" s="1136">
        <f>SUMIFS(INDEX(ArchetypeDemand!$I$106:$AH$150,,MATCH(AF$128,ArchetypeDemand!$I$4:$AH$4,0)),ArchetypeDemand!$F$106:$F$150,$F165)*'SHWLP-Det'!$R$9</f>
        <v>0</v>
      </c>
    </row>
    <row r="166" spans="3:32">
      <c r="C166" s="1134" t="s">
        <v>1237</v>
      </c>
      <c r="D166" s="1134" t="s">
        <v>1094</v>
      </c>
      <c r="E166" s="1134" t="s">
        <v>832</v>
      </c>
      <c r="F166" s="1134" t="s">
        <v>1228</v>
      </c>
      <c r="G166" s="1134">
        <f>SUMIFS(INDEX(ArchetypeDemand!$I$106:$AH$150,,MATCH(G$128,ArchetypeDemand!$I$4:$AH$4,0)),ArchetypeDemand!$F$106:$F$150,$F166)*'SHWLP-Det'!$R$9</f>
        <v>0</v>
      </c>
      <c r="H166" s="1134">
        <f>SUMIFS(INDEX(ArchetypeDemand!$I$106:$AH$150,,MATCH(H$128,ArchetypeDemand!$I$4:$AH$4,0)),ArchetypeDemand!$F$106:$F$150,$F166)*'SHWLP-Det'!$R$9</f>
        <v>0</v>
      </c>
      <c r="I166" s="1134">
        <f>SUMIFS(INDEX(ArchetypeDemand!$I$106:$AH$150,,MATCH(I$128,ArchetypeDemand!$I$4:$AH$4,0)),ArchetypeDemand!$F$106:$F$150,$F166)*'SHWLP-Det'!$R$9</f>
        <v>0</v>
      </c>
      <c r="J166" s="1134">
        <f>SUMIFS(INDEX(ArchetypeDemand!$I$106:$AH$150,,MATCH(J$128,ArchetypeDemand!$I$4:$AH$4,0)),ArchetypeDemand!$F$106:$F$150,$F166)*'SHWLP-Det'!$R$9</f>
        <v>0</v>
      </c>
      <c r="K166" s="1134">
        <f>SUMIFS(INDEX(ArchetypeDemand!$I$106:$AH$150,,MATCH(K$128,ArchetypeDemand!$I$4:$AH$4,0)),ArchetypeDemand!$F$106:$F$150,$F166)*'SHWLP-Det'!$R$9</f>
        <v>0</v>
      </c>
      <c r="L166" s="1134">
        <f>SUMIFS(INDEX(ArchetypeDemand!$I$106:$AH$150,,MATCH(L$128,ArchetypeDemand!$I$4:$AH$4,0)),ArchetypeDemand!$F$106:$F$150,$F166)*'SHWLP-Det'!$R$9</f>
        <v>0</v>
      </c>
      <c r="M166" s="1134">
        <f>SUMIFS(INDEX(ArchetypeDemand!$I$106:$AH$150,,MATCH(M$128,ArchetypeDemand!$I$4:$AH$4,0)),ArchetypeDemand!$F$106:$F$150,$F166)*'SHWLP-Det'!$R$9</f>
        <v>0</v>
      </c>
      <c r="N166" s="1134">
        <f>SUMIFS(INDEX(ArchetypeDemand!$I$106:$AH$150,,MATCH(N$128,ArchetypeDemand!$I$4:$AH$4,0)),ArchetypeDemand!$F$106:$F$150,$F166)*'SHWLP-Det'!$R$9</f>
        <v>0</v>
      </c>
      <c r="O166" s="1134">
        <f>SUMIFS(INDEX(ArchetypeDemand!$I$106:$AH$150,,MATCH(O$128,ArchetypeDemand!$I$4:$AH$4,0)),ArchetypeDemand!$F$106:$F$150,$F166)*'SHWLP-Det'!$R$9</f>
        <v>0</v>
      </c>
      <c r="P166" s="1134">
        <f>SUMIFS(INDEX(ArchetypeDemand!$I$106:$AH$150,,MATCH(P$128,ArchetypeDemand!$I$4:$AH$4,0)),ArchetypeDemand!$F$106:$F$150,$F166)*'SHWLP-Det'!$R$9</f>
        <v>0</v>
      </c>
      <c r="Q166" s="1134">
        <f>SUMIFS(INDEX(ArchetypeDemand!$I$106:$AH$150,,MATCH(Q$128,ArchetypeDemand!$I$4:$AH$4,0)),ArchetypeDemand!$F$106:$F$150,$F166)*'SHWLP-Det'!$R$9</f>
        <v>0</v>
      </c>
      <c r="R166" s="1134">
        <f>SUMIFS(INDEX(ArchetypeDemand!$I$106:$AH$150,,MATCH(R$128,ArchetypeDemand!$I$4:$AH$4,0)),ArchetypeDemand!$F$106:$F$150,$F166)*'SHWLP-Det'!$R$9</f>
        <v>0</v>
      </c>
      <c r="S166" s="1134">
        <f>SUMIFS(INDEX(ArchetypeDemand!$I$106:$AH$150,,MATCH(S$128,ArchetypeDemand!$I$4:$AH$4,0)),ArchetypeDemand!$F$106:$F$150,$F166)*'SHWLP-Det'!$R$9</f>
        <v>0</v>
      </c>
      <c r="T166" s="1134">
        <f>SUMIFS(INDEX(ArchetypeDemand!$I$106:$AH$150,,MATCH(T$128,ArchetypeDemand!$I$4:$AH$4,0)),ArchetypeDemand!$F$106:$F$150,$F166)*'SHWLP-Det'!$R$9</f>
        <v>0</v>
      </c>
      <c r="U166" s="1134">
        <f>SUMIFS(INDEX(ArchetypeDemand!$I$106:$AH$150,,MATCH(U$128,ArchetypeDemand!$I$4:$AH$4,0)),ArchetypeDemand!$F$106:$F$150,$F166)*'SHWLP-Det'!$R$9</f>
        <v>0</v>
      </c>
      <c r="V166" s="1134">
        <f>SUMIFS(INDEX(ArchetypeDemand!$I$106:$AH$150,,MATCH(V$128,ArchetypeDemand!$I$4:$AH$4,0)),ArchetypeDemand!$F$106:$F$150,$F166)*'SHWLP-Det'!$R$9</f>
        <v>0</v>
      </c>
      <c r="W166" s="1134">
        <f>SUMIFS(INDEX(ArchetypeDemand!$I$106:$AH$150,,MATCH(W$128,ArchetypeDemand!$I$4:$AH$4,0)),ArchetypeDemand!$F$106:$F$150,$F166)*'SHWLP-Det'!$R$9</f>
        <v>0</v>
      </c>
      <c r="X166" s="1134">
        <f>SUMIFS(INDEX(ArchetypeDemand!$I$106:$AH$150,,MATCH(X$128,ArchetypeDemand!$I$4:$AH$4,0)),ArchetypeDemand!$F$106:$F$150,$F166)*'SHWLP-Det'!$R$9</f>
        <v>0</v>
      </c>
      <c r="Y166" s="1134">
        <f>SUMIFS(INDEX(ArchetypeDemand!$I$106:$AH$150,,MATCH(Y$128,ArchetypeDemand!$I$4:$AH$4,0)),ArchetypeDemand!$F$106:$F$150,$F166)*'SHWLP-Det'!$R$9</f>
        <v>0</v>
      </c>
      <c r="Z166" s="1134">
        <f>SUMIFS(INDEX(ArchetypeDemand!$I$106:$AH$150,,MATCH(Z$128,ArchetypeDemand!$I$4:$AH$4,0)),ArchetypeDemand!$F$106:$F$150,$F166)*'SHWLP-Det'!$R$9</f>
        <v>0</v>
      </c>
      <c r="AA166" s="1134">
        <f>SUMIFS(INDEX(ArchetypeDemand!$I$106:$AH$150,,MATCH(AA$128,ArchetypeDemand!$I$4:$AH$4,0)),ArchetypeDemand!$F$106:$F$150,$F166)*'SHWLP-Det'!$R$9</f>
        <v>0</v>
      </c>
      <c r="AB166" s="1134">
        <f>SUMIFS(INDEX(ArchetypeDemand!$I$106:$AH$150,,MATCH(AB$128,ArchetypeDemand!$I$4:$AH$4,0)),ArchetypeDemand!$F$106:$F$150,$F166)*'SHWLP-Det'!$R$9</f>
        <v>0</v>
      </c>
      <c r="AC166" s="1134">
        <f>SUMIFS(INDEX(ArchetypeDemand!$I$106:$AH$150,,MATCH(AC$128,ArchetypeDemand!$I$4:$AH$4,0)),ArchetypeDemand!$F$106:$F$150,$F166)*'SHWLP-Det'!$R$9</f>
        <v>0</v>
      </c>
      <c r="AD166" s="1134">
        <f>SUMIFS(INDEX(ArchetypeDemand!$I$106:$AH$150,,MATCH(AD$128,ArchetypeDemand!$I$4:$AH$4,0)),ArchetypeDemand!$F$106:$F$150,$F166)*'SHWLP-Det'!$R$9</f>
        <v>0</v>
      </c>
      <c r="AE166" s="1134">
        <f>SUMIFS(INDEX(ArchetypeDemand!$I$106:$AH$150,,MATCH(AE$128,ArchetypeDemand!$I$4:$AH$4,0)),ArchetypeDemand!$F$106:$F$150,$F166)*'SHWLP-Det'!$R$9</f>
        <v>0</v>
      </c>
      <c r="AF166" s="1134">
        <f>SUMIFS(INDEX(ArchetypeDemand!$I$106:$AH$150,,MATCH(AF$128,ArchetypeDemand!$I$4:$AH$4,0)),ArchetypeDemand!$F$106:$F$150,$F166)*'SHWLP-Det'!$R$9</f>
        <v>0</v>
      </c>
    </row>
    <row r="167" spans="3:32" ht="13.5" thickBot="1">
      <c r="C167" s="1138" t="s">
        <v>1237</v>
      </c>
      <c r="D167" s="1138" t="s">
        <v>1094</v>
      </c>
      <c r="E167" s="1138" t="s">
        <v>832</v>
      </c>
      <c r="F167" s="1138" t="s">
        <v>1229</v>
      </c>
      <c r="G167" s="1138">
        <f>SUMIFS(INDEX(ArchetypeDemand!$I$106:$AH$150,,MATCH(G$128,ArchetypeDemand!$I$4:$AH$4,0)),ArchetypeDemand!$F$106:$F$150,$F167)*'SHWLP-Det'!$R$9</f>
        <v>0</v>
      </c>
      <c r="H167" s="1138">
        <f>SUMIFS(INDEX(ArchetypeDemand!$I$106:$AH$150,,MATCH(H$128,ArchetypeDemand!$I$4:$AH$4,0)),ArchetypeDemand!$F$106:$F$150,$F167)*'SHWLP-Det'!$R$9</f>
        <v>0</v>
      </c>
      <c r="I167" s="1138">
        <f>SUMIFS(INDEX(ArchetypeDemand!$I$106:$AH$150,,MATCH(I$128,ArchetypeDemand!$I$4:$AH$4,0)),ArchetypeDemand!$F$106:$F$150,$F167)*'SHWLP-Det'!$R$9</f>
        <v>0</v>
      </c>
      <c r="J167" s="1138">
        <f>SUMIFS(INDEX(ArchetypeDemand!$I$106:$AH$150,,MATCH(J$128,ArchetypeDemand!$I$4:$AH$4,0)),ArchetypeDemand!$F$106:$F$150,$F167)*'SHWLP-Det'!$R$9</f>
        <v>0</v>
      </c>
      <c r="K167" s="1138">
        <f>SUMIFS(INDEX(ArchetypeDemand!$I$106:$AH$150,,MATCH(K$128,ArchetypeDemand!$I$4:$AH$4,0)),ArchetypeDemand!$F$106:$F$150,$F167)*'SHWLP-Det'!$R$9</f>
        <v>0</v>
      </c>
      <c r="L167" s="1138">
        <f>SUMIFS(INDEX(ArchetypeDemand!$I$106:$AH$150,,MATCH(L$128,ArchetypeDemand!$I$4:$AH$4,0)),ArchetypeDemand!$F$106:$F$150,$F167)*'SHWLP-Det'!$R$9</f>
        <v>0</v>
      </c>
      <c r="M167" s="1138">
        <f>SUMIFS(INDEX(ArchetypeDemand!$I$106:$AH$150,,MATCH(M$128,ArchetypeDemand!$I$4:$AH$4,0)),ArchetypeDemand!$F$106:$F$150,$F167)*'SHWLP-Det'!$R$9</f>
        <v>0</v>
      </c>
      <c r="N167" s="1138">
        <f>SUMIFS(INDEX(ArchetypeDemand!$I$106:$AH$150,,MATCH(N$128,ArchetypeDemand!$I$4:$AH$4,0)),ArchetypeDemand!$F$106:$F$150,$F167)*'SHWLP-Det'!$R$9</f>
        <v>0</v>
      </c>
      <c r="O167" s="1138">
        <f>SUMIFS(INDEX(ArchetypeDemand!$I$106:$AH$150,,MATCH(O$128,ArchetypeDemand!$I$4:$AH$4,0)),ArchetypeDemand!$F$106:$F$150,$F167)*'SHWLP-Det'!$R$9</f>
        <v>0</v>
      </c>
      <c r="P167" s="1138">
        <f>SUMIFS(INDEX(ArchetypeDemand!$I$106:$AH$150,,MATCH(P$128,ArchetypeDemand!$I$4:$AH$4,0)),ArchetypeDemand!$F$106:$F$150,$F167)*'SHWLP-Det'!$R$9</f>
        <v>0</v>
      </c>
      <c r="Q167" s="1138">
        <f>SUMIFS(INDEX(ArchetypeDemand!$I$106:$AH$150,,MATCH(Q$128,ArchetypeDemand!$I$4:$AH$4,0)),ArchetypeDemand!$F$106:$F$150,$F167)*'SHWLP-Det'!$R$9</f>
        <v>0</v>
      </c>
      <c r="R167" s="1138">
        <f>SUMIFS(INDEX(ArchetypeDemand!$I$106:$AH$150,,MATCH(R$128,ArchetypeDemand!$I$4:$AH$4,0)),ArchetypeDemand!$F$106:$F$150,$F167)*'SHWLP-Det'!$R$9</f>
        <v>0</v>
      </c>
      <c r="S167" s="1138">
        <f>SUMIFS(INDEX(ArchetypeDemand!$I$106:$AH$150,,MATCH(S$128,ArchetypeDemand!$I$4:$AH$4,0)),ArchetypeDemand!$F$106:$F$150,$F167)*'SHWLP-Det'!$R$9</f>
        <v>0</v>
      </c>
      <c r="T167" s="1138">
        <f>SUMIFS(INDEX(ArchetypeDemand!$I$106:$AH$150,,MATCH(T$128,ArchetypeDemand!$I$4:$AH$4,0)),ArchetypeDemand!$F$106:$F$150,$F167)*'SHWLP-Det'!$R$9</f>
        <v>0</v>
      </c>
      <c r="U167" s="1138">
        <f>SUMIFS(INDEX(ArchetypeDemand!$I$106:$AH$150,,MATCH(U$128,ArchetypeDemand!$I$4:$AH$4,0)),ArchetypeDemand!$F$106:$F$150,$F167)*'SHWLP-Det'!$R$9</f>
        <v>0</v>
      </c>
      <c r="V167" s="1138">
        <f>SUMIFS(INDEX(ArchetypeDemand!$I$106:$AH$150,,MATCH(V$128,ArchetypeDemand!$I$4:$AH$4,0)),ArchetypeDemand!$F$106:$F$150,$F167)*'SHWLP-Det'!$R$9</f>
        <v>0</v>
      </c>
      <c r="W167" s="1138">
        <f>SUMIFS(INDEX(ArchetypeDemand!$I$106:$AH$150,,MATCH(W$128,ArchetypeDemand!$I$4:$AH$4,0)),ArchetypeDemand!$F$106:$F$150,$F167)*'SHWLP-Det'!$R$9</f>
        <v>0</v>
      </c>
      <c r="X167" s="1138">
        <f>SUMIFS(INDEX(ArchetypeDemand!$I$106:$AH$150,,MATCH(X$128,ArchetypeDemand!$I$4:$AH$4,0)),ArchetypeDemand!$F$106:$F$150,$F167)*'SHWLP-Det'!$R$9</f>
        <v>0</v>
      </c>
      <c r="Y167" s="1138">
        <f>SUMIFS(INDEX(ArchetypeDemand!$I$106:$AH$150,,MATCH(Y$128,ArchetypeDemand!$I$4:$AH$4,0)),ArchetypeDemand!$F$106:$F$150,$F167)*'SHWLP-Det'!$R$9</f>
        <v>0</v>
      </c>
      <c r="Z167" s="1138">
        <f>SUMIFS(INDEX(ArchetypeDemand!$I$106:$AH$150,,MATCH(Z$128,ArchetypeDemand!$I$4:$AH$4,0)),ArchetypeDemand!$F$106:$F$150,$F167)*'SHWLP-Det'!$R$9</f>
        <v>0</v>
      </c>
      <c r="AA167" s="1138">
        <f>SUMIFS(INDEX(ArchetypeDemand!$I$106:$AH$150,,MATCH(AA$128,ArchetypeDemand!$I$4:$AH$4,0)),ArchetypeDemand!$F$106:$F$150,$F167)*'SHWLP-Det'!$R$9</f>
        <v>0</v>
      </c>
      <c r="AB167" s="1138">
        <f>SUMIFS(INDEX(ArchetypeDemand!$I$106:$AH$150,,MATCH(AB$128,ArchetypeDemand!$I$4:$AH$4,0)),ArchetypeDemand!$F$106:$F$150,$F167)*'SHWLP-Det'!$R$9</f>
        <v>0</v>
      </c>
      <c r="AC167" s="1138">
        <f>SUMIFS(INDEX(ArchetypeDemand!$I$106:$AH$150,,MATCH(AC$128,ArchetypeDemand!$I$4:$AH$4,0)),ArchetypeDemand!$F$106:$F$150,$F167)*'SHWLP-Det'!$R$9</f>
        <v>0</v>
      </c>
      <c r="AD167" s="1138">
        <f>SUMIFS(INDEX(ArchetypeDemand!$I$106:$AH$150,,MATCH(AD$128,ArchetypeDemand!$I$4:$AH$4,0)),ArchetypeDemand!$F$106:$F$150,$F167)*'SHWLP-Det'!$R$9</f>
        <v>0</v>
      </c>
      <c r="AE167" s="1138">
        <f>SUMIFS(INDEX(ArchetypeDemand!$I$106:$AH$150,,MATCH(AE$128,ArchetypeDemand!$I$4:$AH$4,0)),ArchetypeDemand!$F$106:$F$150,$F167)*'SHWLP-Det'!$R$9</f>
        <v>0</v>
      </c>
      <c r="AF167" s="1138">
        <f>SUMIFS(INDEX(ArchetypeDemand!$I$106:$AH$150,,MATCH(AF$128,ArchetypeDemand!$I$4:$AH$4,0)),ArchetypeDemand!$F$106:$F$150,$F167)*'SHWLP-Det'!$R$9</f>
        <v>0</v>
      </c>
    </row>
    <row r="168" spans="3:32" ht="13.5" thickBot="1">
      <c r="C168" s="1141" t="s">
        <v>1238</v>
      </c>
      <c r="D168" s="1141" t="s">
        <v>1094</v>
      </c>
      <c r="E168" s="1141" t="s">
        <v>832</v>
      </c>
      <c r="F168" s="1141" t="s">
        <v>938</v>
      </c>
      <c r="G168" s="1141">
        <f>SUM(ArchetypeDemand!I106:I150)*'SHWLP-Det'!$R$35</f>
        <v>8.2316497623164425E-5</v>
      </c>
      <c r="H168" s="1141">
        <f>SUM(ArchetypeDemand!J106:J150)*'SHWLP-Det'!$R$35</f>
        <v>4.2736658429397295E-4</v>
      </c>
      <c r="I168" s="1141">
        <f>SUM(ArchetypeDemand!K106:K150)*'SHWLP-Det'!$R$35</f>
        <v>2.306148242264622E-4</v>
      </c>
      <c r="J168" s="1141">
        <f>SUM(ArchetypeDemand!L106:L150)*'SHWLP-Det'!$R$35</f>
        <v>1.5898165638330542E-4</v>
      </c>
      <c r="K168" s="1141">
        <f>SUM(ArchetypeDemand!M106:M150)*'SHWLP-Det'!$R$35</f>
        <v>1.2400825079627486E-4</v>
      </c>
      <c r="L168" s="1141">
        <f>SUM(ArchetypeDemand!N106:N150)*'SHWLP-Det'!$R$35</f>
        <v>7.3960076420522908E-5</v>
      </c>
      <c r="M168" s="1141">
        <f>SUM(ArchetypeDemand!O106:O150)*'SHWLP-Det'!$R$35</f>
        <v>1.4357432567411256E-4</v>
      </c>
      <c r="N168" s="1141">
        <f>SUM(ArchetypeDemand!P106:P150)*'SHWLP-Det'!$R$35</f>
        <v>2.612034944995046E-4</v>
      </c>
      <c r="O168" s="1141">
        <f>SUM(ArchetypeDemand!Q106:Q150)*'SHWLP-Det'!$R$35</f>
        <v>1.2150145179013921E-4</v>
      </c>
      <c r="P168" s="1141">
        <f>SUM(ArchetypeDemand!R106:R150)*'SHWLP-Det'!$R$35</f>
        <v>1.2802109977767383E-4</v>
      </c>
      <c r="Q168" s="1141">
        <f>SUM(ArchetypeDemand!S106:S150)*'SHWLP-Det'!$R$35</f>
        <v>2.578109155505351E-4</v>
      </c>
      <c r="R168" s="1141">
        <f>SUM(ArchetypeDemand!T106:T150)*'SHWLP-Det'!$R$35</f>
        <v>1.7144821082863026E-4</v>
      </c>
      <c r="S168" s="1141">
        <f>SUM(ArchetypeDemand!U106:U150)*'SHWLP-Det'!$R$35</f>
        <v>1.9954340094275325E-4</v>
      </c>
      <c r="T168" s="1141">
        <f>SUM(ArchetypeDemand!V106:V150)*'SHWLP-Det'!$R$35</f>
        <v>6.7504989188655652E-4</v>
      </c>
      <c r="U168" s="1141">
        <f>SUM(ArchetypeDemand!W106:W150)*'SHWLP-Det'!$R$35</f>
        <v>2.7682271400181289E-4</v>
      </c>
      <c r="V168" s="1141">
        <f>SUM(ArchetypeDemand!X106:X150)*'SHWLP-Det'!$R$35</f>
        <v>2.4923103598777487E-4</v>
      </c>
      <c r="W168" s="1141">
        <f>SUM(ArchetypeDemand!Y106:Y150)*'SHWLP-Det'!$R$35</f>
        <v>2.660810089598977E-4</v>
      </c>
      <c r="X168" s="1141">
        <f>SUM(ArchetypeDemand!Z106:Z150)*'SHWLP-Det'!$R$35</f>
        <v>1.4567435841794459E-4</v>
      </c>
      <c r="Y168" s="1141">
        <f>SUM(ArchetypeDemand!AA106:AA150)*'SHWLP-Det'!$R$35</f>
        <v>4.2138070572818906E-4</v>
      </c>
      <c r="Z168" s="1141">
        <f>SUM(ArchetypeDemand!AB106:AB150)*'SHWLP-Det'!$R$35</f>
        <v>6.9259067082879936E-5</v>
      </c>
      <c r="AA168" s="1141">
        <f>SUM(ArchetypeDemand!AC106:AC150)*'SHWLP-Det'!$R$35</f>
        <v>2.6405881660425141E-4</v>
      </c>
      <c r="AB168" s="1141">
        <f>SUM(ArchetypeDemand!AD106:AD150)*'SHWLP-Det'!$R$35</f>
        <v>1.3759483638205443E-4</v>
      </c>
      <c r="AC168" s="1141">
        <f>SUM(ArchetypeDemand!AE106:AE150)*'SHWLP-Det'!$R$35</f>
        <v>1.1029975468288492E-4</v>
      </c>
      <c r="AD168" s="1141">
        <f>SUM(ArchetypeDemand!AF106:AF150)*'SHWLP-Det'!$R$35</f>
        <v>1.3789072426251137E-4</v>
      </c>
      <c r="AE168" s="1141">
        <f>SUM(ArchetypeDemand!AG106:AG150)*'SHWLP-Det'!$R$35</f>
        <v>3.1001630735479909E-4</v>
      </c>
      <c r="AF168" s="1141">
        <f>SUM(ArchetypeDemand!AH106:AH150)*'SHWLP-Det'!$R$35</f>
        <v>1.0771918681543732E-4</v>
      </c>
    </row>
    <row r="169" spans="3:32" ht="15">
      <c r="C169" s="1137" t="s">
        <v>1215</v>
      </c>
      <c r="D169" s="1137"/>
      <c r="E169" s="1137"/>
      <c r="F169" s="1137"/>
      <c r="G169" s="1137"/>
      <c r="H169" s="1137"/>
      <c r="I169" s="1137"/>
      <c r="J169" s="1137"/>
      <c r="K169" s="1137"/>
      <c r="L169" s="1137"/>
      <c r="M169" s="1137"/>
      <c r="N169" s="1137"/>
      <c r="O169" s="1137"/>
      <c r="P169" s="1137"/>
      <c r="Q169" s="1137"/>
      <c r="R169" s="1137"/>
      <c r="S169" s="1137"/>
      <c r="T169" s="1137"/>
      <c r="U169" s="1137"/>
      <c r="V169" s="1137"/>
      <c r="W169" s="1137"/>
      <c r="X169" s="1137"/>
      <c r="Y169" s="1137"/>
      <c r="Z169" s="1137"/>
      <c r="AA169" s="1137"/>
      <c r="AB169" s="1137"/>
      <c r="AC169" s="1137"/>
      <c r="AD169" s="1137"/>
      <c r="AE169" s="1137"/>
      <c r="AF169" s="1137"/>
    </row>
    <row r="170" spans="3:32">
      <c r="C170" s="1145" t="s">
        <v>1239</v>
      </c>
      <c r="D170" s="1134" t="s">
        <v>1094</v>
      </c>
      <c r="E170" s="1134" t="s">
        <v>835</v>
      </c>
      <c r="F170" s="1134" t="s">
        <v>1224</v>
      </c>
      <c r="G170" s="1134">
        <f>SUMIFS(INDEX(ArchetypeDemand!$I$106:$AH$150,,MATCH(G$128,ArchetypeDemand!$I$4:$AH$4,0)),ArchetypeDemand!$F$106:$F$150,$F170)*'SHWLP-Det'!$R$10</f>
        <v>3.4531814155496381E-2</v>
      </c>
      <c r="H170" s="1134">
        <f>SUMIFS(INDEX(ArchetypeDemand!$I$106:$AH$150,,MATCH(H$128,ArchetypeDemand!$I$4:$AH$4,0)),ArchetypeDemand!$F$106:$F$150,$F170)*'SHWLP-Det'!$R$10</f>
        <v>0.26984791066765368</v>
      </c>
      <c r="I170" s="1134">
        <f>SUMIFS(INDEX(ArchetypeDemand!$I$106:$AH$150,,MATCH(I$128,ArchetypeDemand!$I$4:$AH$4,0)),ArchetypeDemand!$F$106:$F$150,$F170)*'SHWLP-Det'!$R$10</f>
        <v>0.14665415635348045</v>
      </c>
      <c r="J170" s="1134">
        <f>SUMIFS(INDEX(ArchetypeDemand!$I$106:$AH$150,,MATCH(J$128,ArchetypeDemand!$I$4:$AH$4,0)),ArchetypeDemand!$F$106:$F$150,$F170)*'SHWLP-Det'!$R$10</f>
        <v>6.6284613966098971E-2</v>
      </c>
      <c r="K170" s="1134">
        <f>SUMIFS(INDEX(ArchetypeDemand!$I$106:$AH$150,,MATCH(K$128,ArchetypeDemand!$I$4:$AH$4,0)),ArchetypeDemand!$F$106:$F$150,$F170)*'SHWLP-Det'!$R$10</f>
        <v>5.0485557500243111E-2</v>
      </c>
      <c r="L170" s="1134">
        <f>SUMIFS(INDEX(ArchetypeDemand!$I$106:$AH$150,,MATCH(L$128,ArchetypeDemand!$I$4:$AH$4,0)),ArchetypeDemand!$F$106:$F$150,$F170)*'SHWLP-Det'!$R$10</f>
        <v>2.6932541768627371E-2</v>
      </c>
      <c r="M170" s="1134">
        <f>SUMIFS(INDEX(ArchetypeDemand!$I$106:$AH$150,,MATCH(M$128,ArchetypeDemand!$I$4:$AH$4,0)),ArchetypeDemand!$F$106:$F$150,$F170)*'SHWLP-Det'!$R$10</f>
        <v>8.429930255889681E-2</v>
      </c>
      <c r="N170" s="1134">
        <f>SUMIFS(INDEX(ArchetypeDemand!$I$106:$AH$150,,MATCH(N$128,ArchetypeDemand!$I$4:$AH$4,0)),ArchetypeDemand!$F$106:$F$150,$F170)*'SHWLP-Det'!$R$10</f>
        <v>0.15618253940171789</v>
      </c>
      <c r="O170" s="1134">
        <f>SUMIFS(INDEX(ArchetypeDemand!$I$106:$AH$150,,MATCH(O$128,ArchetypeDemand!$I$4:$AH$4,0)),ArchetypeDemand!$F$106:$F$150,$F170)*'SHWLP-Det'!$R$10</f>
        <v>4.1091792948348034E-2</v>
      </c>
      <c r="P170" s="1134">
        <f>SUMIFS(INDEX(ArchetypeDemand!$I$106:$AH$150,,MATCH(P$128,ArchetypeDemand!$I$4:$AH$4,0)),ArchetypeDemand!$F$106:$F$150,$F170)*'SHWLP-Det'!$R$10</f>
        <v>4.8293712525971359E-2</v>
      </c>
      <c r="Q170" s="1134">
        <f>SUMIFS(INDEX(ArchetypeDemand!$I$106:$AH$150,,MATCH(Q$128,ArchetypeDemand!$I$4:$AH$4,0)),ArchetypeDemand!$F$106:$F$150,$F170)*'SHWLP-Det'!$R$10</f>
        <v>0.10684018043369277</v>
      </c>
      <c r="R170" s="1134">
        <f>SUMIFS(INDEX(ArchetypeDemand!$I$106:$AH$150,,MATCH(R$128,ArchetypeDemand!$I$4:$AH$4,0)),ArchetypeDemand!$F$106:$F$150,$F170)*'SHWLP-Det'!$R$10</f>
        <v>8.9968027087355296E-2</v>
      </c>
      <c r="S170" s="1134">
        <f>SUMIFS(INDEX(ArchetypeDemand!$I$106:$AH$150,,MATCH(S$128,ArchetypeDemand!$I$4:$AH$4,0)),ArchetypeDemand!$F$106:$F$150,$F170)*'SHWLP-Det'!$R$10</f>
        <v>7.3867537906852604E-2</v>
      </c>
      <c r="T170" s="1134">
        <f>SUMIFS(INDEX(ArchetypeDemand!$I$106:$AH$150,,MATCH(T$128,ArchetypeDemand!$I$4:$AH$4,0)),ArchetypeDemand!$F$106:$F$150,$F170)*'SHWLP-Det'!$R$10</f>
        <v>0.41461222192028852</v>
      </c>
      <c r="U170" s="1134">
        <f>SUMIFS(INDEX(ArchetypeDemand!$I$106:$AH$150,,MATCH(U$128,ArchetypeDemand!$I$4:$AH$4,0)),ArchetypeDemand!$F$106:$F$150,$F170)*'SHWLP-Det'!$R$10</f>
        <v>0.1347971099666444</v>
      </c>
      <c r="V170" s="1134">
        <f>SUMIFS(INDEX(ArchetypeDemand!$I$106:$AH$150,,MATCH(V$128,ArchetypeDemand!$I$4:$AH$4,0)),ArchetypeDemand!$F$106:$F$150,$F170)*'SHWLP-Det'!$R$10</f>
        <v>9.272658879319931E-2</v>
      </c>
      <c r="W170" s="1134">
        <f>SUMIFS(INDEX(ArchetypeDemand!$I$106:$AH$150,,MATCH(W$128,ArchetypeDemand!$I$4:$AH$4,0)),ArchetypeDemand!$F$106:$F$150,$F170)*'SHWLP-Det'!$R$10</f>
        <v>9.2291082812551384E-2</v>
      </c>
      <c r="X170" s="1134">
        <f>SUMIFS(INDEX(ArchetypeDemand!$I$106:$AH$150,,MATCH(X$128,ArchetypeDemand!$I$4:$AH$4,0)),ArchetypeDemand!$F$106:$F$150,$F170)*'SHWLP-Det'!$R$10</f>
        <v>7.2772246235726021E-2</v>
      </c>
      <c r="Y170" s="1134">
        <f>SUMIFS(INDEX(ArchetypeDemand!$I$106:$AH$150,,MATCH(Y$128,ArchetypeDemand!$I$4:$AH$4,0)),ArchetypeDemand!$F$106:$F$150,$F170)*'SHWLP-Det'!$R$10</f>
        <v>0.20204315611013382</v>
      </c>
      <c r="Z170" s="1134">
        <f>SUMIFS(INDEX(ArchetypeDemand!$I$106:$AH$150,,MATCH(Z$128,ArchetypeDemand!$I$4:$AH$4,0)),ArchetypeDemand!$F$106:$F$150,$F170)*'SHWLP-Det'!$R$10</f>
        <v>2.0158479458985353E-2</v>
      </c>
      <c r="AA170" s="1134">
        <f>SUMIFS(INDEX(ArchetypeDemand!$I$106:$AH$150,,MATCH(AA$128,ArchetypeDemand!$I$4:$AH$4,0)),ArchetypeDemand!$F$106:$F$150,$F170)*'SHWLP-Det'!$R$10</f>
        <v>9.1264472288449805E-2</v>
      </c>
      <c r="AB170" s="1134">
        <f>SUMIFS(INDEX(ArchetypeDemand!$I$106:$AH$150,,MATCH(AB$128,ArchetypeDemand!$I$4:$AH$4,0)),ArchetypeDemand!$F$106:$F$150,$F170)*'SHWLP-Det'!$R$10</f>
        <v>4.1679735464808111E-2</v>
      </c>
      <c r="AC170" s="1134">
        <f>SUMIFS(INDEX(ArchetypeDemand!$I$106:$AH$150,,MATCH(AC$128,ArchetypeDemand!$I$4:$AH$4,0)),ArchetypeDemand!$F$106:$F$150,$F170)*'SHWLP-Det'!$R$10</f>
        <v>4.5546963596004006E-2</v>
      </c>
      <c r="AD170" s="1134">
        <f>SUMIFS(INDEX(ArchetypeDemand!$I$106:$AH$150,,MATCH(AD$128,ArchetypeDemand!$I$4:$AH$4,0)),ArchetypeDemand!$F$106:$F$150,$F170)*'SHWLP-Det'!$R$10</f>
        <v>6.0347017116937962E-2</v>
      </c>
      <c r="AE170" s="1134">
        <f>SUMIFS(INDEX(ArchetypeDemand!$I$106:$AH$150,,MATCH(AE$128,ArchetypeDemand!$I$4:$AH$4,0)),ArchetypeDemand!$F$106:$F$150,$F170)*'SHWLP-Det'!$R$10</f>
        <v>0.11333912086152195</v>
      </c>
      <c r="AF170" s="1134">
        <f>SUMIFS(INDEX(ArchetypeDemand!$I$106:$AH$150,,MATCH(AF$128,ArchetypeDemand!$I$4:$AH$4,0)),ArchetypeDemand!$F$106:$F$150,$F170)*'SHWLP-Det'!$R$10</f>
        <v>4.9737766088008756E-2</v>
      </c>
    </row>
    <row r="171" spans="3:32">
      <c r="C171" s="1136" t="s">
        <v>1239</v>
      </c>
      <c r="D171" s="1136" t="s">
        <v>1094</v>
      </c>
      <c r="E171" s="1136" t="s">
        <v>835</v>
      </c>
      <c r="F171" s="1136" t="s">
        <v>1225</v>
      </c>
      <c r="G171" s="1136">
        <f>SUMIFS(INDEX(ArchetypeDemand!$I$106:$AH$150,,MATCH(G$128,ArchetypeDemand!$I$4:$AH$4,0)),ArchetypeDemand!$F$106:$F$150,$F171)*'SHWLP-Det'!$R$10</f>
        <v>8.4905148346094819E-2</v>
      </c>
      <c r="H171" s="1136">
        <f>SUMIFS(INDEX(ArchetypeDemand!$I$106:$AH$150,,MATCH(H$128,ArchetypeDemand!$I$4:$AH$4,0)),ArchetypeDemand!$F$106:$F$150,$F171)*'SHWLP-Det'!$R$10</f>
        <v>0.39523763669313255</v>
      </c>
      <c r="I171" s="1136">
        <f>SUMIFS(INDEX(ArchetypeDemand!$I$106:$AH$150,,MATCH(I$128,ArchetypeDemand!$I$4:$AH$4,0)),ArchetypeDemand!$F$106:$F$150,$F171)*'SHWLP-Det'!$R$10</f>
        <v>0.26931489868404312</v>
      </c>
      <c r="J171" s="1136">
        <f>SUMIFS(INDEX(ArchetypeDemand!$I$106:$AH$150,,MATCH(J$128,ArchetypeDemand!$I$4:$AH$4,0)),ArchetypeDemand!$F$106:$F$150,$F171)*'SHWLP-Det'!$R$10</f>
        <v>0.16148144732869046</v>
      </c>
      <c r="K171" s="1136">
        <f>SUMIFS(INDEX(ArchetypeDemand!$I$106:$AH$150,,MATCH(K$128,ArchetypeDemand!$I$4:$AH$4,0)),ArchetypeDemand!$F$106:$F$150,$F171)*'SHWLP-Det'!$R$10</f>
        <v>0.13742196152944988</v>
      </c>
      <c r="L171" s="1136">
        <f>SUMIFS(INDEX(ArchetypeDemand!$I$106:$AH$150,,MATCH(L$128,ArchetypeDemand!$I$4:$AH$4,0)),ArchetypeDemand!$F$106:$F$150,$F171)*'SHWLP-Det'!$R$10</f>
        <v>7.3754802892354004E-2</v>
      </c>
      <c r="M171" s="1136">
        <f>SUMIFS(INDEX(ArchetypeDemand!$I$106:$AH$150,,MATCH(M$128,ArchetypeDemand!$I$4:$AH$4,0)),ArchetypeDemand!$F$106:$F$150,$F171)*'SHWLP-Det'!$R$10</f>
        <v>0.1604732881427135</v>
      </c>
      <c r="N171" s="1136">
        <f>SUMIFS(INDEX(ArchetypeDemand!$I$106:$AH$150,,MATCH(N$128,ArchetypeDemand!$I$4:$AH$4,0)),ArchetypeDemand!$F$106:$F$150,$F171)*'SHWLP-Det'!$R$10</f>
        <v>0.29328326663375515</v>
      </c>
      <c r="O171" s="1136">
        <f>SUMIFS(INDEX(ArchetypeDemand!$I$106:$AH$150,,MATCH(O$128,ArchetypeDemand!$I$4:$AH$4,0)),ArchetypeDemand!$F$106:$F$150,$F171)*'SHWLP-Det'!$R$10</f>
        <v>0.12440921639120918</v>
      </c>
      <c r="P171" s="1136">
        <f>SUMIFS(INDEX(ArchetypeDemand!$I$106:$AH$150,,MATCH(P$128,ArchetypeDemand!$I$4:$AH$4,0)),ArchetypeDemand!$F$106:$F$150,$F171)*'SHWLP-Det'!$R$10</f>
        <v>0.13114796489588379</v>
      </c>
      <c r="Q171" s="1136">
        <f>SUMIFS(INDEX(ArchetypeDemand!$I$106:$AH$150,,MATCH(Q$128,ArchetypeDemand!$I$4:$AH$4,0)),ArchetypeDemand!$F$106:$F$150,$F171)*'SHWLP-Det'!$R$10</f>
        <v>0.29780606731863879</v>
      </c>
      <c r="R171" s="1136">
        <f>SUMIFS(INDEX(ArchetypeDemand!$I$106:$AH$150,,MATCH(R$128,ArchetypeDemand!$I$4:$AH$4,0)),ArchetypeDemand!$F$106:$F$150,$F171)*'SHWLP-Det'!$R$10</f>
        <v>0.16766510643999921</v>
      </c>
      <c r="S171" s="1136">
        <f>SUMIFS(INDEX(ArchetypeDemand!$I$106:$AH$150,,MATCH(S$128,ArchetypeDemand!$I$4:$AH$4,0)),ArchetypeDemand!$F$106:$F$150,$F171)*'SHWLP-Det'!$R$10</f>
        <v>0.22051937739711674</v>
      </c>
      <c r="T171" s="1136">
        <f>SUMIFS(INDEX(ArchetypeDemand!$I$106:$AH$150,,MATCH(T$128,ArchetypeDemand!$I$4:$AH$4,0)),ArchetypeDemand!$F$106:$F$150,$F171)*'SHWLP-Det'!$R$10</f>
        <v>0.72475733710295265</v>
      </c>
      <c r="U171" s="1136">
        <f>SUMIFS(INDEX(ArchetypeDemand!$I$106:$AH$150,,MATCH(U$128,ArchetypeDemand!$I$4:$AH$4,0)),ArchetypeDemand!$F$106:$F$150,$F171)*'SHWLP-Det'!$R$10</f>
        <v>0.28322144845427238</v>
      </c>
      <c r="V171" s="1136">
        <f>SUMIFS(INDEX(ArchetypeDemand!$I$106:$AH$150,,MATCH(V$128,ArchetypeDemand!$I$4:$AH$4,0)),ArchetypeDemand!$F$106:$F$150,$F171)*'SHWLP-Det'!$R$10</f>
        <v>0.2525799886465121</v>
      </c>
      <c r="W171" s="1136">
        <f>SUMIFS(INDEX(ArchetypeDemand!$I$106:$AH$150,,MATCH(W$128,ArchetypeDemand!$I$4:$AH$4,0)),ArchetypeDemand!$F$106:$F$150,$F171)*'SHWLP-Det'!$R$10</f>
        <v>0.2582944895925619</v>
      </c>
      <c r="X171" s="1136">
        <f>SUMIFS(INDEX(ArchetypeDemand!$I$106:$AH$150,,MATCH(X$128,ArchetypeDemand!$I$4:$AH$4,0)),ArchetypeDemand!$F$106:$F$150,$F171)*'SHWLP-Det'!$R$10</f>
        <v>0.16533245610948144</v>
      </c>
      <c r="Y171" s="1136">
        <f>SUMIFS(INDEX(ArchetypeDemand!$I$106:$AH$150,,MATCH(Y$128,ArchetypeDemand!$I$4:$AH$4,0)),ArchetypeDemand!$F$106:$F$150,$F171)*'SHWLP-Det'!$R$10</f>
        <v>0.45558936404666506</v>
      </c>
      <c r="Z171" s="1136">
        <f>SUMIFS(INDEX(ArchetypeDemand!$I$106:$AH$150,,MATCH(Z$128,ArchetypeDemand!$I$4:$AH$4,0)),ArchetypeDemand!$F$106:$F$150,$F171)*'SHWLP-Det'!$R$10</f>
        <v>7.2625754763193814E-2</v>
      </c>
      <c r="AA171" s="1136">
        <f>SUMIFS(INDEX(ArchetypeDemand!$I$106:$AH$150,,MATCH(AA$128,ArchetypeDemand!$I$4:$AH$4,0)),ArchetypeDemand!$F$106:$F$150,$F171)*'SHWLP-Det'!$R$10</f>
        <v>0.2623261231581957</v>
      </c>
      <c r="AB171" s="1136">
        <f>SUMIFS(INDEX(ArchetypeDemand!$I$106:$AH$150,,MATCH(AB$128,ArchetypeDemand!$I$4:$AH$4,0)),ArchetypeDemand!$F$106:$F$150,$F171)*'SHWLP-Det'!$R$10</f>
        <v>0.14139332143456765</v>
      </c>
      <c r="AC171" s="1136">
        <f>SUMIFS(INDEX(ArchetypeDemand!$I$106:$AH$150,,MATCH(AC$128,ArchetypeDemand!$I$4:$AH$4,0)),ArchetypeDemand!$F$106:$F$150,$F171)*'SHWLP-Det'!$R$10</f>
        <v>0.10352446601422524</v>
      </c>
      <c r="AD171" s="1136">
        <f>SUMIFS(INDEX(ArchetypeDemand!$I$106:$AH$150,,MATCH(AD$128,ArchetypeDemand!$I$4:$AH$4,0)),ArchetypeDemand!$F$106:$F$150,$F171)*'SHWLP-Det'!$R$10</f>
        <v>0.15595831300474006</v>
      </c>
      <c r="AE171" s="1136">
        <f>SUMIFS(INDEX(ArchetypeDemand!$I$106:$AH$150,,MATCH(AE$128,ArchetypeDemand!$I$4:$AH$4,0)),ArchetypeDemand!$F$106:$F$150,$F171)*'SHWLP-Det'!$R$10</f>
        <v>0.34176649523046981</v>
      </c>
      <c r="AF171" s="1136">
        <f>SUMIFS(INDEX(ArchetypeDemand!$I$106:$AH$150,,MATCH(AF$128,ArchetypeDemand!$I$4:$AH$4,0)),ArchetypeDemand!$F$106:$F$150,$F171)*'SHWLP-Det'!$R$10</f>
        <v>0.10549153825430857</v>
      </c>
    </row>
    <row r="172" spans="3:32">
      <c r="C172" s="1134" t="s">
        <v>1239</v>
      </c>
      <c r="D172" s="1134" t="s">
        <v>1094</v>
      </c>
      <c r="E172" s="1134" t="s">
        <v>835</v>
      </c>
      <c r="F172" s="1134" t="s">
        <v>1226</v>
      </c>
      <c r="G172" s="1134">
        <f>SUMIFS(INDEX(ArchetypeDemand!$I$106:$AH$150,,MATCH(G$128,ArchetypeDemand!$I$4:$AH$4,0)),ArchetypeDemand!$F$106:$F$150,$F172)*'SHWLP-Det'!$R$10</f>
        <v>5.760624894347903E-2</v>
      </c>
      <c r="H172" s="1134">
        <f>SUMIFS(INDEX(ArchetypeDemand!$I$106:$AH$150,,MATCH(H$128,ArchetypeDemand!$I$4:$AH$4,0)),ArchetypeDemand!$F$106:$F$150,$F172)*'SHWLP-Det'!$R$10</f>
        <v>0.28019525315566718</v>
      </c>
      <c r="I172" s="1134">
        <f>SUMIFS(INDEX(ArchetypeDemand!$I$106:$AH$150,,MATCH(I$128,ArchetypeDemand!$I$4:$AH$4,0)),ArchetypeDemand!$F$106:$F$150,$F172)*'SHWLP-Det'!$R$10</f>
        <v>0.1391944253980196</v>
      </c>
      <c r="J172" s="1134">
        <f>SUMIFS(INDEX(ArchetypeDemand!$I$106:$AH$150,,MATCH(J$128,ArchetypeDemand!$I$4:$AH$4,0)),ArchetypeDemand!$F$106:$F$150,$F172)*'SHWLP-Det'!$R$10</f>
        <v>0.11245204697198131</v>
      </c>
      <c r="K172" s="1134">
        <f>SUMIFS(INDEX(ArchetypeDemand!$I$106:$AH$150,,MATCH(K$128,ArchetypeDemand!$I$4:$AH$4,0)),ArchetypeDemand!$F$106:$F$150,$F172)*'SHWLP-Det'!$R$10</f>
        <v>8.1317894622613962E-2</v>
      </c>
      <c r="L172" s="1134">
        <f>SUMIFS(INDEX(ArchetypeDemand!$I$106:$AH$150,,MATCH(L$128,ArchetypeDemand!$I$4:$AH$4,0)),ArchetypeDemand!$F$106:$F$150,$F172)*'SHWLP-Det'!$R$10</f>
        <v>4.7245488753728367E-2</v>
      </c>
      <c r="M172" s="1134">
        <f>SUMIFS(INDEX(ArchetypeDemand!$I$106:$AH$150,,MATCH(M$128,ArchetypeDemand!$I$4:$AH$4,0)),ArchetypeDemand!$F$106:$F$150,$F172)*'SHWLP-Det'!$R$10</f>
        <v>8.6279085044145373E-2</v>
      </c>
      <c r="N172" s="1134">
        <f>SUMIFS(INDEX(ArchetypeDemand!$I$106:$AH$150,,MATCH(N$128,ArchetypeDemand!$I$4:$AH$4,0)),ArchetypeDemand!$F$106:$F$150,$F172)*'SHWLP-Det'!$R$10</f>
        <v>0.15932485973839974</v>
      </c>
      <c r="O172" s="1134">
        <f>SUMIFS(INDEX(ArchetypeDemand!$I$106:$AH$150,,MATCH(O$128,ArchetypeDemand!$I$4:$AH$4,0)),ArchetypeDemand!$F$106:$F$150,$F172)*'SHWLP-Det'!$R$10</f>
        <v>8.6532874164377341E-2</v>
      </c>
      <c r="P172" s="1134">
        <f>SUMIFS(INDEX(ArchetypeDemand!$I$106:$AH$150,,MATCH(P$128,ArchetypeDemand!$I$4:$AH$4,0)),ArchetypeDemand!$F$106:$F$150,$F172)*'SHWLP-Det'!$R$10</f>
        <v>8.5196024996895825E-2</v>
      </c>
      <c r="Q172" s="1134">
        <f>SUMIFS(INDEX(ArchetypeDemand!$I$106:$AH$150,,MATCH(Q$128,ArchetypeDemand!$I$4:$AH$4,0)),ArchetypeDemand!$F$106:$F$150,$F172)*'SHWLP-Det'!$R$10</f>
        <v>0.1852534976162625</v>
      </c>
      <c r="R172" s="1134">
        <f>SUMIFS(INDEX(ArchetypeDemand!$I$106:$AH$150,,MATCH(R$128,ArchetypeDemand!$I$4:$AH$4,0)),ArchetypeDemand!$F$106:$F$150,$F172)*'SHWLP-Det'!$R$10</f>
        <v>0.1160536138336844</v>
      </c>
      <c r="S172" s="1134">
        <f>SUMIFS(INDEX(ArchetypeDemand!$I$106:$AH$150,,MATCH(S$128,ArchetypeDemand!$I$4:$AH$4,0)),ArchetypeDemand!$F$106:$F$150,$F172)*'SHWLP-Det'!$R$10</f>
        <v>0.13167939095191153</v>
      </c>
      <c r="T172" s="1134">
        <f>SUMIFS(INDEX(ArchetypeDemand!$I$106:$AH$150,,MATCH(T$128,ArchetypeDemand!$I$4:$AH$4,0)),ArchetypeDemand!$F$106:$F$150,$F172)*'SHWLP-Det'!$R$10</f>
        <v>0.40227577283238825</v>
      </c>
      <c r="U172" s="1134">
        <f>SUMIFS(INDEX(ArchetypeDemand!$I$106:$AH$150,,MATCH(U$128,ArchetypeDemand!$I$4:$AH$4,0)),ArchetypeDemand!$F$106:$F$150,$F172)*'SHWLP-Det'!$R$10</f>
        <v>0.18912997983915322</v>
      </c>
      <c r="V172" s="1134">
        <f>SUMIFS(INDEX(ArchetypeDemand!$I$106:$AH$150,,MATCH(V$128,ArchetypeDemand!$I$4:$AH$4,0)),ArchetypeDemand!$F$106:$F$150,$F172)*'SHWLP-Det'!$R$10</f>
        <v>0.18765668368892416</v>
      </c>
      <c r="W172" s="1134">
        <f>SUMIFS(INDEX(ArchetypeDemand!$I$106:$AH$150,,MATCH(W$128,ArchetypeDemand!$I$4:$AH$4,0)),ArchetypeDemand!$F$106:$F$150,$F172)*'SHWLP-Det'!$R$10</f>
        <v>0.18869030253379182</v>
      </c>
      <c r="X172" s="1134">
        <f>SUMIFS(INDEX(ArchetypeDemand!$I$106:$AH$150,,MATCH(X$128,ArchetypeDemand!$I$4:$AH$4,0)),ArchetypeDemand!$F$106:$F$150,$F172)*'SHWLP-Det'!$R$10</f>
        <v>0.10537346843602496</v>
      </c>
      <c r="Y172" s="1134">
        <f>SUMIFS(INDEX(ArchetypeDemand!$I$106:$AH$150,,MATCH(Y$128,ArchetypeDemand!$I$4:$AH$4,0)),ArchetypeDemand!$F$106:$F$150,$F172)*'SHWLP-Det'!$R$10</f>
        <v>0.27313890435341426</v>
      </c>
      <c r="Z172" s="1134">
        <f>SUMIFS(INDEX(ArchetypeDemand!$I$106:$AH$150,,MATCH(Z$128,ArchetypeDemand!$I$4:$AH$4,0)),ArchetypeDemand!$F$106:$F$150,$F172)*'SHWLP-Det'!$R$10</f>
        <v>4.1587219267441015E-2</v>
      </c>
      <c r="AA172" s="1134">
        <f>SUMIFS(INDEX(ArchetypeDemand!$I$106:$AH$150,,MATCH(AA$128,ArchetypeDemand!$I$4:$AH$4,0)),ArchetypeDemand!$F$106:$F$150,$F172)*'SHWLP-Det'!$R$10</f>
        <v>0.18924913452107961</v>
      </c>
      <c r="AB172" s="1134">
        <f>SUMIFS(INDEX(ArchetypeDemand!$I$106:$AH$150,,MATCH(AB$128,ArchetypeDemand!$I$4:$AH$4,0)),ArchetypeDemand!$F$106:$F$150,$F172)*'SHWLP-Det'!$R$10</f>
        <v>8.7903596370442247E-2</v>
      </c>
      <c r="AC172" s="1134">
        <f>SUMIFS(INDEX(ArchetypeDemand!$I$106:$AH$150,,MATCH(AC$128,ArchetypeDemand!$I$4:$AH$4,0)),ArchetypeDemand!$F$106:$F$150,$F172)*'SHWLP-Det'!$R$10</f>
        <v>7.4343470162302416E-2</v>
      </c>
      <c r="AD172" s="1134">
        <f>SUMIFS(INDEX(ArchetypeDemand!$I$106:$AH$150,,MATCH(AD$128,ArchetypeDemand!$I$4:$AH$4,0)),ArchetypeDemand!$F$106:$F$150,$F172)*'SHWLP-Det'!$R$10</f>
        <v>8.2650718873479759E-2</v>
      </c>
      <c r="AE172" s="1134">
        <f>SUMIFS(INDEX(ArchetypeDemand!$I$106:$AH$150,,MATCH(AE$128,ArchetypeDemand!$I$4:$AH$4,0)),ArchetypeDemand!$F$106:$F$150,$F172)*'SHWLP-Det'!$R$10</f>
        <v>0.21409136916053195</v>
      </c>
      <c r="AF172" s="1134">
        <f>SUMIFS(INDEX(ArchetypeDemand!$I$106:$AH$150,,MATCH(AF$128,ArchetypeDemand!$I$4:$AH$4,0)),ArchetypeDemand!$F$106:$F$150,$F172)*'SHWLP-Det'!$R$10</f>
        <v>7.897037241206073E-2</v>
      </c>
    </row>
    <row r="173" spans="3:32">
      <c r="C173" s="1136" t="s">
        <v>1239</v>
      </c>
      <c r="D173" s="1136" t="s">
        <v>1094</v>
      </c>
      <c r="E173" s="1136" t="s">
        <v>835</v>
      </c>
      <c r="F173" s="1136" t="s">
        <v>1227</v>
      </c>
      <c r="G173" s="1136">
        <f>SUMIFS(INDEX(ArchetypeDemand!$I$106:$AH$150,,MATCH(G$128,ArchetypeDemand!$I$4:$AH$4,0)),ArchetypeDemand!$F$106:$F$150,$F173)*'SHWLP-Det'!$R$10</f>
        <v>2.4179025185173984E-2</v>
      </c>
      <c r="H173" s="1136">
        <f>SUMIFS(INDEX(ArchetypeDemand!$I$106:$AH$150,,MATCH(H$128,ArchetypeDemand!$I$4:$AH$4,0)),ArchetypeDemand!$F$106:$F$150,$F173)*'SHWLP-Det'!$R$10</f>
        <v>0.14408800656367773</v>
      </c>
      <c r="I173" s="1136">
        <f>SUMIFS(INDEX(ArchetypeDemand!$I$106:$AH$150,,MATCH(I$128,ArchetypeDemand!$I$4:$AH$4,0)),ArchetypeDemand!$F$106:$F$150,$F173)*'SHWLP-Det'!$R$10</f>
        <v>5.2689415263657134E-2</v>
      </c>
      <c r="J173" s="1136">
        <f>SUMIFS(INDEX(ArchetypeDemand!$I$106:$AH$150,,MATCH(J$128,ArchetypeDemand!$I$4:$AH$4,0)),ArchetypeDemand!$F$106:$F$150,$F173)*'SHWLP-Det'!$R$10</f>
        <v>4.9491215744684451E-2</v>
      </c>
      <c r="K173" s="1136">
        <f>SUMIFS(INDEX(ArchetypeDemand!$I$106:$AH$150,,MATCH(K$128,ArchetypeDemand!$I$4:$AH$4,0)),ArchetypeDemand!$F$106:$F$150,$F173)*'SHWLP-Det'!$R$10</f>
        <v>3.3794449713294109E-2</v>
      </c>
      <c r="L173" s="1136">
        <f>SUMIFS(INDEX(ArchetypeDemand!$I$106:$AH$150,,MATCH(L$128,ArchetypeDemand!$I$4:$AH$4,0)),ArchetypeDemand!$F$106:$F$150,$F173)*'SHWLP-Det'!$R$10</f>
        <v>2.3622744376864183E-2</v>
      </c>
      <c r="M173" s="1136">
        <f>SUMIFS(INDEX(ArchetypeDemand!$I$106:$AH$150,,MATCH(M$128,ArchetypeDemand!$I$4:$AH$4,0)),ArchetypeDemand!$F$106:$F$150,$F173)*'SHWLP-Det'!$R$10</f>
        <v>3.7997657655805442E-2</v>
      </c>
      <c r="N173" s="1136">
        <f>SUMIFS(INDEX(ArchetypeDemand!$I$106:$AH$150,,MATCH(N$128,ArchetypeDemand!$I$4:$AH$4,0)),ArchetypeDemand!$F$106:$F$150,$F173)*'SHWLP-Det'!$R$10</f>
        <v>6.2696980094019444E-2</v>
      </c>
      <c r="O173" s="1136">
        <f>SUMIFS(INDEX(ArchetypeDemand!$I$106:$AH$150,,MATCH(O$128,ArchetypeDemand!$I$4:$AH$4,0)),ArchetypeDemand!$F$106:$F$150,$F173)*'SHWLP-Det'!$R$10</f>
        <v>3.8459055184167708E-2</v>
      </c>
      <c r="P173" s="1136">
        <f>SUMIFS(INDEX(ArchetypeDemand!$I$106:$AH$150,,MATCH(P$128,ArchetypeDemand!$I$4:$AH$4,0)),ArchetypeDemand!$F$106:$F$150,$F173)*'SHWLP-Det'!$R$10</f>
        <v>3.9181394866122071E-2</v>
      </c>
      <c r="Q173" s="1136">
        <f>SUMIFS(INDEX(ArchetypeDemand!$I$106:$AH$150,,MATCH(Q$128,ArchetypeDemand!$I$4:$AH$4,0)),ArchetypeDemand!$F$106:$F$150,$F173)*'SHWLP-Det'!$R$10</f>
        <v>7.3061343278898419E-2</v>
      </c>
      <c r="R173" s="1136">
        <f>SUMIFS(INDEX(ArchetypeDemand!$I$106:$AH$150,,MATCH(R$128,ArchetypeDemand!$I$4:$AH$4,0)),ArchetypeDemand!$F$106:$F$150,$F173)*'SHWLP-Det'!$R$10</f>
        <v>5.1727083855153157E-2</v>
      </c>
      <c r="S173" s="1136">
        <f>SUMIFS(INDEX(ArchetypeDemand!$I$106:$AH$150,,MATCH(S$128,ArchetypeDemand!$I$4:$AH$4,0)),ArchetypeDemand!$F$106:$F$150,$F173)*'SHWLP-Det'!$R$10</f>
        <v>6.3986591464215287E-2</v>
      </c>
      <c r="T173" s="1136">
        <f>SUMIFS(INDEX(ArchetypeDemand!$I$106:$AH$150,,MATCH(T$128,ArchetypeDemand!$I$4:$AH$4,0)),ArchetypeDemand!$F$106:$F$150,$F173)*'SHWLP-Det'!$R$10</f>
        <v>0.17208630521164447</v>
      </c>
      <c r="U173" s="1136">
        <f>SUMIFS(INDEX(ArchetypeDemand!$I$106:$AH$150,,MATCH(U$128,ArchetypeDemand!$I$4:$AH$4,0)),ArchetypeDemand!$F$106:$F$150,$F173)*'SHWLP-Det'!$R$10</f>
        <v>8.7183628408917455E-2</v>
      </c>
      <c r="V173" s="1136">
        <f>SUMIFS(INDEX(ArchetypeDemand!$I$106:$AH$150,,MATCH(V$128,ArchetypeDemand!$I$4:$AH$4,0)),ArchetypeDemand!$F$106:$F$150,$F173)*'SHWLP-Det'!$R$10</f>
        <v>7.625624955556988E-2</v>
      </c>
      <c r="W173" s="1136">
        <f>SUMIFS(INDEX(ArchetypeDemand!$I$106:$AH$150,,MATCH(W$128,ArchetypeDemand!$I$4:$AH$4,0)),ArchetypeDemand!$F$106:$F$150,$F173)*'SHWLP-Det'!$R$10</f>
        <v>9.2727133393593994E-2</v>
      </c>
      <c r="X173" s="1136">
        <f>SUMIFS(INDEX(ArchetypeDemand!$I$106:$AH$150,,MATCH(X$128,ArchetypeDemand!$I$4:$AH$4,0)),ArchetypeDemand!$F$106:$F$150,$F173)*'SHWLP-Det'!$R$10</f>
        <v>3.4906816586131081E-2</v>
      </c>
      <c r="Y173" s="1136">
        <f>SUMIFS(INDEX(ArchetypeDemand!$I$106:$AH$150,,MATCH(Y$128,ArchetypeDemand!$I$4:$AH$4,0)),ArchetypeDemand!$F$106:$F$150,$F173)*'SHWLP-Det'!$R$10</f>
        <v>0.12312157066323738</v>
      </c>
      <c r="Z173" s="1136">
        <f>SUMIFS(INDEX(ArchetypeDemand!$I$106:$AH$150,,MATCH(Z$128,ArchetypeDemand!$I$4:$AH$4,0)),ArchetypeDemand!$F$106:$F$150,$F173)*'SHWLP-Det'!$R$10</f>
        <v>2.4024489218242823E-2</v>
      </c>
      <c r="AA173" s="1136">
        <f>SUMIFS(INDEX(ArchetypeDemand!$I$106:$AH$150,,MATCH(AA$128,ArchetypeDemand!$I$4:$AH$4,0)),ArchetypeDemand!$F$106:$F$150,$F173)*'SHWLP-Det'!$R$10</f>
        <v>8.9289827877977082E-2</v>
      </c>
      <c r="AB173" s="1136">
        <f>SUMIFS(INDEX(ArchetypeDemand!$I$106:$AH$150,,MATCH(AB$128,ArchetypeDemand!$I$4:$AH$4,0)),ArchetypeDemand!$F$106:$F$150,$F173)*'SHWLP-Det'!$R$10</f>
        <v>4.4531807252181511E-2</v>
      </c>
      <c r="AC173" s="1136">
        <f>SUMIFS(INDEX(ArchetypeDemand!$I$106:$AH$150,,MATCH(AC$128,ArchetypeDemand!$I$4:$AH$4,0)),ArchetypeDemand!$F$106:$F$150,$F173)*'SHWLP-Det'!$R$10</f>
        <v>3.6698209793493225E-2</v>
      </c>
      <c r="AD173" s="1136">
        <f>SUMIFS(INDEX(ArchetypeDemand!$I$106:$AH$150,,MATCH(AD$128,ArchetypeDemand!$I$4:$AH$4,0)),ArchetypeDemand!$F$106:$F$150,$F173)*'SHWLP-Det'!$R$10</f>
        <v>4.0007739280785853E-2</v>
      </c>
      <c r="AE173" s="1136">
        <f>SUMIFS(INDEX(ArchetypeDemand!$I$106:$AH$150,,MATCH(AE$128,ArchetypeDemand!$I$4:$AH$4,0)),ArchetypeDemand!$F$106:$F$150,$F173)*'SHWLP-Det'!$R$10</f>
        <v>9.8956344531559992E-2</v>
      </c>
      <c r="AF173" s="1136">
        <f>SUMIFS(INDEX(ArchetypeDemand!$I$106:$AH$150,,MATCH(AF$128,ArchetypeDemand!$I$4:$AH$4,0)),ArchetypeDemand!$F$106:$F$150,$F173)*'SHWLP-Det'!$R$10</f>
        <v>3.6011167677173613E-2</v>
      </c>
    </row>
    <row r="174" spans="3:32">
      <c r="C174" s="1134" t="s">
        <v>1239</v>
      </c>
      <c r="D174" s="1134" t="s">
        <v>1094</v>
      </c>
      <c r="E174" s="1134" t="s">
        <v>835</v>
      </c>
      <c r="F174" s="1134" t="s">
        <v>1228</v>
      </c>
      <c r="G174" s="1134">
        <f>SUMIFS(INDEX(ArchetypeDemand!$I$106:$AH$150,,MATCH(G$128,ArchetypeDemand!$I$4:$AH$4,0)),ArchetypeDemand!$F$106:$F$150,$F174)*'SHWLP-Det'!$R$10</f>
        <v>1.2980905226141794E-2</v>
      </c>
      <c r="H174" s="1134">
        <f>SUMIFS(INDEX(ArchetypeDemand!$I$106:$AH$150,,MATCH(H$128,ArchetypeDemand!$I$4:$AH$4,0)),ArchetypeDemand!$F$106:$F$150,$F174)*'SHWLP-Det'!$R$10</f>
        <v>7.0198113220359931E-2</v>
      </c>
      <c r="I174" s="1134">
        <f>SUMIFS(INDEX(ArchetypeDemand!$I$106:$AH$150,,MATCH(I$128,ArchetypeDemand!$I$4:$AH$4,0)),ArchetypeDemand!$F$106:$F$150,$F174)*'SHWLP-Det'!$R$10</f>
        <v>2.1958964111030474E-2</v>
      </c>
      <c r="J174" s="1134">
        <f>SUMIFS(INDEX(ArchetypeDemand!$I$106:$AH$150,,MATCH(J$128,ArchetypeDemand!$I$4:$AH$4,0)),ArchetypeDemand!$F$106:$F$150,$F174)*'SHWLP-Det'!$R$10</f>
        <v>2.3552584786739408E-2</v>
      </c>
      <c r="K174" s="1134">
        <f>SUMIFS(INDEX(ArchetypeDemand!$I$106:$AH$150,,MATCH(K$128,ArchetypeDemand!$I$4:$AH$4,0)),ArchetypeDemand!$F$106:$F$150,$F174)*'SHWLP-Det'!$R$10</f>
        <v>2.0329473655653491E-2</v>
      </c>
      <c r="L174" s="1134">
        <f>SUMIFS(INDEX(ArchetypeDemand!$I$106:$AH$150,,MATCH(L$128,ArchetypeDemand!$I$4:$AH$4,0)),ArchetypeDemand!$F$106:$F$150,$F174)*'SHWLP-Det'!$R$10</f>
        <v>1.6553593939897342E-2</v>
      </c>
      <c r="M174" s="1134">
        <f>SUMIFS(INDEX(ArchetypeDemand!$I$106:$AH$150,,MATCH(M$128,ArchetypeDemand!$I$4:$AH$4,0)),ArchetypeDemand!$F$106:$F$150,$F174)*'SHWLP-Det'!$R$10</f>
        <v>1.7023415432952591E-2</v>
      </c>
      <c r="N174" s="1134">
        <f>SUMIFS(INDEX(ArchetypeDemand!$I$106:$AH$150,,MATCH(N$128,ArchetypeDemand!$I$4:$AH$4,0)),ArchetypeDemand!$F$106:$F$150,$F174)*'SHWLP-Det'!$R$10</f>
        <v>3.0923536584432944E-2</v>
      </c>
      <c r="O174" s="1134">
        <f>SUMIFS(INDEX(ArchetypeDemand!$I$106:$AH$150,,MATCH(O$128,ArchetypeDemand!$I$4:$AH$4,0)),ArchetypeDemand!$F$106:$F$150,$F174)*'SHWLP-Det'!$R$10</f>
        <v>2.301716181476704E-2</v>
      </c>
      <c r="P174" s="1134">
        <f>SUMIFS(INDEX(ArchetypeDemand!$I$106:$AH$150,,MATCH(P$128,ArchetypeDemand!$I$4:$AH$4,0)),ArchetypeDemand!$F$106:$F$150,$F174)*'SHWLP-Det'!$R$10</f>
        <v>2.2192342052171542E-2</v>
      </c>
      <c r="Q174" s="1134">
        <f>SUMIFS(INDEX(ArchetypeDemand!$I$106:$AH$150,,MATCH(Q$128,ArchetypeDemand!$I$4:$AH$4,0)),ArchetypeDemand!$F$106:$F$150,$F174)*'SHWLP-Det'!$R$10</f>
        <v>3.2025479576796911E-2</v>
      </c>
      <c r="R174" s="1134">
        <f>SUMIFS(INDEX(ArchetypeDemand!$I$106:$AH$150,,MATCH(R$128,ArchetypeDemand!$I$4:$AH$4,0)),ArchetypeDemand!$F$106:$F$150,$F174)*'SHWLP-Det'!$R$10</f>
        <v>2.756851284794196E-2</v>
      </c>
      <c r="S174" s="1134">
        <f>SUMIFS(INDEX(ArchetypeDemand!$I$106:$AH$150,,MATCH(S$128,ArchetypeDemand!$I$4:$AH$4,0)),ArchetypeDemand!$F$106:$F$150,$F174)*'SHWLP-Det'!$R$10</f>
        <v>2.872311218197739E-2</v>
      </c>
      <c r="T174" s="1134">
        <f>SUMIFS(INDEX(ArchetypeDemand!$I$106:$AH$150,,MATCH(T$128,ArchetypeDemand!$I$4:$AH$4,0)),ArchetypeDemand!$F$106:$F$150,$F174)*'SHWLP-Det'!$R$10</f>
        <v>8.0334982565631527E-2</v>
      </c>
      <c r="U174" s="1134">
        <f>SUMIFS(INDEX(ArchetypeDemand!$I$106:$AH$150,,MATCH(U$128,ArchetypeDemand!$I$4:$AH$4,0)),ArchetypeDemand!$F$106:$F$150,$F174)*'SHWLP-Det'!$R$10</f>
        <v>3.8104537911629099E-2</v>
      </c>
      <c r="V174" s="1134">
        <f>SUMIFS(INDEX(ArchetypeDemand!$I$106:$AH$150,,MATCH(V$128,ArchetypeDemand!$I$4:$AH$4,0)),ArchetypeDemand!$F$106:$F$150,$F174)*'SHWLP-Det'!$R$10</f>
        <v>4.0268122294957062E-2</v>
      </c>
      <c r="W174" s="1134">
        <f>SUMIFS(INDEX(ArchetypeDemand!$I$106:$AH$150,,MATCH(W$128,ArchetypeDemand!$I$4:$AH$4,0)),ArchetypeDemand!$F$106:$F$150,$F174)*'SHWLP-Det'!$R$10</f>
        <v>5.1129364796340844E-2</v>
      </c>
      <c r="X174" s="1134">
        <f>SUMIFS(INDEX(ArchetypeDemand!$I$106:$AH$150,,MATCH(X$128,ArchetypeDemand!$I$4:$AH$4,0)),ArchetypeDemand!$F$106:$F$150,$F174)*'SHWLP-Det'!$R$10</f>
        <v>1.8878176316989261E-2</v>
      </c>
      <c r="Y174" s="1134">
        <f>SUMIFS(INDEX(ArchetypeDemand!$I$106:$AH$150,,MATCH(Y$128,ArchetypeDemand!$I$4:$AH$4,0)),ArchetypeDemand!$F$106:$F$150,$F174)*'SHWLP-Det'!$R$10</f>
        <v>5.7916296434060731E-2</v>
      </c>
      <c r="Z174" s="1134">
        <f>SUMIFS(INDEX(ArchetypeDemand!$I$106:$AH$150,,MATCH(Z$128,ArchetypeDemand!$I$4:$AH$4,0)),ArchetypeDemand!$F$106:$F$150,$F174)*'SHWLP-Det'!$R$10</f>
        <v>1.3089204470628847E-2</v>
      </c>
      <c r="AA174" s="1134">
        <f>SUMIFS(INDEX(ArchetypeDemand!$I$106:$AH$150,,MATCH(AA$128,ArchetypeDemand!$I$4:$AH$4,0)),ArchetypeDemand!$F$106:$F$150,$F174)*'SHWLP-Det'!$R$10</f>
        <v>4.5717822418163169E-2</v>
      </c>
      <c r="AB174" s="1134">
        <f>SUMIFS(INDEX(ArchetypeDemand!$I$106:$AH$150,,MATCH(AB$128,ArchetypeDemand!$I$4:$AH$4,0)),ArchetypeDemand!$F$106:$F$150,$F174)*'SHWLP-Det'!$R$10</f>
        <v>2.5713735301910887E-2</v>
      </c>
      <c r="AC174" s="1134">
        <f>SUMIFS(INDEX(ArchetypeDemand!$I$106:$AH$150,,MATCH(AC$128,ArchetypeDemand!$I$4:$AH$4,0)),ArchetypeDemand!$F$106:$F$150,$F174)*'SHWLP-Det'!$R$10</f>
        <v>2.2492451163753913E-2</v>
      </c>
      <c r="AD174" s="1134">
        <f>SUMIFS(INDEX(ArchetypeDemand!$I$106:$AH$150,,MATCH(AD$128,ArchetypeDemand!$I$4:$AH$4,0)),ArchetypeDemand!$F$106:$F$150,$F174)*'SHWLP-Det'!$R$10</f>
        <v>2.0363220592016753E-2</v>
      </c>
      <c r="AE174" s="1134">
        <f>SUMIFS(INDEX(ArchetypeDemand!$I$106:$AH$150,,MATCH(AE$128,ArchetypeDemand!$I$4:$AH$4,0)),ArchetypeDemand!$F$106:$F$150,$F174)*'SHWLP-Det'!$R$10</f>
        <v>4.7561421009259294E-2</v>
      </c>
      <c r="AF174" s="1134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38" t="s">
        <v>1239</v>
      </c>
      <c r="D175" s="1138" t="s">
        <v>1094</v>
      </c>
      <c r="E175" s="1138" t="s">
        <v>835</v>
      </c>
      <c r="F175" s="1138" t="s">
        <v>1229</v>
      </c>
      <c r="G175" s="1138">
        <f>SUMIFS(INDEX(ArchetypeDemand!$I$106:$AH$150,,MATCH(G$128,ArchetypeDemand!$I$4:$AH$4,0)),ArchetypeDemand!$F$106:$F$150,$F175)*'SHWLP-Det'!$R$10</f>
        <v>2.4401873343562686E-2</v>
      </c>
      <c r="H175" s="1138">
        <f>SUMIFS(INDEX(ArchetypeDemand!$I$106:$AH$150,,MATCH(H$128,ArchetypeDemand!$I$4:$AH$4,0)),ArchetypeDemand!$F$106:$F$150,$F175)*'SHWLP-Det'!$R$10</f>
        <v>7.9210399991109945E-2</v>
      </c>
      <c r="I175" s="1138">
        <f>SUMIFS(INDEX(ArchetypeDemand!$I$106:$AH$150,,MATCH(I$128,ArchetypeDemand!$I$4:$AH$4,0)),ArchetypeDemand!$F$106:$F$150,$F175)*'SHWLP-Det'!$R$10</f>
        <v>3.8655035997103224E-2</v>
      </c>
      <c r="J175" s="1138">
        <f>SUMIFS(INDEX(ArchetypeDemand!$I$106:$AH$150,,MATCH(J$128,ArchetypeDemand!$I$4:$AH$4,0)),ArchetypeDemand!$F$106:$F$150,$F175)*'SHWLP-Det'!$R$10</f>
        <v>4.7566984961454097E-2</v>
      </c>
      <c r="K175" s="1138">
        <f>SUMIFS(INDEX(ArchetypeDemand!$I$106:$AH$150,,MATCH(K$128,ArchetypeDemand!$I$4:$AH$4,0)),ArchetypeDemand!$F$106:$F$150,$F175)*'SHWLP-Det'!$R$10</f>
        <v>3.6104617174163821E-2</v>
      </c>
      <c r="L175" s="1138">
        <f>SUMIFS(INDEX(ArchetypeDemand!$I$106:$AH$150,,MATCH(L$128,ArchetypeDemand!$I$4:$AH$4,0)),ArchetypeDemand!$F$106:$F$150,$F175)*'SHWLP-Det'!$R$10</f>
        <v>2.6273675790726744E-2</v>
      </c>
      <c r="M175" s="1138">
        <f>SUMIFS(INDEX(ArchetypeDemand!$I$106:$AH$150,,MATCH(M$128,ArchetypeDemand!$I$4:$AH$4,0)),ArchetypeDemand!$F$106:$F$150,$F175)*'SHWLP-Det'!$R$10</f>
        <v>3.0096004076004924E-2</v>
      </c>
      <c r="N175" s="1138">
        <f>SUMIFS(INDEX(ArchetypeDemand!$I$106:$AH$150,,MATCH(N$128,ArchetypeDemand!$I$4:$AH$4,0)),ArchetypeDemand!$F$106:$F$150,$F175)*'SHWLP-Det'!$R$10</f>
        <v>5.4720930488732292E-2</v>
      </c>
      <c r="O175" s="1138">
        <f>SUMIFS(INDEX(ArchetypeDemand!$I$106:$AH$150,,MATCH(O$128,ArchetypeDemand!$I$4:$AH$4,0)),ArchetypeDemand!$F$106:$F$150,$F175)*'SHWLP-Det'!$R$10</f>
        <v>3.8677572543168663E-2</v>
      </c>
      <c r="P175" s="1138">
        <f>SUMIFS(INDEX(ArchetypeDemand!$I$106:$AH$150,,MATCH(P$128,ArchetypeDemand!$I$4:$AH$4,0)),ArchetypeDemand!$F$106:$F$150,$F175)*'SHWLP-Det'!$R$10</f>
        <v>4.5074276653986833E-2</v>
      </c>
      <c r="Q175" s="1138">
        <f>SUMIFS(INDEX(ArchetypeDemand!$I$106:$AH$150,,MATCH(Q$128,ArchetypeDemand!$I$4:$AH$4,0)),ArchetypeDemand!$F$106:$F$150,$F175)*'SHWLP-Det'!$R$10</f>
        <v>5.2311715836054117E-2</v>
      </c>
      <c r="R175" s="1138">
        <f>SUMIFS(INDEX(ArchetypeDemand!$I$106:$AH$150,,MATCH(R$128,ArchetypeDemand!$I$4:$AH$4,0)),ArchetypeDemand!$F$106:$F$150,$F175)*'SHWLP-Det'!$R$10</f>
        <v>4.398247018298497E-2</v>
      </c>
      <c r="S175" s="1138">
        <f>SUMIFS(INDEX(ArchetypeDemand!$I$106:$AH$150,,MATCH(S$128,ArchetypeDemand!$I$4:$AH$4,0)),ArchetypeDemand!$F$106:$F$150,$F175)*'SHWLP-Det'!$R$10</f>
        <v>5.9626346730708282E-2</v>
      </c>
      <c r="T175" s="1138">
        <f>SUMIFS(INDEX(ArchetypeDemand!$I$106:$AH$150,,MATCH(T$128,ArchetypeDemand!$I$4:$AH$4,0)),ArchetypeDemand!$F$106:$F$150,$F175)*'SHWLP-Det'!$R$10</f>
        <v>0.16265280314522404</v>
      </c>
      <c r="U175" s="1138">
        <f>SUMIFS(INDEX(ArchetypeDemand!$I$106:$AH$150,,MATCH(U$128,ArchetypeDemand!$I$4:$AH$4,0)),ArchetypeDemand!$F$106:$F$150,$F175)*'SHWLP-Det'!$R$10</f>
        <v>6.9969736282172734E-2</v>
      </c>
      <c r="V175" s="1138">
        <f>SUMIFS(INDEX(ArchetypeDemand!$I$106:$AH$150,,MATCH(V$128,ArchetypeDemand!$I$4:$AH$4,0)),ArchetypeDemand!$F$106:$F$150,$F175)*'SHWLP-Det'!$R$10</f>
        <v>7.2940760444458144E-2</v>
      </c>
      <c r="W175" s="1138">
        <f>SUMIFS(INDEX(ArchetypeDemand!$I$106:$AH$150,,MATCH(W$128,ArchetypeDemand!$I$4:$AH$4,0)),ArchetypeDemand!$F$106:$F$150,$F175)*'SHWLP-Det'!$R$10</f>
        <v>8.8137846334773978E-2</v>
      </c>
      <c r="X175" s="1138">
        <f>SUMIFS(INDEX(ArchetypeDemand!$I$106:$AH$150,,MATCH(X$128,ArchetypeDemand!$I$4:$AH$4,0)),ArchetypeDemand!$F$106:$F$150,$F175)*'SHWLP-Det'!$R$10</f>
        <v>2.4992805752995215E-2</v>
      </c>
      <c r="Y175" s="1138">
        <f>SUMIFS(INDEX(ArchetypeDemand!$I$106:$AH$150,,MATCH(Y$128,ArchetypeDemand!$I$4:$AH$4,0)),ArchetypeDemand!$F$106:$F$150,$F175)*'SHWLP-Det'!$R$10</f>
        <v>0.10961718544592959</v>
      </c>
      <c r="Z175" s="1138">
        <f>SUMIFS(INDEX(ArchetypeDemand!$I$106:$AH$150,,MATCH(Z$128,ArchetypeDemand!$I$4:$AH$4,0)),ArchetypeDemand!$F$106:$F$150,$F175)*'SHWLP-Det'!$R$10</f>
        <v>2.9271216748663662E-2</v>
      </c>
      <c r="AA175" s="1138">
        <f>SUMIFS(INDEX(ArchetypeDemand!$I$106:$AH$150,,MATCH(AA$128,ArchetypeDemand!$I$4:$AH$4,0)),ArchetypeDemand!$F$106:$F$150,$F175)*'SHWLP-Det'!$R$10</f>
        <v>8.7561253105973527E-2</v>
      </c>
      <c r="AB175" s="1138">
        <f>SUMIFS(INDEX(ArchetypeDemand!$I$106:$AH$150,,MATCH(AB$128,ArchetypeDemand!$I$4:$AH$4,0)),ArchetypeDemand!$F$106:$F$150,$F175)*'SHWLP-Det'!$R$10</f>
        <v>5.7614233984732664E-2</v>
      </c>
      <c r="AC175" s="1138">
        <f>SUMIFS(INDEX(ArchetypeDemand!$I$106:$AH$150,,MATCH(AC$128,ArchetypeDemand!$I$4:$AH$4,0)),ArchetypeDemand!$F$106:$F$150,$F175)*'SHWLP-Det'!$R$10</f>
        <v>3.711254442019396E-2</v>
      </c>
      <c r="AD175" s="1138">
        <f>SUMIFS(INDEX(ArchetypeDemand!$I$106:$AH$150,,MATCH(AD$128,ArchetypeDemand!$I$4:$AH$4,0)),ArchetypeDemand!$F$106:$F$150,$F175)*'SHWLP-Det'!$R$10</f>
        <v>4.0367090232409683E-2</v>
      </c>
      <c r="AE175" s="1138">
        <f>SUMIFS(INDEX(ArchetypeDemand!$I$106:$AH$150,,MATCH(AE$128,ArchetypeDemand!$I$4:$AH$4,0)),ArchetypeDemand!$F$106:$F$150,$F175)*'SHWLP-Det'!$R$10</f>
        <v>8.2907613671878225E-2</v>
      </c>
      <c r="AF175" s="1138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1" t="s">
        <v>1240</v>
      </c>
      <c r="D176" s="1141" t="s">
        <v>1094</v>
      </c>
      <c r="E176" s="1141" t="s">
        <v>835</v>
      </c>
      <c r="F176" s="1141" t="s">
        <v>938</v>
      </c>
      <c r="G176" s="1141">
        <f>SUM(ArchetypeDemand!I106:I150)*'SHWLP-Det'!$R$36</f>
        <v>0.22470551729927365</v>
      </c>
      <c r="H176" s="1141">
        <f>SUM(ArchetypeDemand!J106:J150)*'SHWLP-Det'!$R$36</f>
        <v>1.1666146176410801</v>
      </c>
      <c r="I176" s="1141">
        <f>SUM(ArchetypeDemand!K106:K150)*'SHWLP-Det'!$R$36</f>
        <v>0.62952658180279086</v>
      </c>
      <c r="J176" s="1141">
        <f>SUM(ArchetypeDemand!L106:L150)*'SHWLP-Det'!$R$36</f>
        <v>0.43398415105373755</v>
      </c>
      <c r="K176" s="1141">
        <f>SUM(ArchetypeDemand!M106:M150)*'SHWLP-Det'!$R$36</f>
        <v>0.33851462281740119</v>
      </c>
      <c r="L176" s="1141">
        <f>SUM(ArchetypeDemand!N106:N150)*'SHWLP-Det'!$R$36</f>
        <v>0.2018943676108329</v>
      </c>
      <c r="M176" s="1141">
        <f>SUM(ArchetypeDemand!O106:O150)*'SHWLP-Det'!$R$36</f>
        <v>0.39192560486705058</v>
      </c>
      <c r="N176" s="1141">
        <f>SUM(ArchetypeDemand!P106:P150)*'SHWLP-Det'!$R$36</f>
        <v>0.71302676919738517</v>
      </c>
      <c r="O176" s="1141">
        <f>SUM(ArchetypeDemand!Q106:Q150)*'SHWLP-Det'!$R$36</f>
        <v>0.33167162556042723</v>
      </c>
      <c r="P176" s="1141">
        <f>SUM(ArchetypeDemand!R106:R150)*'SHWLP-Det'!$R$36</f>
        <v>0.34946879764559957</v>
      </c>
      <c r="Q176" s="1141">
        <f>SUM(ArchetypeDemand!S106:S150)*'SHWLP-Det'!$R$36</f>
        <v>0.70376579199696199</v>
      </c>
      <c r="R176" s="1141">
        <f>SUM(ArchetypeDemand!T106:T150)*'SHWLP-Det'!$R$36</f>
        <v>0.46801503971472413</v>
      </c>
      <c r="S176" s="1141">
        <f>SUM(ArchetypeDemand!U106:U150)*'SHWLP-Det'!$R$36</f>
        <v>0.54470858730850424</v>
      </c>
      <c r="T176" s="1141">
        <f>SUM(ArchetypeDemand!V106:V150)*'SHWLP-Det'!$R$36</f>
        <v>1.842734318624625</v>
      </c>
      <c r="U176" s="1141">
        <f>SUM(ArchetypeDemand!W106:W150)*'SHWLP-Det'!$R$36</f>
        <v>0.75566372411429883</v>
      </c>
      <c r="V176" s="1141">
        <f>SUM(ArchetypeDemand!X106:X150)*'SHWLP-Det'!$R$36</f>
        <v>0.68034465126352806</v>
      </c>
      <c r="W176" s="1141">
        <f>SUM(ArchetypeDemand!Y106:Y150)*'SHWLP-Det'!$R$36</f>
        <v>0.7263412862335048</v>
      </c>
      <c r="X176" s="1141">
        <f>SUM(ArchetypeDemand!Z106:Z150)*'SHWLP-Det'!$R$36</f>
        <v>0.39765822175034471</v>
      </c>
      <c r="Y176" s="1141">
        <f>SUM(ArchetypeDemand!AA106:AA150)*'SHWLP-Det'!$R$36</f>
        <v>1.1502745159791674</v>
      </c>
      <c r="Z176" s="1141">
        <f>SUM(ArchetypeDemand!AB106:AB150)*'SHWLP-Det'!$R$36</f>
        <v>0.18906166984616857</v>
      </c>
      <c r="AA176" s="1141">
        <f>SUM(ArchetypeDemand!AC106:AC150)*'SHWLP-Det'!$R$36</f>
        <v>0.72082115609587039</v>
      </c>
      <c r="AB176" s="1141">
        <f>SUM(ArchetypeDemand!AD106:AD150)*'SHWLP-Det'!$R$36</f>
        <v>0.37560294448482262</v>
      </c>
      <c r="AC176" s="1141">
        <f>SUM(ArchetypeDemand!AE106:AE150)*'SHWLP-Det'!$R$36</f>
        <v>0.30109351283947217</v>
      </c>
      <c r="AD176" s="1141">
        <f>SUM(ArchetypeDemand!AF106:AF150)*'SHWLP-Det'!$R$36</f>
        <v>0.37641065182369693</v>
      </c>
      <c r="AE176" s="1141">
        <f>SUM(ArchetypeDemand!AG106:AG150)*'SHWLP-Det'!$R$36</f>
        <v>0.84627476540944657</v>
      </c>
      <c r="AF176" s="1141">
        <f>SUM(ArchetypeDemand!AH106:AH150)*'SHWLP-Det'!$R$36</f>
        <v>0.29404914318911041</v>
      </c>
    </row>
    <row r="177" spans="3:32" ht="15">
      <c r="C177" s="1137" t="s">
        <v>1216</v>
      </c>
      <c r="D177" s="1137"/>
      <c r="E177" s="1137"/>
      <c r="F177" s="1137"/>
      <c r="G177" s="1137"/>
      <c r="H177" s="1137"/>
      <c r="I177" s="1137"/>
      <c r="J177" s="1137"/>
      <c r="K177" s="1137"/>
      <c r="L177" s="1137"/>
      <c r="M177" s="1137"/>
      <c r="N177" s="1137"/>
      <c r="O177" s="1137"/>
      <c r="P177" s="1137"/>
      <c r="Q177" s="1137"/>
      <c r="R177" s="1137"/>
      <c r="S177" s="1137"/>
      <c r="T177" s="1137"/>
      <c r="U177" s="1137"/>
      <c r="V177" s="1137"/>
      <c r="W177" s="1137"/>
      <c r="X177" s="1137"/>
      <c r="Y177" s="1137"/>
      <c r="Z177" s="1137"/>
      <c r="AA177" s="1137"/>
      <c r="AB177" s="1137"/>
      <c r="AC177" s="1137"/>
      <c r="AD177" s="1137"/>
      <c r="AE177" s="1137"/>
      <c r="AF177" s="1137"/>
    </row>
    <row r="178" spans="3:32">
      <c r="C178" s="1145" t="s">
        <v>1241</v>
      </c>
      <c r="D178" s="1134" t="s">
        <v>1094</v>
      </c>
      <c r="E178" s="1134" t="s">
        <v>405</v>
      </c>
      <c r="F178" s="1134" t="s">
        <v>1224</v>
      </c>
      <c r="G178" s="1134">
        <f>SUMIFS(INDEX(ArchetypeDemand!$I$106:$AH$150,,MATCH(G$128,ArchetypeDemand!$I$4:$AH$4,0)),ArchetypeDemand!$F$106:$F$150,$F178)*'SHWLP-Det'!$R$11</f>
        <v>7.386659324091964E-2</v>
      </c>
      <c r="H178" s="1134">
        <f>SUMIFS(INDEX(ArchetypeDemand!$I$106:$AH$150,,MATCH(H$128,ArchetypeDemand!$I$4:$AH$4,0)),ArchetypeDemand!$F$106:$F$150,$F178)*'SHWLP-Det'!$R$11</f>
        <v>0.57722845850040361</v>
      </c>
      <c r="I178" s="1134">
        <f>SUMIFS(INDEX(ArchetypeDemand!$I$106:$AH$150,,MATCH(I$128,ArchetypeDemand!$I$4:$AH$4,0)),ArchetypeDemand!$F$106:$F$150,$F178)*'SHWLP-Det'!$R$11</f>
        <v>0.31370616283501929</v>
      </c>
      <c r="J178" s="1134">
        <f>SUMIFS(INDEX(ArchetypeDemand!$I$106:$AH$150,,MATCH(J$128,ArchetypeDemand!$I$4:$AH$4,0)),ArchetypeDemand!$F$106:$F$150,$F178)*'SHWLP-Det'!$R$11</f>
        <v>0.14178862992594585</v>
      </c>
      <c r="K178" s="1134">
        <f>SUMIFS(INDEX(ArchetypeDemand!$I$106:$AH$150,,MATCH(K$128,ArchetypeDemand!$I$4:$AH$4,0)),ArchetypeDemand!$F$106:$F$150,$F178)*'SHWLP-Det'!$R$11</f>
        <v>0.10799305601550467</v>
      </c>
      <c r="L178" s="1134">
        <f>SUMIFS(INDEX(ArchetypeDemand!$I$106:$AH$150,,MATCH(L$128,ArchetypeDemand!$I$4:$AH$4,0)),ArchetypeDemand!$F$106:$F$150,$F178)*'SHWLP-Det'!$R$11</f>
        <v>5.7611079997389132E-2</v>
      </c>
      <c r="M178" s="1134">
        <f>SUMIFS(INDEX(ArchetypeDemand!$I$106:$AH$150,,MATCH(M$128,ArchetypeDemand!$I$4:$AH$4,0)),ArchetypeDemand!$F$106:$F$150,$F178)*'SHWLP-Det'!$R$11</f>
        <v>0.18032363618579592</v>
      </c>
      <c r="N178" s="1134">
        <f>SUMIFS(INDEX(ArchetypeDemand!$I$106:$AH$150,,MATCH(N$128,ArchetypeDemand!$I$4:$AH$4,0)),ArchetypeDemand!$F$106:$F$150,$F178)*'SHWLP-Det'!$R$11</f>
        <v>0.33408821376632841</v>
      </c>
      <c r="O178" s="1134">
        <f>SUMIFS(INDEX(ArchetypeDemand!$I$106:$AH$150,,MATCH(O$128,ArchetypeDemand!$I$4:$AH$4,0)),ArchetypeDemand!$F$106:$F$150,$F178)*'SHWLP-Det'!$R$11</f>
        <v>8.7898965909747551E-2</v>
      </c>
      <c r="P178" s="1134">
        <f>SUMIFS(INDEX(ArchetypeDemand!$I$106:$AH$150,,MATCH(P$128,ArchetypeDemand!$I$4:$AH$4,0)),ArchetypeDemand!$F$106:$F$150,$F178)*'SHWLP-Det'!$R$11</f>
        <v>0.10330450648165646</v>
      </c>
      <c r="Q178" s="1134">
        <f>SUMIFS(INDEX(ArchetypeDemand!$I$106:$AH$150,,MATCH(Q$128,ArchetypeDemand!$I$4:$AH$4,0)),ArchetypeDemand!$F$106:$F$150,$F178)*'SHWLP-Det'!$R$11</f>
        <v>0.22854056014389559</v>
      </c>
      <c r="R178" s="1134">
        <f>SUMIFS(INDEX(ArchetypeDemand!$I$106:$AH$150,,MATCH(R$128,ArchetypeDemand!$I$4:$AH$4,0)),ArchetypeDemand!$F$106:$F$150,$F178)*'SHWLP-Det'!$R$11</f>
        <v>0.1924495374504365</v>
      </c>
      <c r="S178" s="1134">
        <f>SUMIFS(INDEX(ArchetypeDemand!$I$106:$AH$150,,MATCH(S$128,ArchetypeDemand!$I$4:$AH$4,0)),ArchetypeDemand!$F$106:$F$150,$F178)*'SHWLP-Det'!$R$11</f>
        <v>0.15800917240269624</v>
      </c>
      <c r="T178" s="1134">
        <f>SUMIFS(INDEX(ArchetypeDemand!$I$106:$AH$150,,MATCH(T$128,ArchetypeDemand!$I$4:$AH$4,0)),ArchetypeDemand!$F$106:$F$150,$F178)*'SHWLP-Det'!$R$11</f>
        <v>0.8868920761414778</v>
      </c>
      <c r="U178" s="1134">
        <f>SUMIFS(INDEX(ArchetypeDemand!$I$106:$AH$150,,MATCH(U$128,ArchetypeDemand!$I$4:$AH$4,0)),ArchetypeDemand!$F$106:$F$150,$F178)*'SHWLP-Det'!$R$11</f>
        <v>0.28834289583285022</v>
      </c>
      <c r="V178" s="1134">
        <f>SUMIFS(INDEX(ArchetypeDemand!$I$106:$AH$150,,MATCH(V$128,ArchetypeDemand!$I$4:$AH$4,0)),ArchetypeDemand!$F$106:$F$150,$F178)*'SHWLP-Det'!$R$11</f>
        <v>0.19835034400922322</v>
      </c>
      <c r="W178" s="1134">
        <f>SUMIFS(INDEX(ArchetypeDemand!$I$106:$AH$150,,MATCH(W$128,ArchetypeDemand!$I$4:$AH$4,0)),ArchetypeDemand!$F$106:$F$150,$F178)*'SHWLP-Det'!$R$11</f>
        <v>0.19741875834211489</v>
      </c>
      <c r="X178" s="1134">
        <f>SUMIFS(INDEX(ArchetypeDemand!$I$106:$AH$150,,MATCH(X$128,ArchetypeDemand!$I$4:$AH$4,0)),ArchetypeDemand!$F$106:$F$150,$F178)*'SHWLP-Det'!$R$11</f>
        <v>0.15566624700680021</v>
      </c>
      <c r="Y178" s="1134">
        <f>SUMIFS(INDEX(ArchetypeDemand!$I$106:$AH$150,,MATCH(Y$128,ArchetypeDemand!$I$4:$AH$4,0)),ArchetypeDemand!$F$106:$F$150,$F178)*'SHWLP-Det'!$R$11</f>
        <v>0.43218811390259415</v>
      </c>
      <c r="Z178" s="1134">
        <f>SUMIFS(INDEX(ArchetypeDemand!$I$106:$AH$150,,MATCH(Z$128,ArchetypeDemand!$I$4:$AH$4,0)),ArchetypeDemand!$F$106:$F$150,$F178)*'SHWLP-Det'!$R$11</f>
        <v>4.31207638222302E-2</v>
      </c>
      <c r="AA178" s="1134">
        <f>SUMIFS(INDEX(ArchetypeDemand!$I$106:$AH$150,,MATCH(AA$128,ArchetypeDemand!$I$4:$AH$4,0)),ArchetypeDemand!$F$106:$F$150,$F178)*'SHWLP-Det'!$R$11</f>
        <v>0.19522274797152775</v>
      </c>
      <c r="AB178" s="1134">
        <f>SUMIFS(INDEX(ArchetypeDemand!$I$106:$AH$150,,MATCH(AB$128,ArchetypeDemand!$I$4:$AH$4,0)),ArchetypeDemand!$F$106:$F$150,$F178)*'SHWLP-Det'!$R$11</f>
        <v>8.9156626758865917E-2</v>
      </c>
      <c r="AC178" s="1134">
        <f>SUMIFS(INDEX(ArchetypeDemand!$I$106:$AH$150,,MATCH(AC$128,ArchetypeDemand!$I$4:$AH$4,0)),ArchetypeDemand!$F$106:$F$150,$F178)*'SHWLP-Det'!$R$11</f>
        <v>9.7428968491349757E-2</v>
      </c>
      <c r="AD178" s="1134">
        <f>SUMIFS(INDEX(ArchetypeDemand!$I$106:$AH$150,,MATCH(AD$128,ArchetypeDemand!$I$4:$AH$4,0)),ArchetypeDemand!$F$106:$F$150,$F178)*'SHWLP-Det'!$R$11</f>
        <v>0.12908758707570414</v>
      </c>
      <c r="AE178" s="1134">
        <f>SUMIFS(INDEX(ArchetypeDemand!$I$106:$AH$150,,MATCH(AE$128,ArchetypeDemand!$I$4:$AH$4,0)),ArchetypeDemand!$F$106:$F$150,$F178)*'SHWLP-Det'!$R$11</f>
        <v>0.24244236637155989</v>
      </c>
      <c r="AF178" s="1134">
        <f>SUMIFS(INDEX(ArchetypeDemand!$I$106:$AH$150,,MATCH(AF$128,ArchetypeDemand!$I$4:$AH$4,0)),ArchetypeDemand!$F$106:$F$150,$F178)*'SHWLP-Det'!$R$11</f>
        <v>0.10639346429327898</v>
      </c>
    </row>
    <row r="179" spans="3:32">
      <c r="C179" s="1136" t="s">
        <v>1241</v>
      </c>
      <c r="D179" s="1136" t="s">
        <v>1094</v>
      </c>
      <c r="E179" s="1136" t="s">
        <v>405</v>
      </c>
      <c r="F179" s="1136" t="s">
        <v>1225</v>
      </c>
      <c r="G179" s="1136">
        <f>SUMIFS(INDEX(ArchetypeDemand!$I$106:$AH$150,,MATCH(G$128,ArchetypeDemand!$I$4:$AH$4,0)),ArchetypeDemand!$F$106:$F$150,$F179)*'SHWLP-Det'!$R$11</f>
        <v>0.18161959370856501</v>
      </c>
      <c r="H179" s="1136">
        <f>SUMIFS(INDEX(ArchetypeDemand!$I$106:$AH$150,,MATCH(H$128,ArchetypeDemand!$I$4:$AH$4,0)),ArchetypeDemand!$F$106:$F$150,$F179)*'SHWLP-Det'!$R$11</f>
        <v>0.84544813115377815</v>
      </c>
      <c r="I179" s="1136">
        <f>SUMIFS(INDEX(ArchetypeDemand!$I$106:$AH$150,,MATCH(I$128,ArchetypeDemand!$I$4:$AH$4,0)),ArchetypeDemand!$F$106:$F$150,$F179)*'SHWLP-Det'!$R$11</f>
        <v>0.57608829890124091</v>
      </c>
      <c r="J179" s="1136">
        <f>SUMIFS(INDEX(ArchetypeDemand!$I$106:$AH$150,,MATCH(J$128,ArchetypeDemand!$I$4:$AH$4,0)),ArchetypeDemand!$F$106:$F$150,$F179)*'SHWLP-Det'!$R$11</f>
        <v>0.34542304473409169</v>
      </c>
      <c r="K179" s="1136">
        <f>SUMIFS(INDEX(ArchetypeDemand!$I$106:$AH$150,,MATCH(K$128,ArchetypeDemand!$I$4:$AH$4,0)),ArchetypeDemand!$F$106:$F$150,$F179)*'SHWLP-Det'!$R$11</f>
        <v>0.2939576846138412</v>
      </c>
      <c r="L179" s="1136">
        <f>SUMIFS(INDEX(ArchetypeDemand!$I$106:$AH$150,,MATCH(L$128,ArchetypeDemand!$I$4:$AH$4,0)),ArchetypeDemand!$F$106:$F$150,$F179)*'SHWLP-Det'!$R$11</f>
        <v>0.15776802227306563</v>
      </c>
      <c r="M179" s="1136">
        <f>SUMIFS(INDEX(ArchetypeDemand!$I$106:$AH$150,,MATCH(M$128,ArchetypeDemand!$I$4:$AH$4,0)),ArchetypeDemand!$F$106:$F$150,$F179)*'SHWLP-Det'!$R$11</f>
        <v>0.34326650340158821</v>
      </c>
      <c r="N179" s="1136">
        <f>SUMIFS(INDEX(ArchetypeDemand!$I$106:$AH$150,,MATCH(N$128,ArchetypeDemand!$I$4:$AH$4,0)),ArchetypeDemand!$F$106:$F$150,$F179)*'SHWLP-Det'!$R$11</f>
        <v>0.62735874991252294</v>
      </c>
      <c r="O179" s="1136">
        <f>SUMIFS(INDEX(ArchetypeDemand!$I$106:$AH$150,,MATCH(O$128,ArchetypeDemand!$I$4:$AH$4,0)),ArchetypeDemand!$F$106:$F$150,$F179)*'SHWLP-Det'!$R$11</f>
        <v>0.2661222761483063</v>
      </c>
      <c r="P179" s="1136">
        <f>SUMIFS(INDEX(ArchetypeDemand!$I$106:$AH$150,,MATCH(P$128,ArchetypeDemand!$I$4:$AH$4,0)),ArchetypeDemand!$F$106:$F$150,$F179)*'SHWLP-Det'!$R$11</f>
        <v>0.28053705298297277</v>
      </c>
      <c r="Q179" s="1136">
        <f>SUMIFS(INDEX(ArchetypeDemand!$I$106:$AH$150,,MATCH(Q$128,ArchetypeDemand!$I$4:$AH$4,0)),ArchetypeDemand!$F$106:$F$150,$F179)*'SHWLP-Det'!$R$11</f>
        <v>0.63703341910295919</v>
      </c>
      <c r="R179" s="1136">
        <f>SUMIFS(INDEX(ArchetypeDemand!$I$106:$AH$150,,MATCH(R$128,ArchetypeDemand!$I$4:$AH$4,0)),ArchetypeDemand!$F$106:$F$150,$F179)*'SHWLP-Det'!$R$11</f>
        <v>0.35865043644478317</v>
      </c>
      <c r="S179" s="1136">
        <f>SUMIFS(INDEX(ArchetypeDemand!$I$106:$AH$150,,MATCH(S$128,ArchetypeDemand!$I$4:$AH$4,0)),ArchetypeDemand!$F$106:$F$150,$F179)*'SHWLP-Det'!$R$11</f>
        <v>0.47171037926314596</v>
      </c>
      <c r="T179" s="1136">
        <f>SUMIFS(INDEX(ArchetypeDemand!$I$106:$AH$150,,MATCH(T$128,ArchetypeDemand!$I$4:$AH$4,0)),ArchetypeDemand!$F$106:$F$150,$F179)*'SHWLP-Det'!$R$11</f>
        <v>1.5503198058777554</v>
      </c>
      <c r="U179" s="1136">
        <f>SUMIFS(INDEX(ArchetypeDemand!$I$106:$AH$150,,MATCH(U$128,ArchetypeDemand!$I$4:$AH$4,0)),ArchetypeDemand!$F$106:$F$150,$F179)*'SHWLP-Det'!$R$11</f>
        <v>0.60583563423197462</v>
      </c>
      <c r="V179" s="1136">
        <f>SUMIFS(INDEX(ArchetypeDemand!$I$106:$AH$150,,MATCH(V$128,ArchetypeDemand!$I$4:$AH$4,0)),ArchetypeDemand!$F$106:$F$150,$F179)*'SHWLP-Det'!$R$11</f>
        <v>0.54029085173847913</v>
      </c>
      <c r="W179" s="1136">
        <f>SUMIFS(INDEX(ArchetypeDemand!$I$106:$AH$150,,MATCH(W$128,ArchetypeDemand!$I$4:$AH$4,0)),ArchetypeDemand!$F$106:$F$150,$F179)*'SHWLP-Det'!$R$11</f>
        <v>0.5525146727939253</v>
      </c>
      <c r="X179" s="1136">
        <f>SUMIFS(INDEX(ArchetypeDemand!$I$106:$AH$150,,MATCH(X$128,ArchetypeDemand!$I$4:$AH$4,0)),ArchetypeDemand!$F$106:$F$150,$F179)*'SHWLP-Det'!$R$11</f>
        <v>0.35366069184689536</v>
      </c>
      <c r="Y179" s="1136">
        <f>SUMIFS(INDEX(ArchetypeDemand!$I$106:$AH$150,,MATCH(Y$128,ArchetypeDemand!$I$4:$AH$4,0)),ArchetypeDemand!$F$106:$F$150,$F179)*'SHWLP-Det'!$R$11</f>
        <v>0.97454579384059947</v>
      </c>
      <c r="Z179" s="1136">
        <f>SUMIFS(INDEX(ArchetypeDemand!$I$106:$AH$150,,MATCH(Z$128,ArchetypeDemand!$I$4:$AH$4,0)),ArchetypeDemand!$F$106:$F$150,$F179)*'SHWLP-Det'!$R$11</f>
        <v>0.15535288883899376</v>
      </c>
      <c r="AA179" s="1136">
        <f>SUMIFS(INDEX(ArchetypeDemand!$I$106:$AH$150,,MATCH(AA$128,ArchetypeDemand!$I$4:$AH$4,0)),ArchetypeDemand!$F$106:$F$150,$F179)*'SHWLP-Det'!$R$11</f>
        <v>0.56113869223721635</v>
      </c>
      <c r="AB179" s="1136">
        <f>SUMIFS(INDEX(ArchetypeDemand!$I$106:$AH$150,,MATCH(AB$128,ArchetypeDemand!$I$4:$AH$4,0)),ArchetypeDemand!$F$106:$F$150,$F179)*'SHWLP-Det'!$R$11</f>
        <v>0.30245277338628956</v>
      </c>
      <c r="AC179" s="1136">
        <f>SUMIFS(INDEX(ArchetypeDemand!$I$106:$AH$150,,MATCH(AC$128,ArchetypeDemand!$I$4:$AH$4,0)),ArchetypeDemand!$F$106:$F$150,$F179)*'SHWLP-Det'!$R$11</f>
        <v>0.22144795483729379</v>
      </c>
      <c r="AD179" s="1136">
        <f>SUMIFS(INDEX(ArchetypeDemand!$I$106:$AH$150,,MATCH(AD$128,ArchetypeDemand!$I$4:$AH$4,0)),ArchetypeDemand!$F$106:$F$150,$F179)*'SHWLP-Det'!$R$11</f>
        <v>0.33360857374553898</v>
      </c>
      <c r="AE179" s="1136">
        <f>SUMIFS(INDEX(ArchetypeDemand!$I$106:$AH$150,,MATCH(AE$128,ArchetypeDemand!$I$4:$AH$4,0)),ArchetypeDemand!$F$106:$F$150,$F179)*'SHWLP-Det'!$R$11</f>
        <v>0.73106864796866122</v>
      </c>
      <c r="AF179" s="1136">
        <f>SUMIFS(INDEX(ArchetypeDemand!$I$106:$AH$150,,MATCH(AF$128,ArchetypeDemand!$I$4:$AH$4,0)),ArchetypeDemand!$F$106:$F$150,$F179)*'SHWLP-Det'!$R$11</f>
        <v>0.22565569568691876</v>
      </c>
    </row>
    <row r="180" spans="3:32">
      <c r="C180" s="1134" t="s">
        <v>1241</v>
      </c>
      <c r="D180" s="1134" t="s">
        <v>1094</v>
      </c>
      <c r="E180" s="1134" t="s">
        <v>405</v>
      </c>
      <c r="F180" s="1134" t="s">
        <v>1226</v>
      </c>
      <c r="G180" s="1134">
        <f>SUMIFS(INDEX(ArchetypeDemand!$I$106:$AH$150,,MATCH(G$128,ArchetypeDemand!$I$4:$AH$4,0)),ArchetypeDemand!$F$106:$F$150,$F180)*'SHWLP-Det'!$R$11</f>
        <v>0.12322484245056184</v>
      </c>
      <c r="H180" s="1134">
        <f>SUMIFS(INDEX(ArchetypeDemand!$I$106:$AH$150,,MATCH(H$128,ArchetypeDemand!$I$4:$AH$4,0)),ArchetypeDemand!$F$106:$F$150,$F180)*'SHWLP-Det'!$R$11</f>
        <v>0.59936233583580345</v>
      </c>
      <c r="I180" s="1134">
        <f>SUMIFS(INDEX(ArchetypeDemand!$I$106:$AH$150,,MATCH(I$128,ArchetypeDemand!$I$4:$AH$4,0)),ArchetypeDemand!$F$106:$F$150,$F180)*'SHWLP-Det'!$R$11</f>
        <v>0.29774914100892974</v>
      </c>
      <c r="J180" s="1134">
        <f>SUMIFS(INDEX(ArchetypeDemand!$I$106:$AH$150,,MATCH(J$128,ArchetypeDemand!$I$4:$AH$4,0)),ArchetypeDemand!$F$106:$F$150,$F180)*'SHWLP-Det'!$R$11</f>
        <v>0.24054483715753483</v>
      </c>
      <c r="K180" s="1134">
        <f>SUMIFS(INDEX(ArchetypeDemand!$I$106:$AH$150,,MATCH(K$128,ArchetypeDemand!$I$4:$AH$4,0)),ArchetypeDemand!$F$106:$F$150,$F180)*'SHWLP-Det'!$R$11</f>
        <v>0.17394614190405974</v>
      </c>
      <c r="L180" s="1134">
        <f>SUMIFS(INDEX(ArchetypeDemand!$I$106:$AH$150,,MATCH(L$128,ArchetypeDemand!$I$4:$AH$4,0)),ArchetypeDemand!$F$106:$F$150,$F180)*'SHWLP-Det'!$R$11</f>
        <v>0.10106226346884876</v>
      </c>
      <c r="M180" s="1134">
        <f>SUMIFS(INDEX(ArchetypeDemand!$I$106:$AH$150,,MATCH(M$128,ArchetypeDemand!$I$4:$AH$4,0)),ArchetypeDemand!$F$106:$F$150,$F180)*'SHWLP-Det'!$R$11</f>
        <v>0.18455856536978946</v>
      </c>
      <c r="N180" s="1134">
        <f>SUMIFS(INDEX(ArchetypeDemand!$I$106:$AH$150,,MATCH(N$128,ArchetypeDemand!$I$4:$AH$4,0)),ArchetypeDemand!$F$106:$F$150,$F180)*'SHWLP-Det'!$R$11</f>
        <v>0.34080991385127468</v>
      </c>
      <c r="O180" s="1134">
        <f>SUMIFS(INDEX(ArchetypeDemand!$I$106:$AH$150,,MATCH(O$128,ArchetypeDemand!$I$4:$AH$4,0)),ArchetypeDemand!$F$106:$F$150,$F180)*'SHWLP-Det'!$R$11</f>
        <v>0.18510144266053155</v>
      </c>
      <c r="P180" s="1134">
        <f>SUMIFS(INDEX(ArchetypeDemand!$I$106:$AH$150,,MATCH(P$128,ArchetypeDemand!$I$4:$AH$4,0)),ArchetypeDemand!$F$106:$F$150,$F180)*'SHWLP-Det'!$R$11</f>
        <v>0.18224180449515295</v>
      </c>
      <c r="Q180" s="1134">
        <f>SUMIFS(INDEX(ArchetypeDemand!$I$106:$AH$150,,MATCH(Q$128,ArchetypeDemand!$I$4:$AH$4,0)),ArchetypeDemand!$F$106:$F$150,$F180)*'SHWLP-Det'!$R$11</f>
        <v>0.39627355496757383</v>
      </c>
      <c r="R180" s="1134">
        <f>SUMIFS(INDEX(ArchetypeDemand!$I$106:$AH$150,,MATCH(R$128,ArchetypeDemand!$I$4:$AH$4,0)),ArchetypeDemand!$F$106:$F$150,$F180)*'SHWLP-Det'!$R$11</f>
        <v>0.24824890602589611</v>
      </c>
      <c r="S180" s="1134">
        <f>SUMIFS(INDEX(ArchetypeDemand!$I$106:$AH$150,,MATCH(S$128,ArchetypeDemand!$I$4:$AH$4,0)),ArchetypeDemand!$F$106:$F$150,$F180)*'SHWLP-Det'!$R$11</f>
        <v>0.28167382014329234</v>
      </c>
      <c r="T180" s="1134">
        <f>SUMIFS(INDEX(ArchetypeDemand!$I$106:$AH$150,,MATCH(T$128,ArchetypeDemand!$I$4:$AH$4,0)),ArchetypeDemand!$F$106:$F$150,$F180)*'SHWLP-Det'!$R$11</f>
        <v>0.86050332451928124</v>
      </c>
      <c r="U180" s="1134">
        <f>SUMIFS(INDEX(ArchetypeDemand!$I$106:$AH$150,,MATCH(U$128,ArchetypeDemand!$I$4:$AH$4,0)),ArchetypeDemand!$F$106:$F$150,$F180)*'SHWLP-Det'!$R$11</f>
        <v>0.40456569201761489</v>
      </c>
      <c r="V180" s="1134">
        <f>SUMIFS(INDEX(ArchetypeDemand!$I$106:$AH$150,,MATCH(V$128,ArchetypeDemand!$I$4:$AH$4,0)),ArchetypeDemand!$F$106:$F$150,$F180)*'SHWLP-Det'!$R$11</f>
        <v>0.40141418173314697</v>
      </c>
      <c r="W180" s="1134">
        <f>SUMIFS(INDEX(ArchetypeDemand!$I$106:$AH$150,,MATCH(W$128,ArchetypeDemand!$I$4:$AH$4,0)),ArchetypeDemand!$F$106:$F$150,$F180)*'SHWLP-Det'!$R$11</f>
        <v>0.40362518351938925</v>
      </c>
      <c r="X180" s="1134">
        <f>SUMIFS(INDEX(ArchetypeDemand!$I$106:$AH$150,,MATCH(X$128,ArchetypeDemand!$I$4:$AH$4,0)),ArchetypeDemand!$F$106:$F$150,$F180)*'SHWLP-Det'!$R$11</f>
        <v>0.22540313394191713</v>
      </c>
      <c r="Y180" s="1134">
        <f>SUMIFS(INDEX(ArchetypeDemand!$I$106:$AH$150,,MATCH(Y$128,ArchetypeDemand!$I$4:$AH$4,0)),ArchetypeDemand!$F$106:$F$150,$F180)*'SHWLP-Det'!$R$11</f>
        <v>0.58426818397934488</v>
      </c>
      <c r="Z180" s="1134">
        <f>SUMIFS(INDEX(ArchetypeDemand!$I$106:$AH$150,,MATCH(Z$128,ArchetypeDemand!$I$4:$AH$4,0)),ArchetypeDemand!$F$106:$F$150,$F180)*'SHWLP-Det'!$R$11</f>
        <v>8.8958726460655724E-2</v>
      </c>
      <c r="AA180" s="1134">
        <f>SUMIFS(INDEX(ArchetypeDemand!$I$106:$AH$150,,MATCH(AA$128,ArchetypeDemand!$I$4:$AH$4,0)),ArchetypeDemand!$F$106:$F$150,$F180)*'SHWLP-Det'!$R$11</f>
        <v>0.40482057438154095</v>
      </c>
      <c r="AB180" s="1134">
        <f>SUMIFS(INDEX(ArchetypeDemand!$I$106:$AH$150,,MATCH(AB$128,ArchetypeDemand!$I$4:$AH$4,0)),ArchetypeDemand!$F$106:$F$150,$F180)*'SHWLP-Det'!$R$11</f>
        <v>0.18803353824015451</v>
      </c>
      <c r="AC180" s="1134">
        <f>SUMIFS(INDEX(ArchetypeDemand!$I$106:$AH$150,,MATCH(AC$128,ArchetypeDemand!$I$4:$AH$4,0)),ArchetypeDemand!$F$106:$F$150,$F180)*'SHWLP-Det'!$R$11</f>
        <v>0.15902723343375702</v>
      </c>
      <c r="AD180" s="1134">
        <f>SUMIFS(INDEX(ArchetypeDemand!$I$106:$AH$150,,MATCH(AD$128,ArchetypeDemand!$I$4:$AH$4,0)),ArchetypeDemand!$F$106:$F$150,$F180)*'SHWLP-Det'!$R$11</f>
        <v>0.1767971704181428</v>
      </c>
      <c r="AE180" s="1134">
        <f>SUMIFS(INDEX(ArchetypeDemand!$I$106:$AH$150,,MATCH(AE$128,ArchetypeDemand!$I$4:$AH$4,0)),ArchetypeDemand!$F$106:$F$150,$F180)*'SHWLP-Det'!$R$11</f>
        <v>0.45796030324272596</v>
      </c>
      <c r="AF180" s="1134">
        <f>SUMIFS(INDEX(ArchetypeDemand!$I$106:$AH$150,,MATCH(AF$128,ArchetypeDemand!$I$4:$AH$4,0)),ArchetypeDemand!$F$106:$F$150,$F180)*'SHWLP-Det'!$R$11</f>
        <v>0.16892458504434404</v>
      </c>
    </row>
    <row r="181" spans="3:32">
      <c r="C181" s="1136" t="s">
        <v>1241</v>
      </c>
      <c r="D181" s="1136" t="s">
        <v>1094</v>
      </c>
      <c r="E181" s="1136" t="s">
        <v>405</v>
      </c>
      <c r="F181" s="1136" t="s">
        <v>1227</v>
      </c>
      <c r="G181" s="1136">
        <f>SUMIFS(INDEX(ArchetypeDemand!$I$106:$AH$150,,MATCH(G$128,ArchetypeDemand!$I$4:$AH$4,0)),ArchetypeDemand!$F$106:$F$150,$F181)*'SHWLP-Det'!$R$11</f>
        <v>5.1721065399945684E-2</v>
      </c>
      <c r="H181" s="1136">
        <f>SUMIFS(INDEX(ArchetypeDemand!$I$106:$AH$150,,MATCH(H$128,ArchetypeDemand!$I$4:$AH$4,0)),ArchetypeDemand!$F$106:$F$150,$F181)*'SHWLP-Det'!$R$11</f>
        <v>0.30821694231897351</v>
      </c>
      <c r="I181" s="1136">
        <f>SUMIFS(INDEX(ArchetypeDemand!$I$106:$AH$150,,MATCH(I$128,ArchetypeDemand!$I$4:$AH$4,0)),ArchetypeDemand!$F$106:$F$150,$F181)*'SHWLP-Det'!$R$11</f>
        <v>0.11270730196383216</v>
      </c>
      <c r="J181" s="1136">
        <f>SUMIFS(INDEX(ArchetypeDemand!$I$106:$AH$150,,MATCH(J$128,ArchetypeDemand!$I$4:$AH$4,0)),ArchetypeDemand!$F$106:$F$150,$F181)*'SHWLP-Det'!$R$11</f>
        <v>0.10586607138418541</v>
      </c>
      <c r="K181" s="1136">
        <f>SUMIFS(INDEX(ArchetypeDemand!$I$106:$AH$150,,MATCH(K$128,ArchetypeDemand!$I$4:$AH$4,0)),ArchetypeDemand!$F$106:$F$150,$F181)*'SHWLP-Det'!$R$11</f>
        <v>7.2289305726362482E-2</v>
      </c>
      <c r="L181" s="1136">
        <f>SUMIFS(INDEX(ArchetypeDemand!$I$106:$AH$150,,MATCH(L$128,ArchetypeDemand!$I$4:$AH$4,0)),ArchetypeDemand!$F$106:$F$150,$F181)*'SHWLP-Det'!$R$11</f>
        <v>5.0531131734424382E-2</v>
      </c>
      <c r="M181" s="1136">
        <f>SUMIFS(INDEX(ArchetypeDemand!$I$106:$AH$150,,MATCH(M$128,ArchetypeDemand!$I$4:$AH$4,0)),ArchetypeDemand!$F$106:$F$150,$F181)*'SHWLP-Det'!$R$11</f>
        <v>8.1280337880028503E-2</v>
      </c>
      <c r="N181" s="1136">
        <f>SUMIFS(INDEX(ArchetypeDemand!$I$106:$AH$150,,MATCH(N$128,ArchetypeDemand!$I$4:$AH$4,0)),ArchetypeDemand!$F$106:$F$150,$F181)*'SHWLP-Det'!$R$11</f>
        <v>0.13411436495009127</v>
      </c>
      <c r="O181" s="1136">
        <f>SUMIFS(INDEX(ArchetypeDemand!$I$106:$AH$150,,MATCH(O$128,ArchetypeDemand!$I$4:$AH$4,0)),ArchetypeDemand!$F$106:$F$150,$F181)*'SHWLP-Det'!$R$11</f>
        <v>8.2267307849125129E-2</v>
      </c>
      <c r="P181" s="1136">
        <f>SUMIFS(INDEX(ArchetypeDemand!$I$106:$AH$150,,MATCH(P$128,ArchetypeDemand!$I$4:$AH$4,0)),ArchetypeDemand!$F$106:$F$150,$F181)*'SHWLP-Det'!$R$11</f>
        <v>8.3812456077608968E-2</v>
      </c>
      <c r="Q181" s="1136">
        <f>SUMIFS(INDEX(ArchetypeDemand!$I$106:$AH$150,,MATCH(Q$128,ArchetypeDemand!$I$4:$AH$4,0)),ArchetypeDemand!$F$106:$F$150,$F181)*'SHWLP-Det'!$R$11</f>
        <v>0.15628465105586084</v>
      </c>
      <c r="R181" s="1136">
        <f>SUMIFS(INDEX(ArchetypeDemand!$I$106:$AH$150,,MATCH(R$128,ArchetypeDemand!$I$4:$AH$4,0)),ArchetypeDemand!$F$106:$F$150,$F181)*'SHWLP-Det'!$R$11</f>
        <v>0.11064879028544673</v>
      </c>
      <c r="S181" s="1136">
        <f>SUMIFS(INDEX(ArchetypeDemand!$I$106:$AH$150,,MATCH(S$128,ArchetypeDemand!$I$4:$AH$4,0)),ArchetypeDemand!$F$106:$F$150,$F181)*'SHWLP-Det'!$R$11</f>
        <v>0.13687295730472898</v>
      </c>
      <c r="T181" s="1136">
        <f>SUMIFS(INDEX(ArchetypeDemand!$I$106:$AH$150,,MATCH(T$128,ArchetypeDemand!$I$4:$AH$4,0)),ArchetypeDemand!$F$106:$F$150,$F181)*'SHWLP-Det'!$R$11</f>
        <v>0.36810777019017499</v>
      </c>
      <c r="U181" s="1136">
        <f>SUMIFS(INDEX(ArchetypeDemand!$I$106:$AH$150,,MATCH(U$128,ArchetypeDemand!$I$4:$AH$4,0)),ArchetypeDemand!$F$106:$F$150,$F181)*'SHWLP-Det'!$R$11</f>
        <v>0.18649346333065309</v>
      </c>
      <c r="V181" s="1136">
        <f>SUMIFS(INDEX(ArchetypeDemand!$I$106:$AH$150,,MATCH(V$128,ArchetypeDemand!$I$4:$AH$4,0)),ArchetypeDemand!$F$106:$F$150,$F181)*'SHWLP-Det'!$R$11</f>
        <v>0.16311883710004205</v>
      </c>
      <c r="W181" s="1136">
        <f>SUMIFS(INDEX(ArchetypeDemand!$I$106:$AH$150,,MATCH(W$128,ArchetypeDemand!$I$4:$AH$4,0)),ArchetypeDemand!$F$106:$F$150,$F181)*'SHWLP-Det'!$R$11</f>
        <v>0.19835150895745476</v>
      </c>
      <c r="X181" s="1136">
        <f>SUMIFS(INDEX(ArchetypeDemand!$I$106:$AH$150,,MATCH(X$128,ArchetypeDemand!$I$4:$AH$4,0)),ArchetypeDemand!$F$106:$F$150,$F181)*'SHWLP-Det'!$R$11</f>
        <v>7.4668756483294227E-2</v>
      </c>
      <c r="Y181" s="1136">
        <f>SUMIFS(INDEX(ArchetypeDemand!$I$106:$AH$150,,MATCH(Y$128,ArchetypeDemand!$I$4:$AH$4,0)),ArchetypeDemand!$F$106:$F$150,$F181)*'SHWLP-Det'!$R$11</f>
        <v>0.26336788847558795</v>
      </c>
      <c r="Z181" s="1136">
        <f>SUMIFS(INDEX(ArchetypeDemand!$I$106:$AH$150,,MATCH(Z$128,ArchetypeDemand!$I$4:$AH$4,0)),ArchetypeDemand!$F$106:$F$150,$F181)*'SHWLP-Det'!$R$11</f>
        <v>5.1390499349781203E-2</v>
      </c>
      <c r="AA181" s="1136">
        <f>SUMIFS(INDEX(ArchetypeDemand!$I$106:$AH$150,,MATCH(AA$128,ArchetypeDemand!$I$4:$AH$4,0)),ArchetypeDemand!$F$106:$F$150,$F181)*'SHWLP-Det'!$R$11</f>
        <v>0.19099880958221993</v>
      </c>
      <c r="AB181" s="1136">
        <f>SUMIFS(INDEX(ArchetypeDemand!$I$106:$AH$150,,MATCH(AB$128,ArchetypeDemand!$I$4:$AH$4,0)),ArchetypeDemand!$F$106:$F$150,$F181)*'SHWLP-Det'!$R$11</f>
        <v>9.5257459621661836E-2</v>
      </c>
      <c r="AC181" s="1136">
        <f>SUMIFS(INDEX(ArchetypeDemand!$I$106:$AH$150,,MATCH(AC$128,ArchetypeDemand!$I$4:$AH$4,0)),ArchetypeDemand!$F$106:$F$150,$F181)*'SHWLP-Det'!$R$11</f>
        <v>7.8500704402013816E-2</v>
      </c>
      <c r="AD181" s="1136">
        <f>SUMIFS(INDEX(ArchetypeDemand!$I$106:$AH$150,,MATCH(AD$128,ArchetypeDemand!$I$4:$AH$4,0)),ArchetypeDemand!$F$106:$F$150,$F181)*'SHWLP-Det'!$R$11</f>
        <v>8.5580079593709696E-2</v>
      </c>
      <c r="AE181" s="1136">
        <f>SUMIFS(INDEX(ArchetypeDemand!$I$106:$AH$150,,MATCH(AE$128,ArchetypeDemand!$I$4:$AH$4,0)),ArchetypeDemand!$F$106:$F$150,$F181)*'SHWLP-Det'!$R$11</f>
        <v>0.2116763404669717</v>
      </c>
      <c r="AF181" s="1136">
        <f>SUMIFS(INDEX(ArchetypeDemand!$I$106:$AH$150,,MATCH(AF$128,ArchetypeDemand!$I$4:$AH$4,0)),ArchetypeDemand!$F$106:$F$150,$F181)*'SHWLP-Det'!$R$11</f>
        <v>7.7031060776659013E-2</v>
      </c>
    </row>
    <row r="182" spans="3:32">
      <c r="C182" s="1134" t="s">
        <v>1241</v>
      </c>
      <c r="D182" s="1134" t="s">
        <v>1094</v>
      </c>
      <c r="E182" s="1134" t="s">
        <v>405</v>
      </c>
      <c r="F182" s="1134" t="s">
        <v>1228</v>
      </c>
      <c r="G182" s="1134">
        <f>SUMIFS(INDEX(ArchetypeDemand!$I$106:$AH$150,,MATCH(G$128,ArchetypeDemand!$I$4:$AH$4,0)),ArchetypeDemand!$F$106:$F$150,$F182)*'SHWLP-Det'!$R$11</f>
        <v>2.7767300087989274E-2</v>
      </c>
      <c r="H182" s="1134">
        <f>SUMIFS(INDEX(ArchetypeDemand!$I$106:$AH$150,,MATCH(H$128,ArchetypeDemand!$I$4:$AH$4,0)),ArchetypeDemand!$F$106:$F$150,$F182)*'SHWLP-Det'!$R$11</f>
        <v>0.1501599496678345</v>
      </c>
      <c r="I182" s="1134">
        <f>SUMIFS(INDEX(ArchetypeDemand!$I$106:$AH$150,,MATCH(I$128,ArchetypeDemand!$I$4:$AH$4,0)),ArchetypeDemand!$F$106:$F$150,$F182)*'SHWLP-Det'!$R$11</f>
        <v>4.6972159142217078E-2</v>
      </c>
      <c r="J182" s="1134">
        <f>SUMIFS(INDEX(ArchetypeDemand!$I$106:$AH$150,,MATCH(J$128,ArchetypeDemand!$I$4:$AH$4,0)),ArchetypeDemand!$F$106:$F$150,$F182)*'SHWLP-Det'!$R$11</f>
        <v>5.0381054189052463E-2</v>
      </c>
      <c r="K182" s="1134">
        <f>SUMIFS(INDEX(ArchetypeDemand!$I$106:$AH$150,,MATCH(K$128,ArchetypeDemand!$I$4:$AH$4,0)),ArchetypeDemand!$F$106:$F$150,$F182)*'SHWLP-Det'!$R$11</f>
        <v>4.3486535476014936E-2</v>
      </c>
      <c r="L182" s="1134">
        <f>SUMIFS(INDEX(ArchetypeDemand!$I$106:$AH$150,,MATCH(L$128,ArchetypeDemand!$I$4:$AH$4,0)),ArchetypeDemand!$F$106:$F$150,$F182)*'SHWLP-Det'!$R$11</f>
        <v>3.5409596053299873E-2</v>
      </c>
      <c r="M182" s="1134">
        <f>SUMIFS(INDEX(ArchetypeDemand!$I$106:$AH$150,,MATCH(M$128,ArchetypeDemand!$I$4:$AH$4,0)),ArchetypeDemand!$F$106:$F$150,$F182)*'SHWLP-Det'!$R$11</f>
        <v>3.6414585625150382E-2</v>
      </c>
      <c r="N182" s="1134">
        <f>SUMIFS(INDEX(ArchetypeDemand!$I$106:$AH$150,,MATCH(N$128,ArchetypeDemand!$I$4:$AH$4,0)),ArchetypeDemand!$F$106:$F$150,$F182)*'SHWLP-Det'!$R$11</f>
        <v>6.6148169573924054E-2</v>
      </c>
      <c r="O182" s="1134">
        <f>SUMIFS(INDEX(ArchetypeDemand!$I$106:$AH$150,,MATCH(O$128,ArchetypeDemand!$I$4:$AH$4,0)),ArchetypeDemand!$F$106:$F$150,$F182)*'SHWLP-Det'!$R$11</f>
        <v>4.9235737273340047E-2</v>
      </c>
      <c r="P182" s="1134">
        <f>SUMIFS(INDEX(ArchetypeDemand!$I$106:$AH$150,,MATCH(P$128,ArchetypeDemand!$I$4:$AH$4,0)),ArchetypeDemand!$F$106:$F$150,$F182)*'SHWLP-Det'!$R$11</f>
        <v>4.7471375122357724E-2</v>
      </c>
      <c r="Q182" s="1134">
        <f>SUMIFS(INDEX(ArchetypeDemand!$I$106:$AH$150,,MATCH(Q$128,ArchetypeDemand!$I$4:$AH$4,0)),ArchetypeDemand!$F$106:$F$150,$F182)*'SHWLP-Det'!$R$11</f>
        <v>6.8505322732026391E-2</v>
      </c>
      <c r="R182" s="1134">
        <f>SUMIFS(INDEX(ArchetypeDemand!$I$106:$AH$150,,MATCH(R$128,ArchetypeDemand!$I$4:$AH$4,0)),ArchetypeDemand!$F$106:$F$150,$F182)*'SHWLP-Det'!$R$11</f>
        <v>5.8971478174478308E-2</v>
      </c>
      <c r="S182" s="1134">
        <f>SUMIFS(INDEX(ArchetypeDemand!$I$106:$AH$150,,MATCH(S$128,ArchetypeDemand!$I$4:$AH$4,0)),ArchetypeDemand!$F$106:$F$150,$F182)*'SHWLP-Det'!$R$11</f>
        <v>6.1441267887216489E-2</v>
      </c>
      <c r="T182" s="1134">
        <f>SUMIFS(INDEX(ArchetypeDemand!$I$106:$AH$150,,MATCH(T$128,ArchetypeDemand!$I$4:$AH$4,0)),ArchetypeDemand!$F$106:$F$150,$F182)*'SHWLP-Det'!$R$11</f>
        <v>0.17184360640512011</v>
      </c>
      <c r="U182" s="1134">
        <f>SUMIFS(INDEX(ArchetypeDemand!$I$106:$AH$150,,MATCH(U$128,ArchetypeDemand!$I$4:$AH$4,0)),ArchetypeDemand!$F$106:$F$150,$F182)*'SHWLP-Det'!$R$11</f>
        <v>8.1508964164962755E-2</v>
      </c>
      <c r="V182" s="1134">
        <f>SUMIFS(INDEX(ArchetypeDemand!$I$106:$AH$150,,MATCH(V$128,ArchetypeDemand!$I$4:$AH$4,0)),ArchetypeDemand!$F$106:$F$150,$F182)*'SHWLP-Det'!$R$11</f>
        <v>8.6137061804607173E-2</v>
      </c>
      <c r="W182" s="1134">
        <f>SUMIFS(INDEX(ArchetypeDemand!$I$106:$AH$150,,MATCH(W$128,ArchetypeDemand!$I$4:$AH$4,0)),ArchetypeDemand!$F$106:$F$150,$F182)*'SHWLP-Det'!$R$11</f>
        <v>0.1093702165507793</v>
      </c>
      <c r="X182" s="1134">
        <f>SUMIFS(INDEX(ArchetypeDemand!$I$106:$AH$150,,MATCH(X$128,ArchetypeDemand!$I$4:$AH$4,0)),ArchetypeDemand!$F$106:$F$150,$F182)*'SHWLP-Det'!$R$11</f>
        <v>4.0382082587904031E-2</v>
      </c>
      <c r="Y182" s="1134">
        <f>SUMIFS(INDEX(ArchetypeDemand!$I$106:$AH$150,,MATCH(Y$128,ArchetypeDemand!$I$4:$AH$4,0)),ArchetypeDemand!$F$106:$F$150,$F182)*'SHWLP-Det'!$R$11</f>
        <v>0.12388806135267448</v>
      </c>
      <c r="Z182" s="1134">
        <f>SUMIFS(INDEX(ArchetypeDemand!$I$106:$AH$150,,MATCH(Z$128,ArchetypeDemand!$I$4:$AH$4,0)),ArchetypeDemand!$F$106:$F$150,$F182)*'SHWLP-Det'!$R$11</f>
        <v>2.7998961714708375E-2</v>
      </c>
      <c r="AA182" s="1134">
        <f>SUMIFS(INDEX(ArchetypeDemand!$I$106:$AH$150,,MATCH(AA$128,ArchetypeDemand!$I$4:$AH$4,0)),ArchetypeDemand!$F$106:$F$150,$F182)*'SHWLP-Det'!$R$11</f>
        <v>9.7794450567131319E-2</v>
      </c>
      <c r="AB182" s="1134">
        <f>SUMIFS(INDEX(ArchetypeDemand!$I$106:$AH$150,,MATCH(AB$128,ArchetypeDemand!$I$4:$AH$4,0)),ArchetypeDemand!$F$106:$F$150,$F182)*'SHWLP-Det'!$R$11</f>
        <v>5.500394557025047E-2</v>
      </c>
      <c r="AC182" s="1134">
        <f>SUMIFS(INDEX(ArchetypeDemand!$I$106:$AH$150,,MATCH(AC$128,ArchetypeDemand!$I$4:$AH$4,0)),ArchetypeDemand!$F$106:$F$150,$F182)*'SHWLP-Det'!$R$11</f>
        <v>4.8113334956072985E-2</v>
      </c>
      <c r="AD182" s="1134">
        <f>SUMIFS(INDEX(ArchetypeDemand!$I$106:$AH$150,,MATCH(AD$128,ArchetypeDemand!$I$4:$AH$4,0)),ArchetypeDemand!$F$106:$F$150,$F182)*'SHWLP-Det'!$R$11</f>
        <v>4.3558723146498952E-2</v>
      </c>
      <c r="AE182" s="1134">
        <f>SUMIFS(INDEX(ArchetypeDemand!$I$106:$AH$150,,MATCH(AE$128,ArchetypeDemand!$I$4:$AH$4,0)),ArchetypeDemand!$F$106:$F$150,$F182)*'SHWLP-Det'!$R$11</f>
        <v>0.10173807040172242</v>
      </c>
      <c r="AF182" s="1134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38" t="s">
        <v>1241</v>
      </c>
      <c r="D183" s="1138" t="s">
        <v>1094</v>
      </c>
      <c r="E183" s="1138" t="s">
        <v>405</v>
      </c>
      <c r="F183" s="1138" t="s">
        <v>1229</v>
      </c>
      <c r="G183" s="1138">
        <f>SUMIFS(INDEX(ArchetypeDemand!$I$106:$AH$150,,MATCH(G$128,ArchetypeDemand!$I$4:$AH$4,0)),ArchetypeDemand!$F$106:$F$150,$F183)*'SHWLP-Det'!$R$11</f>
        <v>5.2197757246949791E-2</v>
      </c>
      <c r="H183" s="1138">
        <f>SUMIFS(INDEX(ArchetypeDemand!$I$106:$AH$150,,MATCH(H$128,ArchetypeDemand!$I$4:$AH$4,0)),ArchetypeDemand!$F$106:$F$150,$F183)*'SHWLP-Det'!$R$11</f>
        <v>0.16943802518590143</v>
      </c>
      <c r="I183" s="1138">
        <f>SUMIFS(INDEX(ArchetypeDemand!$I$106:$AH$150,,MATCH(I$128,ArchetypeDemand!$I$4:$AH$4,0)),ArchetypeDemand!$F$106:$F$150,$F183)*'SHWLP-Det'!$R$11</f>
        <v>8.2686528076795343E-2</v>
      </c>
      <c r="J183" s="1138">
        <f>SUMIFS(INDEX(ArchetypeDemand!$I$106:$AH$150,,MATCH(J$128,ArchetypeDemand!$I$4:$AH$4,0)),ArchetypeDemand!$F$106:$F$150,$F183)*'SHWLP-Det'!$R$11</f>
        <v>0.10174997218573339</v>
      </c>
      <c r="K183" s="1138">
        <f>SUMIFS(INDEX(ArchetypeDemand!$I$106:$AH$150,,MATCH(K$128,ArchetypeDemand!$I$4:$AH$4,0)),ArchetypeDemand!$F$106:$F$150,$F183)*'SHWLP-Det'!$R$11</f>
        <v>7.7230957485000543E-2</v>
      </c>
      <c r="L183" s="1138">
        <f>SUMIFS(INDEX(ArchetypeDemand!$I$106:$AH$150,,MATCH(L$128,ArchetypeDemand!$I$4:$AH$4,0)),ArchetypeDemand!$F$106:$F$150,$F183)*'SHWLP-Det'!$R$11</f>
        <v>5.6201707614846066E-2</v>
      </c>
      <c r="M183" s="1138">
        <f>SUMIFS(INDEX(ArchetypeDemand!$I$106:$AH$150,,MATCH(M$128,ArchetypeDemand!$I$4:$AH$4,0)),ArchetypeDemand!$F$106:$F$150,$F183)*'SHWLP-Det'!$R$11</f>
        <v>6.4378004620573026E-2</v>
      </c>
      <c r="N183" s="1138">
        <f>SUMIFS(INDEX(ArchetypeDemand!$I$106:$AH$150,,MATCH(N$128,ArchetypeDemand!$I$4:$AH$4,0)),ArchetypeDemand!$F$106:$F$150,$F183)*'SHWLP-Det'!$R$11</f>
        <v>0.11705289203673243</v>
      </c>
      <c r="O183" s="1138">
        <f>SUMIFS(INDEX(ArchetypeDemand!$I$106:$AH$150,,MATCH(O$128,ArchetypeDemand!$I$4:$AH$4,0)),ArchetypeDemand!$F$106:$F$150,$F183)*'SHWLP-Det'!$R$11</f>
        <v>8.273473573463154E-2</v>
      </c>
      <c r="P183" s="1138">
        <f>SUMIFS(INDEX(ArchetypeDemand!$I$106:$AH$150,,MATCH(P$128,ArchetypeDemand!$I$4:$AH$4,0)),ArchetypeDemand!$F$106:$F$150,$F183)*'SHWLP-Det'!$R$11</f>
        <v>9.6417849471681374E-2</v>
      </c>
      <c r="Q183" s="1138">
        <f>SUMIFS(INDEX(ArchetypeDemand!$I$106:$AH$150,,MATCH(Q$128,ArchetypeDemand!$I$4:$AH$4,0)),ArchetypeDemand!$F$106:$F$150,$F183)*'SHWLP-Det'!$R$11</f>
        <v>0.11189936960729711</v>
      </c>
      <c r="R183" s="1138">
        <f>SUMIFS(INDEX(ArchetypeDemand!$I$106:$AH$150,,MATCH(R$128,ArchetypeDemand!$I$4:$AH$4,0)),ArchetypeDemand!$F$106:$F$150,$F183)*'SHWLP-Det'!$R$11</f>
        <v>9.4082379225949669E-2</v>
      </c>
      <c r="S183" s="1138">
        <f>SUMIFS(INDEX(ArchetypeDemand!$I$106:$AH$150,,MATCH(S$128,ArchetypeDemand!$I$4:$AH$4,0)),ArchetypeDemand!$F$106:$F$150,$F183)*'SHWLP-Det'!$R$11</f>
        <v>0.12754600961786497</v>
      </c>
      <c r="T183" s="1138">
        <f>SUMIFS(INDEX(ArchetypeDemand!$I$106:$AH$150,,MATCH(T$128,ArchetypeDemand!$I$4:$AH$4,0)),ArchetypeDemand!$F$106:$F$150,$F183)*'SHWLP-Det'!$R$11</f>
        <v>0.34792867803938676</v>
      </c>
      <c r="U183" s="1138">
        <f>SUMIFS(INDEX(ArchetypeDemand!$I$106:$AH$150,,MATCH(U$128,ArchetypeDemand!$I$4:$AH$4,0)),ArchetypeDemand!$F$106:$F$150,$F183)*'SHWLP-Det'!$R$11</f>
        <v>0.1496714312736743</v>
      </c>
      <c r="V183" s="1138">
        <f>SUMIFS(INDEX(ArchetypeDemand!$I$106:$AH$150,,MATCH(V$128,ArchetypeDemand!$I$4:$AH$4,0)),ArchetypeDemand!$F$106:$F$150,$F183)*'SHWLP-Det'!$R$11</f>
        <v>0.15602671374786628</v>
      </c>
      <c r="W183" s="1138">
        <f>SUMIFS(INDEX(ArchetypeDemand!$I$106:$AH$150,,MATCH(W$128,ArchetypeDemand!$I$4:$AH$4,0)),ArchetypeDemand!$F$106:$F$150,$F183)*'SHWLP-Det'!$R$11</f>
        <v>0.1885346195547381</v>
      </c>
      <c r="X183" s="1138">
        <f>SUMIFS(INDEX(ArchetypeDemand!$I$106:$AH$150,,MATCH(X$128,ArchetypeDemand!$I$4:$AH$4,0)),ArchetypeDemand!$F$106:$F$150,$F183)*'SHWLP-Det'!$R$11</f>
        <v>5.346181374058992E-2</v>
      </c>
      <c r="Y183" s="1138">
        <f>SUMIFS(INDEX(ArchetypeDemand!$I$106:$AH$150,,MATCH(Y$128,ArchetypeDemand!$I$4:$AH$4,0)),ArchetypeDemand!$F$106:$F$150,$F183)*'SHWLP-Det'!$R$11</f>
        <v>0.23448081856018393</v>
      </c>
      <c r="Z183" s="1138">
        <f>SUMIFS(INDEX(ArchetypeDemand!$I$106:$AH$150,,MATCH(Z$128,ArchetypeDemand!$I$4:$AH$4,0)),ArchetypeDemand!$F$106:$F$150,$F183)*'SHWLP-Det'!$R$11</f>
        <v>6.2613711851457546E-2</v>
      </c>
      <c r="AA183" s="1138">
        <f>SUMIFS(INDEX(ArchetypeDemand!$I$106:$AH$150,,MATCH(AA$128,ArchetypeDemand!$I$4:$AH$4,0)),ArchetypeDemand!$F$106:$F$150,$F183)*'SHWLP-Det'!$R$11</f>
        <v>0.18730123583196334</v>
      </c>
      <c r="AB183" s="1138">
        <f>SUMIFS(INDEX(ArchetypeDemand!$I$106:$AH$150,,MATCH(AB$128,ArchetypeDemand!$I$4:$AH$4,0)),ArchetypeDemand!$F$106:$F$150,$F183)*'SHWLP-Det'!$R$11</f>
        <v>0.1232419231574033</v>
      </c>
      <c r="AC183" s="1138">
        <f>SUMIFS(INDEX(ArchetypeDemand!$I$106:$AH$150,,MATCH(AC$128,ArchetypeDemand!$I$4:$AH$4,0)),ArchetypeDemand!$F$106:$F$150,$F183)*'SHWLP-Det'!$R$11</f>
        <v>7.9387002677520427E-2</v>
      </c>
      <c r="AD183" s="1138">
        <f>SUMIFS(INDEX(ArchetypeDemand!$I$106:$AH$150,,MATCH(AD$128,ArchetypeDemand!$I$4:$AH$4,0)),ArchetypeDemand!$F$106:$F$150,$F183)*'SHWLP-Det'!$R$11</f>
        <v>8.6348762943353807E-2</v>
      </c>
      <c r="AE183" s="1138">
        <f>SUMIFS(INDEX(ArchetypeDemand!$I$106:$AH$150,,MATCH(AE$128,ArchetypeDemand!$I$4:$AH$4,0)),ArchetypeDemand!$F$106:$F$150,$F183)*'SHWLP-Det'!$R$11</f>
        <v>0.1773466910281391</v>
      </c>
      <c r="AF183" s="1138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1" t="s">
        <v>1242</v>
      </c>
      <c r="D184" s="1141" t="s">
        <v>1094</v>
      </c>
      <c r="E184" s="1141" t="s">
        <v>405</v>
      </c>
      <c r="F184" s="1141" t="s">
        <v>938</v>
      </c>
      <c r="G184" s="1141">
        <f>SUM(ArchetypeDemand!I106:I150)*'SHWLP-Det'!$R$37</f>
        <v>0.49807037425604034</v>
      </c>
      <c r="H184" s="1141">
        <f>SUM(ArchetypeDemand!J106:J150)*'SHWLP-Det'!$R$37</f>
        <v>2.5858563074229344</v>
      </c>
      <c r="I184" s="1141">
        <f>SUM(ArchetypeDemand!K106:K150)*'SHWLP-Det'!$R$37</f>
        <v>1.3953753515764491</v>
      </c>
      <c r="J184" s="1141">
        <f>SUM(ArchetypeDemand!L106:L150)*'SHWLP-Det'!$R$37</f>
        <v>0.9619463337370564</v>
      </c>
      <c r="K184" s="1141">
        <f>SUM(ArchetypeDemand!M106:M150)*'SHWLP-Det'!$R$37</f>
        <v>0.75033362288675021</v>
      </c>
      <c r="L184" s="1141">
        <f>SUM(ArchetypeDemand!N106:N150)*'SHWLP-Det'!$R$37</f>
        <v>0.44750838539574739</v>
      </c>
      <c r="M184" s="1141">
        <f>SUM(ArchetypeDemand!O106:O150)*'SHWLP-Det'!$R$37</f>
        <v>0.86872158299821078</v>
      </c>
      <c r="N184" s="1141">
        <f>SUM(ArchetypeDemand!P106:P150)*'SHWLP-Det'!$R$37</f>
        <v>1.5804574540807899</v>
      </c>
      <c r="O184" s="1141">
        <f>SUM(ArchetypeDemand!Q106:Q150)*'SHWLP-Det'!$R$37</f>
        <v>0.73516579681030048</v>
      </c>
      <c r="P184" s="1141">
        <f>SUM(ArchetypeDemand!R106:R150)*'SHWLP-Det'!$R$37</f>
        <v>0.77461406789727649</v>
      </c>
      <c r="Q184" s="1141">
        <f>SUM(ArchetypeDemand!S106:S150)*'SHWLP-Det'!$R$37</f>
        <v>1.5599300614487339</v>
      </c>
      <c r="R184" s="1141">
        <f>SUM(ArchetypeDemand!T106:T150)*'SHWLP-Det'!$R$37</f>
        <v>1.0373774030555223</v>
      </c>
      <c r="S184" s="1141">
        <f>SUM(ArchetypeDemand!U106:U150)*'SHWLP-Det'!$R$37</f>
        <v>1.2073722674992933</v>
      </c>
      <c r="T184" s="1141">
        <f>SUM(ArchetypeDemand!V106:V150)*'SHWLP-Det'!$R$37</f>
        <v>4.0845075045906905</v>
      </c>
      <c r="U184" s="1141">
        <f>SUM(ArchetypeDemand!W106:W150)*'SHWLP-Det'!$R$37</f>
        <v>1.674964275042919</v>
      </c>
      <c r="V184" s="1141">
        <f>SUM(ArchetypeDemand!X106:X150)*'SHWLP-Det'!$R$37</f>
        <v>1.5080159986753294</v>
      </c>
      <c r="W184" s="1141">
        <f>SUM(ArchetypeDemand!Y106:Y150)*'SHWLP-Det'!$R$37</f>
        <v>1.6099697088884288</v>
      </c>
      <c r="X184" s="1141">
        <f>SUM(ArchetypeDemand!Z106:Z150)*'SHWLP-Det'!$R$37</f>
        <v>0.88142819862049682</v>
      </c>
      <c r="Y184" s="1141">
        <f>SUM(ArchetypeDemand!AA106:AA150)*'SHWLP-Det'!$R$37</f>
        <v>2.5496377016319101</v>
      </c>
      <c r="Z184" s="1141">
        <f>SUM(ArchetypeDemand!AB106:AB150)*'SHWLP-Det'!$R$37</f>
        <v>0.41906410572170449</v>
      </c>
      <c r="AA184" s="1141">
        <f>SUM(ArchetypeDemand!AC106:AC150)*'SHWLP-Det'!$R$37</f>
        <v>1.5977340801569286</v>
      </c>
      <c r="AB184" s="1141">
        <f>SUM(ArchetypeDemand!AD106:AD150)*'SHWLP-Det'!$R$37</f>
        <v>0.83254163662598712</v>
      </c>
      <c r="AC184" s="1141">
        <f>SUM(ArchetypeDemand!AE106:AE150)*'SHWLP-Det'!$R$37</f>
        <v>0.66738796816586454</v>
      </c>
      <c r="AD184" s="1141">
        <f>SUM(ArchetypeDemand!AF106:AF150)*'SHWLP-Det'!$R$37</f>
        <v>0.83433195802707083</v>
      </c>
      <c r="AE184" s="1141">
        <f>SUM(ArchetypeDemand!AG106:AG150)*'SHWLP-Det'!$R$37</f>
        <v>1.8758079205039986</v>
      </c>
      <c r="AF184" s="1141">
        <f>SUM(ArchetypeDemand!AH106:AH150)*'SHWLP-Det'!$R$37</f>
        <v>0.65177379068449615</v>
      </c>
    </row>
    <row r="185" spans="3:32" ht="15">
      <c r="C185" s="1137" t="s">
        <v>1217</v>
      </c>
      <c r="D185" s="1137"/>
      <c r="E185" s="1137"/>
      <c r="F185" s="1137"/>
      <c r="G185" s="1137"/>
      <c r="H185" s="1137"/>
      <c r="I185" s="1137"/>
      <c r="J185" s="1137"/>
      <c r="K185" s="1137"/>
      <c r="L185" s="1137"/>
      <c r="M185" s="1137"/>
      <c r="N185" s="1137"/>
      <c r="O185" s="1137"/>
      <c r="P185" s="1137"/>
      <c r="Q185" s="1137"/>
      <c r="R185" s="1137"/>
      <c r="S185" s="1137"/>
      <c r="T185" s="1137"/>
      <c r="U185" s="1137"/>
      <c r="V185" s="1137"/>
      <c r="W185" s="1137"/>
      <c r="X185" s="1137"/>
      <c r="Y185" s="1137"/>
      <c r="Z185" s="1137"/>
      <c r="AA185" s="1137"/>
      <c r="AB185" s="1137"/>
      <c r="AC185" s="1137"/>
      <c r="AD185" s="1137"/>
      <c r="AE185" s="1137"/>
      <c r="AF185" s="1137"/>
    </row>
    <row r="186" spans="3:32">
      <c r="C186" s="1145" t="s">
        <v>1243</v>
      </c>
      <c r="D186" s="1134" t="s">
        <v>1094</v>
      </c>
      <c r="E186" s="1134" t="s">
        <v>405</v>
      </c>
      <c r="F186" s="1134" t="s">
        <v>1224</v>
      </c>
      <c r="G186" s="1134">
        <f>SUMIFS(INDEX(ArchetypeDemand!$I$106:$AH$150,,MATCH(G$128,ArchetypeDemand!$I$4:$AH$4,0)),ArchetypeDemand!$F$106:$F$150,$F186)*'SHWLP-Det'!$R$12</f>
        <v>3.1657111388965563E-2</v>
      </c>
      <c r="H186" s="1134">
        <f>SUMIFS(INDEX(ArchetypeDemand!$I$106:$AH$150,,MATCH(H$128,ArchetypeDemand!$I$4:$AH$4,0)),ArchetypeDemand!$F$106:$F$150,$F186)*'SHWLP-Det'!$R$12</f>
        <v>0.24738362507160155</v>
      </c>
      <c r="I186" s="1134">
        <f>SUMIFS(INDEX(ArchetypeDemand!$I$106:$AH$150,,MATCH(I$128,ArchetypeDemand!$I$4:$AH$4,0)),ArchetypeDemand!$F$106:$F$150,$F186)*'SHWLP-Det'!$R$12</f>
        <v>0.1344454983578654</v>
      </c>
      <c r="J186" s="1134">
        <f>SUMIFS(INDEX(ArchetypeDemand!$I$106:$AH$150,,MATCH(J$128,ArchetypeDemand!$I$4:$AH$4,0)),ArchetypeDemand!$F$106:$F$150,$F186)*'SHWLP-Det'!$R$12</f>
        <v>6.0766555682548212E-2</v>
      </c>
      <c r="K186" s="1134">
        <f>SUMIFS(INDEX(ArchetypeDemand!$I$106:$AH$150,,MATCH(K$128,ArchetypeDemand!$I$4:$AH$4,0)),ArchetypeDemand!$F$106:$F$150,$F186)*'SHWLP-Det'!$R$12</f>
        <v>4.6282738292359148E-2</v>
      </c>
      <c r="L186" s="1134">
        <f>SUMIFS(INDEX(ArchetypeDemand!$I$106:$AH$150,,MATCH(L$128,ArchetypeDemand!$I$4:$AH$4,0)),ArchetypeDemand!$F$106:$F$150,$F186)*'SHWLP-Det'!$R$12</f>
        <v>2.4690462856023915E-2</v>
      </c>
      <c r="M186" s="1134">
        <f>SUMIFS(INDEX(ArchetypeDemand!$I$106:$AH$150,,MATCH(M$128,ArchetypeDemand!$I$4:$AH$4,0)),ArchetypeDemand!$F$106:$F$150,$F186)*'SHWLP-Det'!$R$12</f>
        <v>7.7281558365341105E-2</v>
      </c>
      <c r="N186" s="1134">
        <f>SUMIFS(INDEX(ArchetypeDemand!$I$106:$AH$150,,MATCH(N$128,ArchetypeDemand!$I$4:$AH$4,0)),ArchetypeDemand!$F$106:$F$150,$F186)*'SHWLP-Det'!$R$12</f>
        <v>0.14318066304271218</v>
      </c>
      <c r="O186" s="1134">
        <f>SUMIFS(INDEX(ArchetypeDemand!$I$106:$AH$150,,MATCH(O$128,ArchetypeDemand!$I$4:$AH$4,0)),ArchetypeDemand!$F$106:$F$150,$F186)*'SHWLP-Det'!$R$12</f>
        <v>3.7670985389891803E-2</v>
      </c>
      <c r="P186" s="1134">
        <f>SUMIFS(INDEX(ArchetypeDemand!$I$106:$AH$150,,MATCH(P$128,ArchetypeDemand!$I$4:$AH$4,0)),ArchetypeDemand!$F$106:$F$150,$F186)*'SHWLP-Det'!$R$12</f>
        <v>4.4273359920709909E-2</v>
      </c>
      <c r="Q186" s="1134">
        <f>SUMIFS(INDEX(ArchetypeDemand!$I$106:$AH$150,,MATCH(Q$128,ArchetypeDemand!$I$4:$AH$4,0)),ArchetypeDemand!$F$106:$F$150,$F186)*'SHWLP-Det'!$R$12</f>
        <v>9.7945954347383818E-2</v>
      </c>
      <c r="R186" s="1134">
        <f>SUMIFS(INDEX(ArchetypeDemand!$I$106:$AH$150,,MATCH(R$128,ArchetypeDemand!$I$4:$AH$4,0)),ArchetypeDemand!$F$106:$F$150,$F186)*'SHWLP-Det'!$R$12</f>
        <v>8.2478373193044213E-2</v>
      </c>
      <c r="S186" s="1134">
        <f>SUMIFS(INDEX(ArchetypeDemand!$I$106:$AH$150,,MATCH(S$128,ArchetypeDemand!$I$4:$AH$4,0)),ArchetypeDemand!$F$106:$F$150,$F186)*'SHWLP-Det'!$R$12</f>
        <v>6.7718216744012683E-2</v>
      </c>
      <c r="T186" s="1134">
        <f>SUMIFS(INDEX(ArchetypeDemand!$I$106:$AH$150,,MATCH(T$128,ArchetypeDemand!$I$4:$AH$4,0)),ArchetypeDemand!$F$106:$F$150,$F186)*'SHWLP-Det'!$R$12</f>
        <v>0.38009660406063334</v>
      </c>
      <c r="U186" s="1134">
        <f>SUMIFS(INDEX(ArchetypeDemand!$I$106:$AH$150,,MATCH(U$128,ArchetypeDemand!$I$4:$AH$4,0)),ArchetypeDemand!$F$106:$F$150,$F186)*'SHWLP-Det'!$R$12</f>
        <v>0.12357552678550725</v>
      </c>
      <c r="V186" s="1134">
        <f>SUMIFS(INDEX(ArchetypeDemand!$I$106:$AH$150,,MATCH(V$128,ArchetypeDemand!$I$4:$AH$4,0)),ArchetypeDemand!$F$106:$F$150,$F186)*'SHWLP-Det'!$R$12</f>
        <v>8.5007290289667095E-2</v>
      </c>
      <c r="W186" s="1134">
        <f>SUMIFS(INDEX(ArchetypeDemand!$I$106:$AH$150,,MATCH(W$128,ArchetypeDemand!$I$4:$AH$4,0)),ArchetypeDemand!$F$106:$F$150,$F186)*'SHWLP-Det'!$R$12</f>
        <v>8.4608039289477813E-2</v>
      </c>
      <c r="X186" s="1134">
        <f>SUMIFS(INDEX(ArchetypeDemand!$I$106:$AH$150,,MATCH(X$128,ArchetypeDemand!$I$4:$AH$4,0)),ArchetypeDemand!$F$106:$F$150,$F186)*'SHWLP-Det'!$R$12</f>
        <v>6.671410586005723E-2</v>
      </c>
      <c r="Y186" s="1134">
        <f>SUMIFS(INDEX(ArchetypeDemand!$I$106:$AH$150,,MATCH(Y$128,ArchetypeDemand!$I$4:$AH$4,0)),ArchetypeDemand!$F$106:$F$150,$F186)*'SHWLP-Det'!$R$12</f>
        <v>0.18522347738682604</v>
      </c>
      <c r="Z186" s="1134">
        <f>SUMIFS(INDEX(ArchetypeDemand!$I$106:$AH$150,,MATCH(Z$128,ArchetypeDemand!$I$4:$AH$4,0)),ArchetypeDemand!$F$106:$F$150,$F186)*'SHWLP-Det'!$R$12</f>
        <v>1.8480327352384369E-2</v>
      </c>
      <c r="AA186" s="1134">
        <f>SUMIFS(INDEX(ArchetypeDemand!$I$106:$AH$150,,MATCH(AA$128,ArchetypeDemand!$I$4:$AH$4,0)),ArchetypeDemand!$F$106:$F$150,$F186)*'SHWLP-Det'!$R$12</f>
        <v>8.3666891987797601E-2</v>
      </c>
      <c r="AB186" s="1134">
        <f>SUMIFS(INDEX(ArchetypeDemand!$I$106:$AH$150,,MATCH(AB$128,ArchetypeDemand!$I$4:$AH$4,0)),ArchetypeDemand!$F$106:$F$150,$F186)*'SHWLP-Det'!$R$12</f>
        <v>3.8209982896656822E-2</v>
      </c>
      <c r="AC186" s="1134">
        <f>SUMIFS(INDEX(ArchetypeDemand!$I$106:$AH$150,,MATCH(AC$128,ArchetypeDemand!$I$4:$AH$4,0)),ArchetypeDemand!$F$106:$F$150,$F186)*'SHWLP-Det'!$R$12</f>
        <v>4.1755272210578467E-2</v>
      </c>
      <c r="AD186" s="1134">
        <f>SUMIFS(INDEX(ArchetypeDemand!$I$106:$AH$150,,MATCH(AD$128,ArchetypeDemand!$I$4:$AH$4,0)),ArchetypeDemand!$F$106:$F$150,$F186)*'SHWLP-Det'!$R$12</f>
        <v>5.5323251603873198E-2</v>
      </c>
      <c r="AE186" s="1134">
        <f>SUMIFS(INDEX(ArchetypeDemand!$I$106:$AH$150,,MATCH(AE$128,ArchetypeDemand!$I$4:$AH$4,0)),ArchetypeDemand!$F$106:$F$150,$F186)*'SHWLP-Det'!$R$12</f>
        <v>0.10390387130209709</v>
      </c>
      <c r="AF186" s="1134">
        <f>SUMIFS(INDEX(ArchetypeDemand!$I$106:$AH$150,,MATCH(AF$128,ArchetypeDemand!$I$4:$AH$4,0)),ArchetypeDemand!$F$106:$F$150,$F186)*'SHWLP-Det'!$R$12</f>
        <v>4.5597198982833848E-2</v>
      </c>
    </row>
    <row r="187" spans="3:32">
      <c r="C187" s="1136" t="s">
        <v>1243</v>
      </c>
      <c r="D187" s="1136" t="s">
        <v>1094</v>
      </c>
      <c r="E187" s="1136" t="s">
        <v>405</v>
      </c>
      <c r="F187" s="1136" t="s">
        <v>1225</v>
      </c>
      <c r="G187" s="1136">
        <f>SUMIFS(INDEX(ArchetypeDemand!$I$106:$AH$150,,MATCH(G$128,ArchetypeDemand!$I$4:$AH$4,0)),ArchetypeDemand!$F$106:$F$150,$F187)*'SHWLP-Det'!$R$12</f>
        <v>7.7836968732242148E-2</v>
      </c>
      <c r="H187" s="1136">
        <f>SUMIFS(INDEX(ArchetypeDemand!$I$106:$AH$150,,MATCH(H$128,ArchetypeDemand!$I$4:$AH$4,0)),ArchetypeDemand!$F$106:$F$150,$F187)*'SHWLP-Det'!$R$12</f>
        <v>0.36233491335161921</v>
      </c>
      <c r="I187" s="1136">
        <f>SUMIFS(INDEX(ArchetypeDemand!$I$106:$AH$150,,MATCH(I$128,ArchetypeDemand!$I$4:$AH$4,0)),ArchetypeDemand!$F$106:$F$150,$F187)*'SHWLP-Det'!$R$12</f>
        <v>0.24689498524338893</v>
      </c>
      <c r="J187" s="1136">
        <f>SUMIFS(INDEX(ArchetypeDemand!$I$106:$AH$150,,MATCH(J$128,ArchetypeDemand!$I$4:$AH$4,0)),ArchetypeDemand!$F$106:$F$150,$F187)*'SHWLP-Det'!$R$12</f>
        <v>0.14803844774318214</v>
      </c>
      <c r="K187" s="1136">
        <f>SUMIFS(INDEX(ArchetypeDemand!$I$106:$AH$150,,MATCH(K$128,ArchetypeDemand!$I$4:$AH$4,0)),ArchetypeDemand!$F$106:$F$150,$F187)*'SHWLP-Det'!$R$12</f>
        <v>0.12598186483450335</v>
      </c>
      <c r="L187" s="1136">
        <f>SUMIFS(INDEX(ArchetypeDemand!$I$106:$AH$150,,MATCH(L$128,ArchetypeDemand!$I$4:$AH$4,0)),ArchetypeDemand!$F$106:$F$150,$F187)*'SHWLP-Det'!$R$12</f>
        <v>6.7614866688456704E-2</v>
      </c>
      <c r="M187" s="1136">
        <f>SUMIFS(INDEX(ArchetypeDemand!$I$106:$AH$150,,MATCH(M$128,ArchetypeDemand!$I$4:$AH$4,0)),ArchetypeDemand!$F$106:$F$150,$F187)*'SHWLP-Det'!$R$12</f>
        <v>0.14711421574353781</v>
      </c>
      <c r="N187" s="1136">
        <f>SUMIFS(INDEX(ArchetypeDemand!$I$106:$AH$150,,MATCH(N$128,ArchetypeDemand!$I$4:$AH$4,0)),ArchetypeDemand!$F$106:$F$150,$F187)*'SHWLP-Det'!$R$12</f>
        <v>0.26886803567679551</v>
      </c>
      <c r="O187" s="1136">
        <f>SUMIFS(INDEX(ArchetypeDemand!$I$106:$AH$150,,MATCH(O$128,ArchetypeDemand!$I$4:$AH$4,0)),ArchetypeDemand!$F$106:$F$150,$F187)*'SHWLP-Det'!$R$12</f>
        <v>0.11405240406355985</v>
      </c>
      <c r="P187" s="1136">
        <f>SUMIFS(INDEX(ArchetypeDemand!$I$106:$AH$150,,MATCH(P$128,ArchetypeDemand!$I$4:$AH$4,0)),ArchetypeDemand!$F$106:$F$150,$F187)*'SHWLP-Det'!$R$12</f>
        <v>0.12023016556413117</v>
      </c>
      <c r="Q187" s="1136">
        <f>SUMIFS(INDEX(ArchetypeDemand!$I$106:$AH$150,,MATCH(Q$128,ArchetypeDemand!$I$4:$AH$4,0)),ArchetypeDemand!$F$106:$F$150,$F187)*'SHWLP-Det'!$R$12</f>
        <v>0.2730143224726968</v>
      </c>
      <c r="R187" s="1136">
        <f>SUMIFS(INDEX(ArchetypeDemand!$I$106:$AH$150,,MATCH(R$128,ArchetypeDemand!$I$4:$AH$4,0)),ArchetypeDemand!$F$106:$F$150,$F187)*'SHWLP-Det'!$R$12</f>
        <v>0.15370732990490707</v>
      </c>
      <c r="S187" s="1136">
        <f>SUMIFS(INDEX(ArchetypeDemand!$I$106:$AH$150,,MATCH(S$128,ArchetypeDemand!$I$4:$AH$4,0)),ArchetypeDemand!$F$106:$F$150,$F187)*'SHWLP-Det'!$R$12</f>
        <v>0.20216159111277685</v>
      </c>
      <c r="T187" s="1136">
        <f>SUMIFS(INDEX(ArchetypeDemand!$I$106:$AH$150,,MATCH(T$128,ArchetypeDemand!$I$4:$AH$4,0)),ArchetypeDemand!$F$106:$F$150,$F187)*'SHWLP-Det'!$R$12</f>
        <v>0.6644227739476094</v>
      </c>
      <c r="U187" s="1136">
        <f>SUMIFS(INDEX(ArchetypeDemand!$I$106:$AH$150,,MATCH(U$128,ArchetypeDemand!$I$4:$AH$4,0)),ArchetypeDemand!$F$106:$F$150,$F187)*'SHWLP-Det'!$R$12</f>
        <v>0.2596438432422748</v>
      </c>
      <c r="V187" s="1136">
        <f>SUMIFS(INDEX(ArchetypeDemand!$I$106:$AH$150,,MATCH(V$128,ArchetypeDemand!$I$4:$AH$4,0)),ArchetypeDemand!$F$106:$F$150,$F187)*'SHWLP-Det'!$R$12</f>
        <v>0.23155322217363392</v>
      </c>
      <c r="W187" s="1136">
        <f>SUMIFS(INDEX(ArchetypeDemand!$I$106:$AH$150,,MATCH(W$128,ArchetypeDemand!$I$4:$AH$4,0)),ArchetypeDemand!$F$106:$F$150,$F187)*'SHWLP-Det'!$R$12</f>
        <v>0.236792002625968</v>
      </c>
      <c r="X187" s="1136">
        <f>SUMIFS(INDEX(ArchetypeDemand!$I$106:$AH$150,,MATCH(X$128,ArchetypeDemand!$I$4:$AH$4,0)),ArchetypeDemand!$F$106:$F$150,$F187)*'SHWLP-Det'!$R$12</f>
        <v>0.15156886793438373</v>
      </c>
      <c r="Y187" s="1136">
        <f>SUMIFS(INDEX(ArchetypeDemand!$I$106:$AH$150,,MATCH(Y$128,ArchetypeDemand!$I$4:$AH$4,0)),ArchetypeDemand!$F$106:$F$150,$F187)*'SHWLP-Det'!$R$12</f>
        <v>0.41766248307454262</v>
      </c>
      <c r="Z187" s="1136">
        <f>SUMIFS(INDEX(ArchetypeDemand!$I$106:$AH$150,,MATCH(Z$128,ArchetypeDemand!$I$4:$AH$4,0)),ArchetypeDemand!$F$106:$F$150,$F187)*'SHWLP-Det'!$R$12</f>
        <v>6.6579809502425896E-2</v>
      </c>
      <c r="AA187" s="1136">
        <f>SUMIFS(INDEX(ArchetypeDemand!$I$106:$AH$150,,MATCH(AA$128,ArchetypeDemand!$I$4:$AH$4,0)),ArchetypeDemand!$F$106:$F$150,$F187)*'SHWLP-Det'!$R$12</f>
        <v>0.24048801095880698</v>
      </c>
      <c r="AB187" s="1136">
        <f>SUMIFS(INDEX(ArchetypeDemand!$I$106:$AH$150,,MATCH(AB$128,ArchetypeDemand!$I$4:$AH$4,0)),ArchetypeDemand!$F$106:$F$150,$F187)*'SHWLP-Det'!$R$12</f>
        <v>0.12962261716555265</v>
      </c>
      <c r="AC187" s="1136">
        <f>SUMIFS(INDEX(ArchetypeDemand!$I$106:$AH$150,,MATCH(AC$128,ArchetypeDemand!$I$4:$AH$4,0)),ArchetypeDemand!$F$106:$F$150,$F187)*'SHWLP-Det'!$R$12</f>
        <v>9.4906266358840197E-2</v>
      </c>
      <c r="AD187" s="1136">
        <f>SUMIFS(INDEX(ArchetypeDemand!$I$106:$AH$150,,MATCH(AD$128,ArchetypeDemand!$I$4:$AH$4,0)),ArchetypeDemand!$F$106:$F$150,$F187)*'SHWLP-Det'!$R$12</f>
        <v>0.14297510303380243</v>
      </c>
      <c r="AE187" s="1136">
        <f>SUMIFS(INDEX(ArchetypeDemand!$I$106:$AH$150,,MATCH(AE$128,ArchetypeDemand!$I$4:$AH$4,0)),ArchetypeDemand!$F$106:$F$150,$F187)*'SHWLP-Det'!$R$12</f>
        <v>0.31331513484371198</v>
      </c>
      <c r="AF187" s="1136">
        <f>SUMIFS(INDEX(ArchetypeDemand!$I$106:$AH$150,,MATCH(AF$128,ArchetypeDemand!$I$4:$AH$4,0)),ArchetypeDemand!$F$106:$F$150,$F187)*'SHWLP-Det'!$R$12</f>
        <v>9.6709583865822318E-2</v>
      </c>
    </row>
    <row r="188" spans="3:32">
      <c r="C188" s="1134" t="s">
        <v>1243</v>
      </c>
      <c r="D188" s="1134" t="s">
        <v>1094</v>
      </c>
      <c r="E188" s="1134" t="s">
        <v>405</v>
      </c>
      <c r="F188" s="1134" t="s">
        <v>1226</v>
      </c>
      <c r="G188" s="1134">
        <f>SUMIFS(INDEX(ArchetypeDemand!$I$106:$AH$150,,MATCH(G$128,ArchetypeDemand!$I$4:$AH$4,0)),ArchetypeDemand!$F$106:$F$150,$F188)*'SHWLP-Det'!$R$12</f>
        <v>5.28106467645265E-2</v>
      </c>
      <c r="H188" s="1134">
        <f>SUMIFS(INDEX(ArchetypeDemand!$I$106:$AH$150,,MATCH(H$128,ArchetypeDemand!$I$4:$AH$4,0)),ArchetypeDemand!$F$106:$F$150,$F188)*'SHWLP-Det'!$R$12</f>
        <v>0.25686957250105863</v>
      </c>
      <c r="I188" s="1134">
        <f>SUMIFS(INDEX(ArchetypeDemand!$I$106:$AH$150,,MATCH(I$128,ArchetypeDemand!$I$4:$AH$4,0)),ArchetypeDemand!$F$106:$F$150,$F188)*'SHWLP-Det'!$R$12</f>
        <v>0.12760677471811274</v>
      </c>
      <c r="J188" s="1134">
        <f>SUMIFS(INDEX(ArchetypeDemand!$I$106:$AH$150,,MATCH(J$128,ArchetypeDemand!$I$4:$AH$4,0)),ArchetypeDemand!$F$106:$F$150,$F188)*'SHWLP-Det'!$R$12</f>
        <v>0.10309064449608635</v>
      </c>
      <c r="K188" s="1134">
        <f>SUMIFS(INDEX(ArchetypeDemand!$I$106:$AH$150,,MATCH(K$128,ArchetypeDemand!$I$4:$AH$4,0)),ArchetypeDemand!$F$106:$F$150,$F188)*'SHWLP-Det'!$R$12</f>
        <v>7.454834653031131E-2</v>
      </c>
      <c r="L188" s="1134">
        <f>SUMIFS(INDEX(ArchetypeDemand!$I$106:$AH$150,,MATCH(L$128,ArchetypeDemand!$I$4:$AH$4,0)),ArchetypeDemand!$F$106:$F$150,$F188)*'SHWLP-Det'!$R$12</f>
        <v>4.3312398629506615E-2</v>
      </c>
      <c r="M188" s="1134">
        <f>SUMIFS(INDEX(ArchetypeDemand!$I$106:$AH$150,,MATCH(M$128,ArchetypeDemand!$I$4:$AH$4,0)),ArchetypeDemand!$F$106:$F$150,$F188)*'SHWLP-Det'!$R$12</f>
        <v>7.9096528015624057E-2</v>
      </c>
      <c r="N188" s="1134">
        <f>SUMIFS(INDEX(ArchetypeDemand!$I$106:$AH$150,,MATCH(N$128,ArchetypeDemand!$I$4:$AH$4,0)),ArchetypeDemand!$F$106:$F$150,$F188)*'SHWLP-Det'!$R$12</f>
        <v>0.1460613916505463</v>
      </c>
      <c r="O188" s="1134">
        <f>SUMIFS(INDEX(ArchetypeDemand!$I$106:$AH$150,,MATCH(O$128,ArchetypeDemand!$I$4:$AH$4,0)),ArchetypeDemand!$F$106:$F$150,$F188)*'SHWLP-Det'!$R$12</f>
        <v>7.9329189711656381E-2</v>
      </c>
      <c r="P188" s="1134">
        <f>SUMIFS(INDEX(ArchetypeDemand!$I$106:$AH$150,,MATCH(P$128,ArchetypeDemand!$I$4:$AH$4,0)),ArchetypeDemand!$F$106:$F$150,$F188)*'SHWLP-Det'!$R$12</f>
        <v>7.8103630497922683E-2</v>
      </c>
      <c r="Q188" s="1134">
        <f>SUMIFS(INDEX(ArchetypeDemand!$I$106:$AH$150,,MATCH(Q$128,ArchetypeDemand!$I$4:$AH$4,0)),ArchetypeDemand!$F$106:$F$150,$F188)*'SHWLP-Det'!$R$12</f>
        <v>0.16983152355753164</v>
      </c>
      <c r="R188" s="1134">
        <f>SUMIFS(INDEX(ArchetypeDemand!$I$106:$AH$150,,MATCH(R$128,ArchetypeDemand!$I$4:$AH$4,0)),ArchetypeDemand!$F$106:$F$150,$F188)*'SHWLP-Det'!$R$12</f>
        <v>0.10639238829681261</v>
      </c>
      <c r="S188" s="1134">
        <f>SUMIFS(INDEX(ArchetypeDemand!$I$106:$AH$150,,MATCH(S$128,ArchetypeDemand!$I$4:$AH$4,0)),ArchetypeDemand!$F$106:$F$150,$F188)*'SHWLP-Det'!$R$12</f>
        <v>0.12071735148998242</v>
      </c>
      <c r="T188" s="1134">
        <f>SUMIFS(INDEX(ArchetypeDemand!$I$106:$AH$150,,MATCH(T$128,ArchetypeDemand!$I$4:$AH$4,0)),ArchetypeDemand!$F$106:$F$150,$F188)*'SHWLP-Det'!$R$12</f>
        <v>0.36878713907969196</v>
      </c>
      <c r="U188" s="1134">
        <f>SUMIFS(INDEX(ArchetypeDemand!$I$106:$AH$150,,MATCH(U$128,ArchetypeDemand!$I$4:$AH$4,0)),ArchetypeDemand!$F$106:$F$150,$F188)*'SHWLP-Det'!$R$12</f>
        <v>0.1733852965789778</v>
      </c>
      <c r="V188" s="1134">
        <f>SUMIFS(INDEX(ArchetypeDemand!$I$106:$AH$150,,MATCH(V$128,ArchetypeDemand!$I$4:$AH$4,0)),ArchetypeDemand!$F$106:$F$150,$F188)*'SHWLP-Det'!$R$12</f>
        <v>0.17203464931420584</v>
      </c>
      <c r="W188" s="1134">
        <f>SUMIFS(INDEX(ArchetypeDemand!$I$106:$AH$150,,MATCH(W$128,ArchetypeDemand!$I$4:$AH$4,0)),ArchetypeDemand!$F$106:$F$150,$F188)*'SHWLP-Det'!$R$12</f>
        <v>0.17298222150830966</v>
      </c>
      <c r="X188" s="1134">
        <f>SUMIFS(INDEX(ArchetypeDemand!$I$106:$AH$150,,MATCH(X$128,ArchetypeDemand!$I$4:$AH$4,0)),ArchetypeDemand!$F$106:$F$150,$F188)*'SHWLP-Det'!$R$12</f>
        <v>9.6601343117964478E-2</v>
      </c>
      <c r="Y188" s="1134">
        <f>SUMIFS(INDEX(ArchetypeDemand!$I$106:$AH$150,,MATCH(Y$128,ArchetypeDemand!$I$4:$AH$4,0)),ArchetypeDemand!$F$106:$F$150,$F188)*'SHWLP-Det'!$R$12</f>
        <v>0.25040065027686209</v>
      </c>
      <c r="Z188" s="1134">
        <f>SUMIFS(INDEX(ArchetypeDemand!$I$106:$AH$150,,MATCH(Z$128,ArchetypeDemand!$I$4:$AH$4,0)),ArchetypeDemand!$F$106:$F$150,$F188)*'SHWLP-Det'!$R$12</f>
        <v>3.8125168483138162E-2</v>
      </c>
      <c r="AA188" s="1134">
        <f>SUMIFS(INDEX(ArchetypeDemand!$I$106:$AH$150,,MATCH(AA$128,ArchetypeDemand!$I$4:$AH$4,0)),ArchetypeDemand!$F$106:$F$150,$F188)*'SHWLP-Det'!$R$12</f>
        <v>0.17349453187780325</v>
      </c>
      <c r="AB188" s="1134">
        <f>SUMIFS(INDEX(ArchetypeDemand!$I$106:$AH$150,,MATCH(AB$128,ArchetypeDemand!$I$4:$AH$4,0)),ArchetypeDemand!$F$106:$F$150,$F188)*'SHWLP-Det'!$R$12</f>
        <v>8.0585802102923348E-2</v>
      </c>
      <c r="AC188" s="1134">
        <f>SUMIFS(INDEX(ArchetypeDemand!$I$106:$AH$150,,MATCH(AC$128,ArchetypeDemand!$I$4:$AH$4,0)),ArchetypeDemand!$F$106:$F$150,$F188)*'SHWLP-Det'!$R$12</f>
        <v>6.8154528614467302E-2</v>
      </c>
      <c r="AD188" s="1134">
        <f>SUMIFS(INDEX(ArchetypeDemand!$I$106:$AH$150,,MATCH(AD$128,ArchetypeDemand!$I$4:$AH$4,0)),ArchetypeDemand!$F$106:$F$150,$F188)*'SHWLP-Det'!$R$12</f>
        <v>7.577021589348977E-2</v>
      </c>
      <c r="AE188" s="1134">
        <f>SUMIFS(INDEX(ArchetypeDemand!$I$106:$AH$150,,MATCH(AE$128,ArchetypeDemand!$I$4:$AH$4,0)),ArchetypeDemand!$F$106:$F$150,$F188)*'SHWLP-Det'!$R$12</f>
        <v>0.1962687013897397</v>
      </c>
      <c r="AF188" s="1134">
        <f>SUMIFS(INDEX(ArchetypeDemand!$I$106:$AH$150,,MATCH(AF$128,ArchetypeDemand!$I$4:$AH$4,0)),ArchetypeDemand!$F$106:$F$150,$F188)*'SHWLP-Det'!$R$12</f>
        <v>7.2396250733290299E-2</v>
      </c>
    </row>
    <row r="189" spans="3:32">
      <c r="C189" s="1136" t="s">
        <v>1243</v>
      </c>
      <c r="D189" s="1136" t="s">
        <v>1094</v>
      </c>
      <c r="E189" s="1136" t="s">
        <v>405</v>
      </c>
      <c r="F189" s="1136" t="s">
        <v>1227</v>
      </c>
      <c r="G189" s="1136">
        <f>SUMIFS(INDEX(ArchetypeDemand!$I$106:$AH$150,,MATCH(G$128,ArchetypeDemand!$I$4:$AH$4,0)),ArchetypeDemand!$F$106:$F$150,$F189)*'SHWLP-Det'!$R$12</f>
        <v>2.2166170885691006E-2</v>
      </c>
      <c r="H189" s="1136">
        <f>SUMIFS(INDEX(ArchetypeDemand!$I$106:$AH$150,,MATCH(H$128,ArchetypeDemand!$I$4:$AH$4,0)),ArchetypeDemand!$F$106:$F$150,$F189)*'SHWLP-Det'!$R$12</f>
        <v>0.13209297527956007</v>
      </c>
      <c r="I189" s="1136">
        <f>SUMIFS(INDEX(ArchetypeDemand!$I$106:$AH$150,,MATCH(I$128,ArchetypeDemand!$I$4:$AH$4,0)),ArchetypeDemand!$F$106:$F$150,$F189)*'SHWLP-Det'!$R$12</f>
        <v>4.8303129413070925E-2</v>
      </c>
      <c r="J189" s="1136">
        <f>SUMIFS(INDEX(ArchetypeDemand!$I$106:$AH$150,,MATCH(J$128,ArchetypeDemand!$I$4:$AH$4,0)),ArchetypeDemand!$F$106:$F$150,$F189)*'SHWLP-Det'!$R$12</f>
        <v>4.5371173450365176E-2</v>
      </c>
      <c r="K189" s="1136">
        <f>SUMIFS(INDEX(ArchetypeDemand!$I$106:$AH$150,,MATCH(K$128,ArchetypeDemand!$I$4:$AH$4,0)),ArchetypeDemand!$F$106:$F$150,$F189)*'SHWLP-Det'!$R$12</f>
        <v>3.0981131025583919E-2</v>
      </c>
      <c r="L189" s="1136">
        <f>SUMIFS(INDEX(ArchetypeDemand!$I$106:$AH$150,,MATCH(L$128,ArchetypeDemand!$I$4:$AH$4,0)),ArchetypeDemand!$F$106:$F$150,$F189)*'SHWLP-Det'!$R$12</f>
        <v>2.1656199314753308E-2</v>
      </c>
      <c r="M189" s="1136">
        <f>SUMIFS(INDEX(ArchetypeDemand!$I$106:$AH$150,,MATCH(M$128,ArchetypeDemand!$I$4:$AH$4,0)),ArchetypeDemand!$F$106:$F$150,$F189)*'SHWLP-Det'!$R$12</f>
        <v>3.4834430520012213E-2</v>
      </c>
      <c r="N189" s="1136">
        <f>SUMIFS(INDEX(ArchetypeDemand!$I$106:$AH$150,,MATCH(N$128,ArchetypeDemand!$I$4:$AH$4,0)),ArchetypeDemand!$F$106:$F$150,$F189)*'SHWLP-Det'!$R$12</f>
        <v>5.7477584978610545E-2</v>
      </c>
      <c r="O189" s="1136">
        <f>SUMIFS(INDEX(ArchetypeDemand!$I$106:$AH$150,,MATCH(O$128,ArchetypeDemand!$I$4:$AH$4,0)),ArchetypeDemand!$F$106:$F$150,$F189)*'SHWLP-Det'!$R$12</f>
        <v>3.5257417649625054E-2</v>
      </c>
      <c r="P189" s="1136">
        <f>SUMIFS(INDEX(ArchetypeDemand!$I$106:$AH$150,,MATCH(P$128,ArchetypeDemand!$I$4:$AH$4,0)),ArchetypeDemand!$F$106:$F$150,$F189)*'SHWLP-Det'!$R$12</f>
        <v>3.5919624033260988E-2</v>
      </c>
      <c r="Q189" s="1136">
        <f>SUMIFS(INDEX(ArchetypeDemand!$I$106:$AH$150,,MATCH(Q$128,ArchetypeDemand!$I$4:$AH$4,0)),ArchetypeDemand!$F$106:$F$150,$F189)*'SHWLP-Det'!$R$12</f>
        <v>6.6979136166797501E-2</v>
      </c>
      <c r="R189" s="1136">
        <f>SUMIFS(INDEX(ArchetypeDemand!$I$106:$AH$150,,MATCH(R$128,ArchetypeDemand!$I$4:$AH$4,0)),ArchetypeDemand!$F$106:$F$150,$F189)*'SHWLP-Det'!$R$12</f>
        <v>4.7420910122334313E-2</v>
      </c>
      <c r="S189" s="1136">
        <f>SUMIFS(INDEX(ArchetypeDemand!$I$106:$AH$150,,MATCH(S$128,ArchetypeDemand!$I$4:$AH$4,0)),ArchetypeDemand!$F$106:$F$150,$F189)*'SHWLP-Det'!$R$12</f>
        <v>5.8659838844883842E-2</v>
      </c>
      <c r="T189" s="1136">
        <f>SUMIFS(INDEX(ArchetypeDemand!$I$106:$AH$150,,MATCH(T$128,ArchetypeDemand!$I$4:$AH$4,0)),ArchetypeDemand!$F$106:$F$150,$F189)*'SHWLP-Det'!$R$12</f>
        <v>0.15776047293864642</v>
      </c>
      <c r="U189" s="1136">
        <f>SUMIFS(INDEX(ArchetypeDemand!$I$106:$AH$150,,MATCH(U$128,ArchetypeDemand!$I$4:$AH$4,0)),ArchetypeDemand!$F$106:$F$150,$F189)*'SHWLP-Det'!$R$12</f>
        <v>7.9925769998851315E-2</v>
      </c>
      <c r="V189" s="1136">
        <f>SUMIFS(INDEX(ArchetypeDemand!$I$106:$AH$150,,MATCH(V$128,ArchetypeDemand!$I$4:$AH$4,0)),ArchetypeDemand!$F$106:$F$150,$F189)*'SHWLP-Det'!$R$12</f>
        <v>6.9908073042875163E-2</v>
      </c>
      <c r="W189" s="1136">
        <f>SUMIFS(INDEX(ArchetypeDemand!$I$106:$AH$150,,MATCH(W$128,ArchetypeDemand!$I$4:$AH$4,0)),ArchetypeDemand!$F$106:$F$150,$F189)*'SHWLP-Det'!$R$12</f>
        <v>8.5007789553194893E-2</v>
      </c>
      <c r="X189" s="1136">
        <f>SUMIFS(INDEX(ArchetypeDemand!$I$106:$AH$150,,MATCH(X$128,ArchetypeDemand!$I$4:$AH$4,0)),ArchetypeDemand!$F$106:$F$150,$F189)*'SHWLP-Det'!$R$12</f>
        <v>3.2000895635697531E-2</v>
      </c>
      <c r="Y189" s="1136">
        <f>SUMIFS(INDEX(ArchetypeDemand!$I$106:$AH$150,,MATCH(Y$128,ArchetypeDemand!$I$4:$AH$4,0)),ArchetypeDemand!$F$106:$F$150,$F189)*'SHWLP-Det'!$R$12</f>
        <v>0.11287195220382341</v>
      </c>
      <c r="Z189" s="1136">
        <f>SUMIFS(INDEX(ArchetypeDemand!$I$106:$AH$150,,MATCH(Z$128,ArchetypeDemand!$I$4:$AH$4,0)),ArchetypeDemand!$F$106:$F$150,$F189)*'SHWLP-Det'!$R$12</f>
        <v>2.20244997213348E-2</v>
      </c>
      <c r="AA189" s="1136">
        <f>SUMIFS(INDEX(ArchetypeDemand!$I$106:$AH$150,,MATCH(AA$128,ArchetypeDemand!$I$4:$AH$4,0)),ArchetypeDemand!$F$106:$F$150,$F189)*'SHWLP-Det'!$R$12</f>
        <v>8.185663267809426E-2</v>
      </c>
      <c r="AB189" s="1136">
        <f>SUMIFS(INDEX(ArchetypeDemand!$I$106:$AH$150,,MATCH(AB$128,ArchetypeDemand!$I$4:$AH$4,0)),ArchetypeDemand!$F$106:$F$150,$F189)*'SHWLP-Det'!$R$12</f>
        <v>4.0824625552140788E-2</v>
      </c>
      <c r="AC189" s="1136">
        <f>SUMIFS(INDEX(ArchetypeDemand!$I$106:$AH$150,,MATCH(AC$128,ArchetypeDemand!$I$4:$AH$4,0)),ArchetypeDemand!$F$106:$F$150,$F189)*'SHWLP-Det'!$R$12</f>
        <v>3.3643159029434495E-2</v>
      </c>
      <c r="AD189" s="1136">
        <f>SUMIFS(INDEX(ArchetypeDemand!$I$106:$AH$150,,MATCH(AD$128,ArchetypeDemand!$I$4:$AH$4,0)),ArchetypeDemand!$F$106:$F$150,$F189)*'SHWLP-Det'!$R$12</f>
        <v>3.6677176968732732E-2</v>
      </c>
      <c r="AE189" s="1136">
        <f>SUMIFS(INDEX(ArchetypeDemand!$I$106:$AH$150,,MATCH(AE$128,ArchetypeDemand!$I$4:$AH$4,0)),ArchetypeDemand!$F$106:$F$150,$F189)*'SHWLP-Det'!$R$12</f>
        <v>9.0718431628702148E-2</v>
      </c>
      <c r="AF189" s="1136">
        <f>SUMIFS(INDEX(ArchetypeDemand!$I$106:$AH$150,,MATCH(AF$128,ArchetypeDemand!$I$4:$AH$4,0)),ArchetypeDemand!$F$106:$F$150,$F189)*'SHWLP-Det'!$R$12</f>
        <v>3.3013311761425294E-2</v>
      </c>
    </row>
    <row r="190" spans="3:32">
      <c r="C190" s="1134" t="s">
        <v>1243</v>
      </c>
      <c r="D190" s="1134" t="s">
        <v>1094</v>
      </c>
      <c r="E190" s="1134" t="s">
        <v>405</v>
      </c>
      <c r="F190" s="1134" t="s">
        <v>1228</v>
      </c>
      <c r="G190" s="1134">
        <f>SUMIFS(INDEX(ArchetypeDemand!$I$106:$AH$150,,MATCH(G$128,ArchetypeDemand!$I$4:$AH$4,0)),ArchetypeDemand!$F$106:$F$150,$F190)*'SHWLP-Det'!$R$12</f>
        <v>1.1900271466281117E-2</v>
      </c>
      <c r="H190" s="1134">
        <f>SUMIFS(INDEX(ArchetypeDemand!$I$106:$AH$150,,MATCH(H$128,ArchetypeDemand!$I$4:$AH$4,0)),ArchetypeDemand!$F$106:$F$150,$F190)*'SHWLP-Det'!$R$12</f>
        <v>6.435426414335764E-2</v>
      </c>
      <c r="I190" s="1134">
        <f>SUMIFS(INDEX(ArchetypeDemand!$I$106:$AH$150,,MATCH(I$128,ArchetypeDemand!$I$4:$AH$4,0)),ArchetypeDemand!$F$106:$F$150,$F190)*'SHWLP-Det'!$R$12</f>
        <v>2.0130925346664462E-2</v>
      </c>
      <c r="J190" s="1134">
        <f>SUMIFS(INDEX(ArchetypeDemand!$I$106:$AH$150,,MATCH(J$128,ArchetypeDemand!$I$4:$AH$4,0)),ArchetypeDemand!$F$106:$F$150,$F190)*'SHWLP-Det'!$R$12</f>
        <v>2.159188036673677E-2</v>
      </c>
      <c r="K190" s="1134">
        <f>SUMIFS(INDEX(ArchetypeDemand!$I$106:$AH$150,,MATCH(K$128,ArchetypeDemand!$I$4:$AH$4,0)),ArchetypeDemand!$F$106:$F$150,$F190)*'SHWLP-Det'!$R$12</f>
        <v>1.8637086632577828E-2</v>
      </c>
      <c r="L190" s="1134">
        <f>SUMIFS(INDEX(ArchetypeDemand!$I$106:$AH$150,,MATCH(L$128,ArchetypeDemand!$I$4:$AH$4,0)),ArchetypeDemand!$F$106:$F$150,$F190)*'SHWLP-Det'!$R$12</f>
        <v>1.5175541165699946E-2</v>
      </c>
      <c r="M190" s="1134">
        <f>SUMIFS(INDEX(ArchetypeDemand!$I$106:$AH$150,,MATCH(M$128,ArchetypeDemand!$I$4:$AH$4,0)),ArchetypeDemand!$F$106:$F$150,$F190)*'SHWLP-Det'!$R$12</f>
        <v>1.5606250982207307E-2</v>
      </c>
      <c r="N190" s="1134">
        <f>SUMIFS(INDEX(ArchetypeDemand!$I$106:$AH$150,,MATCH(N$128,ArchetypeDemand!$I$4:$AH$4,0)),ArchetypeDemand!$F$106:$F$150,$F190)*'SHWLP-Det'!$R$12</f>
        <v>2.8349215531681737E-2</v>
      </c>
      <c r="O190" s="1134">
        <f>SUMIFS(INDEX(ArchetypeDemand!$I$106:$AH$150,,MATCH(O$128,ArchetypeDemand!$I$4:$AH$4,0)),ArchetypeDemand!$F$106:$F$150,$F190)*'SHWLP-Det'!$R$12</f>
        <v>2.1101030260002877E-2</v>
      </c>
      <c r="P190" s="1134">
        <f>SUMIFS(INDEX(ArchetypeDemand!$I$106:$AH$150,,MATCH(P$128,ArchetypeDemand!$I$4:$AH$4,0)),ArchetypeDemand!$F$106:$F$150,$F190)*'SHWLP-Det'!$R$12</f>
        <v>2.0344875052439024E-2</v>
      </c>
      <c r="Q190" s="1134">
        <f>SUMIFS(INDEX(ArchetypeDemand!$I$106:$AH$150,,MATCH(Q$128,ArchetypeDemand!$I$4:$AH$4,0)),ArchetypeDemand!$F$106:$F$150,$F190)*'SHWLP-Det'!$R$12</f>
        <v>2.9359424028011311E-2</v>
      </c>
      <c r="R190" s="1134">
        <f>SUMIFS(INDEX(ArchetypeDemand!$I$106:$AH$150,,MATCH(R$128,ArchetypeDemand!$I$4:$AH$4,0)),ArchetypeDemand!$F$106:$F$150,$F190)*'SHWLP-Det'!$R$12</f>
        <v>2.5273490646204988E-2</v>
      </c>
      <c r="S190" s="1134">
        <f>SUMIFS(INDEX(ArchetypeDemand!$I$106:$AH$150,,MATCH(S$128,ArchetypeDemand!$I$4:$AH$4,0)),ArchetypeDemand!$F$106:$F$150,$F190)*'SHWLP-Det'!$R$12</f>
        <v>2.6331971951664208E-2</v>
      </c>
      <c r="T190" s="1134">
        <f>SUMIFS(INDEX(ArchetypeDemand!$I$106:$AH$150,,MATCH(T$128,ArchetypeDemand!$I$4:$AH$4,0)),ArchetypeDemand!$F$106:$F$150,$F190)*'SHWLP-Det'!$R$12</f>
        <v>7.3647259887908614E-2</v>
      </c>
      <c r="U190" s="1134">
        <f>SUMIFS(INDEX(ArchetypeDemand!$I$106:$AH$150,,MATCH(U$128,ArchetypeDemand!$I$4:$AH$4,0)),ArchetypeDemand!$F$106:$F$150,$F190)*'SHWLP-Det'!$R$12</f>
        <v>3.4932413213555467E-2</v>
      </c>
      <c r="V190" s="1134">
        <f>SUMIFS(INDEX(ArchetypeDemand!$I$106:$AH$150,,MATCH(V$128,ArchetypeDemand!$I$4:$AH$4,0)),ArchetypeDemand!$F$106:$F$150,$F190)*'SHWLP-Det'!$R$12</f>
        <v>3.6915883630545931E-2</v>
      </c>
      <c r="W190" s="1134">
        <f>SUMIFS(INDEX(ArchetypeDemand!$I$106:$AH$150,,MATCH(W$128,ArchetypeDemand!$I$4:$AH$4,0)),ArchetypeDemand!$F$106:$F$150,$F190)*'SHWLP-Det'!$R$12</f>
        <v>4.6872949950333982E-2</v>
      </c>
      <c r="X190" s="1134">
        <f>SUMIFS(INDEX(ArchetypeDemand!$I$106:$AH$150,,MATCH(X$128,ArchetypeDemand!$I$4:$AH$4,0)),ArchetypeDemand!$F$106:$F$150,$F190)*'SHWLP-Det'!$R$12</f>
        <v>1.730660682338744E-2</v>
      </c>
      <c r="Y190" s="1134">
        <f>SUMIFS(INDEX(ArchetypeDemand!$I$106:$AH$150,,MATCH(Y$128,ArchetypeDemand!$I$4:$AH$4,0)),ArchetypeDemand!$F$106:$F$150,$F190)*'SHWLP-Det'!$R$12</f>
        <v>5.3094883436860495E-2</v>
      </c>
      <c r="Z190" s="1134">
        <f>SUMIFS(INDEX(ArchetypeDemand!$I$106:$AH$150,,MATCH(Z$128,ArchetypeDemand!$I$4:$AH$4,0)),ArchetypeDemand!$F$106:$F$150,$F190)*'SHWLP-Det'!$R$12</f>
        <v>1.1999555020589303E-2</v>
      </c>
      <c r="AA190" s="1134">
        <f>SUMIFS(INDEX(ArchetypeDemand!$I$106:$AH$150,,MATCH(AA$128,ArchetypeDemand!$I$4:$AH$4,0)),ArchetypeDemand!$F$106:$F$150,$F190)*'SHWLP-Det'!$R$12</f>
        <v>4.1911907385913418E-2</v>
      </c>
      <c r="AB190" s="1134">
        <f>SUMIFS(INDEX(ArchetypeDemand!$I$106:$AH$150,,MATCH(AB$128,ArchetypeDemand!$I$4:$AH$4,0)),ArchetypeDemand!$F$106:$F$150,$F190)*'SHWLP-Det'!$R$12</f>
        <v>2.3573119530107343E-2</v>
      </c>
      <c r="AC190" s="1134">
        <f>SUMIFS(INDEX(ArchetypeDemand!$I$106:$AH$150,,MATCH(AC$128,ArchetypeDemand!$I$4:$AH$4,0)),ArchetypeDemand!$F$106:$F$150,$F190)*'SHWLP-Det'!$R$12</f>
        <v>2.0620000695459852E-2</v>
      </c>
      <c r="AD190" s="1134">
        <f>SUMIFS(INDEX(ArchetypeDemand!$I$106:$AH$150,,MATCH(AD$128,ArchetypeDemand!$I$4:$AH$4,0)),ArchetypeDemand!$F$106:$F$150,$F190)*'SHWLP-Det'!$R$12</f>
        <v>1.8668024205642408E-2</v>
      </c>
      <c r="AE190" s="1134">
        <f>SUMIFS(INDEX(ArchetypeDemand!$I$106:$AH$150,,MATCH(AE$128,ArchetypeDemand!$I$4:$AH$4,0)),ArchetypeDemand!$F$106:$F$150,$F190)*'SHWLP-Det'!$R$12</f>
        <v>4.3602030172166753E-2</v>
      </c>
      <c r="AF190" s="1134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38" t="s">
        <v>1243</v>
      </c>
      <c r="D191" s="1138" t="s">
        <v>1094</v>
      </c>
      <c r="E191" s="1138" t="s">
        <v>405</v>
      </c>
      <c r="F191" s="1138" t="s">
        <v>1229</v>
      </c>
      <c r="G191" s="1138">
        <f>SUMIFS(INDEX(ArchetypeDemand!$I$106:$AH$150,,MATCH(G$128,ArchetypeDemand!$I$4:$AH$4,0)),ArchetypeDemand!$F$106:$F$150,$F191)*'SHWLP-Det'!$R$12</f>
        <v>2.2370467391549909E-2</v>
      </c>
      <c r="H191" s="1138">
        <f>SUMIFS(INDEX(ArchetypeDemand!$I$106:$AH$150,,MATCH(H$128,ArchetypeDemand!$I$4:$AH$4,0)),ArchetypeDemand!$F$106:$F$150,$F191)*'SHWLP-Det'!$R$12</f>
        <v>7.2616296508243472E-2</v>
      </c>
      <c r="I191" s="1138">
        <f>SUMIFS(INDEX(ArchetypeDemand!$I$106:$AH$150,,MATCH(I$128,ArchetypeDemand!$I$4:$AH$4,0)),ArchetypeDemand!$F$106:$F$150,$F191)*'SHWLP-Det'!$R$12</f>
        <v>3.543708346148372E-2</v>
      </c>
      <c r="J191" s="1138">
        <f>SUMIFS(INDEX(ArchetypeDemand!$I$106:$AH$150,,MATCH(J$128,ArchetypeDemand!$I$4:$AH$4,0)),ArchetypeDemand!$F$106:$F$150,$F191)*'SHWLP-Det'!$R$12</f>
        <v>4.3607130936742879E-2</v>
      </c>
      <c r="K191" s="1138">
        <f>SUMIFS(INDEX(ArchetypeDemand!$I$106:$AH$150,,MATCH(K$128,ArchetypeDemand!$I$4:$AH$4,0)),ArchetypeDemand!$F$106:$F$150,$F191)*'SHWLP-Det'!$R$12</f>
        <v>3.3098981779285941E-2</v>
      </c>
      <c r="L191" s="1138">
        <f>SUMIFS(INDEX(ArchetypeDemand!$I$106:$AH$150,,MATCH(L$128,ArchetypeDemand!$I$4:$AH$4,0)),ArchetypeDemand!$F$106:$F$150,$F191)*'SHWLP-Det'!$R$12</f>
        <v>2.4086446120648315E-2</v>
      </c>
      <c r="M191" s="1138">
        <f>SUMIFS(INDEX(ArchetypeDemand!$I$106:$AH$150,,MATCH(M$128,ArchetypeDemand!$I$4:$AH$4,0)),ArchetypeDemand!$F$106:$F$150,$F191)*'SHWLP-Det'!$R$12</f>
        <v>2.7590573408817012E-2</v>
      </c>
      <c r="N191" s="1138">
        <f>SUMIFS(INDEX(ArchetypeDemand!$I$106:$AH$150,,MATCH(N$128,ArchetypeDemand!$I$4:$AH$4,0)),ArchetypeDemand!$F$106:$F$150,$F191)*'SHWLP-Det'!$R$12</f>
        <v>5.0165525158599608E-2</v>
      </c>
      <c r="O191" s="1138">
        <f>SUMIFS(INDEX(ArchetypeDemand!$I$106:$AH$150,,MATCH(O$128,ArchetypeDemand!$I$4:$AH$4,0)),ArchetypeDemand!$F$106:$F$150,$F191)*'SHWLP-Det'!$R$12</f>
        <v>3.5457743886270661E-2</v>
      </c>
      <c r="P191" s="1138">
        <f>SUMIFS(INDEX(ArchetypeDemand!$I$106:$AH$150,,MATCH(P$128,ArchetypeDemand!$I$4:$AH$4,0)),ArchetypeDemand!$F$106:$F$150,$F191)*'SHWLP-Det'!$R$12</f>
        <v>4.1321935487863441E-2</v>
      </c>
      <c r="Q191" s="1138">
        <f>SUMIFS(INDEX(ArchetypeDemand!$I$106:$AH$150,,MATCH(Q$128,ArchetypeDemand!$I$4:$AH$4,0)),ArchetypeDemand!$F$106:$F$150,$F191)*'SHWLP-Det'!$R$12</f>
        <v>4.795687268884162E-2</v>
      </c>
      <c r="R191" s="1138">
        <f>SUMIFS(INDEX(ArchetypeDemand!$I$106:$AH$150,,MATCH(R$128,ArchetypeDemand!$I$4:$AH$4,0)),ArchetypeDemand!$F$106:$F$150,$F191)*'SHWLP-Det'!$R$12</f>
        <v>4.0321019668264145E-2</v>
      </c>
      <c r="S191" s="1138">
        <f>SUMIFS(INDEX(ArchetypeDemand!$I$106:$AH$150,,MATCH(S$128,ArchetypeDemand!$I$4:$AH$4,0)),ArchetypeDemand!$F$106:$F$150,$F191)*'SHWLP-Det'!$R$12</f>
        <v>5.4662575550513563E-2</v>
      </c>
      <c r="T191" s="1138">
        <f>SUMIFS(INDEX(ArchetypeDemand!$I$106:$AH$150,,MATCH(T$128,ArchetypeDemand!$I$4:$AH$4,0)),ArchetypeDemand!$F$106:$F$150,$F191)*'SHWLP-Det'!$R$12</f>
        <v>0.1491122905883086</v>
      </c>
      <c r="U191" s="1138">
        <f>SUMIFS(INDEX(ArchetypeDemand!$I$106:$AH$150,,MATCH(U$128,ArchetypeDemand!$I$4:$AH$4,0)),ArchetypeDemand!$F$106:$F$150,$F191)*'SHWLP-Det'!$R$12</f>
        <v>6.4144899117288989E-2</v>
      </c>
      <c r="V191" s="1138">
        <f>SUMIFS(INDEX(ArchetypeDemand!$I$106:$AH$150,,MATCH(V$128,ArchetypeDemand!$I$4:$AH$4,0)),ArchetypeDemand!$F$106:$F$150,$F191)*'SHWLP-Det'!$R$12</f>
        <v>6.6868591606228406E-2</v>
      </c>
      <c r="W191" s="1138">
        <f>SUMIFS(INDEX(ArchetypeDemand!$I$106:$AH$150,,MATCH(W$128,ArchetypeDemand!$I$4:$AH$4,0)),ArchetypeDemand!$F$106:$F$150,$F191)*'SHWLP-Det'!$R$12</f>
        <v>8.0800551237744905E-2</v>
      </c>
      <c r="X191" s="1138">
        <f>SUMIFS(INDEX(ArchetypeDemand!$I$106:$AH$150,,MATCH(X$128,ArchetypeDemand!$I$4:$AH$4,0)),ArchetypeDemand!$F$106:$F$150,$F191)*'SHWLP-Det'!$R$12</f>
        <v>2.2912205888824252E-2</v>
      </c>
      <c r="Y191" s="1138">
        <f>SUMIFS(INDEX(ArchetypeDemand!$I$106:$AH$150,,MATCH(Y$128,ArchetypeDemand!$I$4:$AH$4,0)),ArchetypeDemand!$F$106:$F$150,$F191)*'SHWLP-Det'!$R$12</f>
        <v>0.10049177938293596</v>
      </c>
      <c r="Z191" s="1138">
        <f>SUMIFS(INDEX(ArchetypeDemand!$I$106:$AH$150,,MATCH(Z$128,ArchetypeDemand!$I$4:$AH$4,0)),ArchetypeDemand!$F$106:$F$150,$F191)*'SHWLP-Det'!$R$12</f>
        <v>2.6834447936338945E-2</v>
      </c>
      <c r="AA191" s="1138">
        <f>SUMIFS(INDEX(ArchetypeDemand!$I$106:$AH$150,,MATCH(AA$128,ArchetypeDemand!$I$4:$AH$4,0)),ArchetypeDemand!$F$106:$F$150,$F191)*'SHWLP-Det'!$R$12</f>
        <v>8.0271958213698577E-2</v>
      </c>
      <c r="AB191" s="1138">
        <f>SUMIFS(INDEX(ArchetypeDemand!$I$106:$AH$150,,MATCH(AB$128,ArchetypeDemand!$I$4:$AH$4,0)),ArchetypeDemand!$F$106:$F$150,$F191)*'SHWLP-Det'!$R$12</f>
        <v>5.2817967067458553E-2</v>
      </c>
      <c r="AC191" s="1138">
        <f>SUMIFS(INDEX(ArchetypeDemand!$I$106:$AH$150,,MATCH(AC$128,ArchetypeDemand!$I$4:$AH$4,0)),ArchetypeDemand!$F$106:$F$150,$F191)*'SHWLP-Det'!$R$12</f>
        <v>3.4023001147508759E-2</v>
      </c>
      <c r="AD191" s="1138">
        <f>SUMIFS(INDEX(ArchetypeDemand!$I$106:$AH$150,,MATCH(AD$128,ArchetypeDemand!$I$4:$AH$4,0)),ArchetypeDemand!$F$106:$F$150,$F191)*'SHWLP-Det'!$R$12</f>
        <v>3.7006612690008774E-2</v>
      </c>
      <c r="AE191" s="1138">
        <f>SUMIFS(INDEX(ArchetypeDemand!$I$106:$AH$150,,MATCH(AE$128,ArchetypeDemand!$I$4:$AH$4,0)),ArchetypeDemand!$F$106:$F$150,$F191)*'SHWLP-Det'!$R$12</f>
        <v>7.6005724726345328E-2</v>
      </c>
      <c r="AF191" s="1138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1" t="s">
        <v>1244</v>
      </c>
      <c r="D192" s="1141" t="s">
        <v>1094</v>
      </c>
      <c r="E192" s="1141" t="s">
        <v>405</v>
      </c>
      <c r="F192" s="1141" t="s">
        <v>938</v>
      </c>
      <c r="G192" s="1141">
        <f>SUM(ArchetypeDemand!I106:I150)*'SHWLP-Det'!$R$38</f>
        <v>0.20462852352898386</v>
      </c>
      <c r="H192" s="1141">
        <f>SUM(ArchetypeDemand!J106:J150)*'SHWLP-Det'!$R$38</f>
        <v>1.0623799077317801</v>
      </c>
      <c r="I192" s="1141">
        <f>SUM(ArchetypeDemand!K106:K150)*'SHWLP-Det'!$R$38</f>
        <v>0.57327962617395678</v>
      </c>
      <c r="J192" s="1141">
        <f>SUM(ArchetypeDemand!L106:L150)*'SHWLP-Det'!$R$38</f>
        <v>0.39520852506184939</v>
      </c>
      <c r="K192" s="1141">
        <f>SUM(ArchetypeDemand!M106:M150)*'SHWLP-Det'!$R$38</f>
        <v>0.30826901044818977</v>
      </c>
      <c r="L192" s="1141">
        <f>SUM(ArchetypeDemand!N106:N150)*'SHWLP-Det'!$R$38</f>
        <v>0.1838555049718674</v>
      </c>
      <c r="M192" s="1141">
        <f>SUM(ArchetypeDemand!O106:O150)*'SHWLP-Det'!$R$38</f>
        <v>0.35690782683513456</v>
      </c>
      <c r="N192" s="1141">
        <f>SUM(ArchetypeDemand!P106:P150)*'SHWLP-Det'!$R$38</f>
        <v>0.6493192368889561</v>
      </c>
      <c r="O192" s="1141">
        <f>SUM(ArchetypeDemand!Q106:Q150)*'SHWLP-Det'!$R$38</f>
        <v>0.30203742146881229</v>
      </c>
      <c r="P192" s="1141">
        <f>SUM(ArchetypeDemand!R106:R150)*'SHWLP-Det'!$R$38</f>
        <v>0.31824445140982494</v>
      </c>
      <c r="Q192" s="1141">
        <f>SUM(ArchetypeDemand!S106:S150)*'SHWLP-Det'!$R$38</f>
        <v>0.64088570969418657</v>
      </c>
      <c r="R192" s="1141">
        <f>SUM(ArchetypeDemand!T106:T150)*'SHWLP-Det'!$R$38</f>
        <v>0.42619882109362123</v>
      </c>
      <c r="S192" s="1141">
        <f>SUM(ArchetypeDemand!U106:U150)*'SHWLP-Det'!$R$38</f>
        <v>0.49603995181856675</v>
      </c>
      <c r="T192" s="1141">
        <f>SUM(ArchetypeDemand!V106:V150)*'SHWLP-Det'!$R$38</f>
        <v>1.6780896499934939</v>
      </c>
      <c r="U192" s="1141">
        <f>SUM(ArchetypeDemand!W106:W150)*'SHWLP-Det'!$R$38</f>
        <v>0.68814666416925674</v>
      </c>
      <c r="V192" s="1141">
        <f>SUM(ArchetypeDemand!X106:X150)*'SHWLP-Det'!$R$38</f>
        <v>0.61955720158610983</v>
      </c>
      <c r="W192" s="1141">
        <f>SUM(ArchetypeDemand!Y106:Y150)*'SHWLP-Det'!$R$38</f>
        <v>0.66144412814818576</v>
      </c>
      <c r="X192" s="1141">
        <f>SUM(ArchetypeDemand!Z106:Z150)*'SHWLP-Det'!$R$38</f>
        <v>0.36212824573220803</v>
      </c>
      <c r="Y192" s="1141">
        <f>SUM(ArchetypeDemand!AA106:AA150)*'SHWLP-Det'!$R$38</f>
        <v>1.0474997618520621</v>
      </c>
      <c r="Z192" s="1141">
        <f>SUM(ArchetypeDemand!AB106:AB150)*'SHWLP-Det'!$R$38</f>
        <v>0.17216938338465415</v>
      </c>
      <c r="AA192" s="1141">
        <f>SUM(ArchetypeDemand!AC106:AC150)*'SHWLP-Det'!$R$38</f>
        <v>0.65641721072609349</v>
      </c>
      <c r="AB192" s="1141">
        <f>SUM(ArchetypeDemand!AD106:AD150)*'SHWLP-Det'!$R$38</f>
        <v>0.34204356389123958</v>
      </c>
      <c r="AC192" s="1141">
        <f>SUM(ArchetypeDemand!AE106:AE150)*'SHWLP-Det'!$R$38</f>
        <v>0.27419140267231656</v>
      </c>
      <c r="AD192" s="1141">
        <f>SUM(ArchetypeDemand!AF106:AF150)*'SHWLP-Det'!$R$38</f>
        <v>0.34277910417607044</v>
      </c>
      <c r="AE192" s="1141">
        <f>SUM(ArchetypeDemand!AG106:AG150)*'SHWLP-Det'!$R$38</f>
        <v>0.77066178804561114</v>
      </c>
      <c r="AF192" s="1141">
        <f>SUM(ArchetypeDemand!AH106:AH150)*'SHWLP-Det'!$R$38</f>
        <v>0.26777643352482527</v>
      </c>
    </row>
    <row r="193" spans="3:32" ht="15">
      <c r="C193" s="1137" t="s">
        <v>1218</v>
      </c>
      <c r="D193" s="1137"/>
      <c r="E193" s="1137"/>
      <c r="F193" s="1137"/>
      <c r="G193" s="1137"/>
      <c r="H193" s="1137"/>
      <c r="I193" s="1137"/>
      <c r="J193" s="1137"/>
      <c r="K193" s="1137"/>
      <c r="L193" s="1137"/>
      <c r="M193" s="1137"/>
      <c r="N193" s="1137"/>
      <c r="O193" s="1137"/>
      <c r="P193" s="1137"/>
      <c r="Q193" s="1137"/>
      <c r="R193" s="1137"/>
      <c r="S193" s="1137"/>
      <c r="T193" s="1137"/>
      <c r="U193" s="1137"/>
      <c r="V193" s="1137"/>
      <c r="W193" s="1137"/>
      <c r="X193" s="1137"/>
      <c r="Y193" s="1137"/>
      <c r="Z193" s="1137"/>
      <c r="AA193" s="1137"/>
      <c r="AB193" s="1137"/>
      <c r="AC193" s="1137"/>
      <c r="AD193" s="1137"/>
      <c r="AE193" s="1137"/>
      <c r="AF193" s="1137"/>
    </row>
    <row r="194" spans="3:32">
      <c r="C194" s="1145" t="s">
        <v>1245</v>
      </c>
      <c r="D194" s="1134" t="s">
        <v>1094</v>
      </c>
      <c r="E194" s="1134" t="s">
        <v>406</v>
      </c>
      <c r="F194" s="1134" t="s">
        <v>1224</v>
      </c>
      <c r="G194" s="1134">
        <f>SUMIFS(INDEX(ArchetypeDemand!$I$106:$AH$150,,MATCH(G$128,ArchetypeDemand!$I$4:$AH$4,0)),ArchetypeDemand!$F$106:$F$150,$F194)*'SHWLP-Det'!$R$18</f>
        <v>4.5464529907595129E-3</v>
      </c>
      <c r="H194" s="1134">
        <f>SUMIFS(INDEX(ArchetypeDemand!$I$106:$AH$150,,MATCH(H$128,ArchetypeDemand!$I$4:$AH$4,0)),ArchetypeDemand!$F$106:$F$150,$F194)*'SHWLP-Det'!$R$18</f>
        <v>3.552813168114087E-2</v>
      </c>
      <c r="I194" s="1134">
        <f>SUMIFS(INDEX(ArchetypeDemand!$I$106:$AH$150,,MATCH(I$128,ArchetypeDemand!$I$4:$AH$4,0)),ArchetypeDemand!$F$106:$F$150,$F194)*'SHWLP-Det'!$R$18</f>
        <v>1.9308462183834259E-2</v>
      </c>
      <c r="J194" s="1134">
        <f>SUMIFS(INDEX(ArchetypeDemand!$I$106:$AH$150,,MATCH(J$128,ArchetypeDemand!$I$4:$AH$4,0)),ArchetypeDemand!$F$106:$F$150,$F194)*'SHWLP-Det'!$R$18</f>
        <v>8.7270214084464327E-3</v>
      </c>
      <c r="K194" s="1134">
        <f>SUMIFS(INDEX(ArchetypeDemand!$I$106:$AH$150,,MATCH(K$128,ArchetypeDemand!$I$4:$AH$4,0)),ArchetypeDemand!$F$106:$F$150,$F194)*'SHWLP-Det'!$R$18</f>
        <v>6.6469202241611061E-3</v>
      </c>
      <c r="L194" s="1134">
        <f>SUMIFS(INDEX(ArchetypeDemand!$I$106:$AH$150,,MATCH(L$128,ArchetypeDemand!$I$4:$AH$4,0)),ArchetypeDemand!$F$106:$F$150,$F194)*'SHWLP-Det'!$R$18</f>
        <v>3.5459340340866976E-3</v>
      </c>
      <c r="M194" s="1134">
        <f>SUMIFS(INDEX(ArchetypeDemand!$I$106:$AH$150,,MATCH(M$128,ArchetypeDemand!$I$4:$AH$4,0)),ArchetypeDemand!$F$106:$F$150,$F194)*'SHWLP-Det'!$R$18</f>
        <v>1.1098832355346557E-2</v>
      </c>
      <c r="N194" s="1134">
        <f>SUMIFS(INDEX(ArchetypeDemand!$I$106:$AH$150,,MATCH(N$128,ArchetypeDemand!$I$4:$AH$4,0)),ArchetypeDemand!$F$106:$F$150,$F194)*'SHWLP-Det'!$R$18</f>
        <v>2.0562967533935193E-2</v>
      </c>
      <c r="O194" s="1134">
        <f>SUMIFS(INDEX(ArchetypeDemand!$I$106:$AH$150,,MATCH(O$128,ArchetypeDemand!$I$4:$AH$4,0)),ArchetypeDemand!$F$106:$F$150,$F194)*'SHWLP-Det'!$R$18</f>
        <v>5.4101387232200013E-3</v>
      </c>
      <c r="P194" s="1134">
        <f>SUMIFS(INDEX(ArchetypeDemand!$I$106:$AH$150,,MATCH(P$128,ArchetypeDemand!$I$4:$AH$4,0)),ArchetypeDemand!$F$106:$F$150,$F194)*'SHWLP-Det'!$R$18</f>
        <v>6.358342274167335E-3</v>
      </c>
      <c r="Q194" s="1134">
        <f>SUMIFS(INDEX(ArchetypeDemand!$I$106:$AH$150,,MATCH(Q$128,ArchetypeDemand!$I$4:$AH$4,0)),ArchetypeDemand!$F$106:$F$150,$F194)*'SHWLP-Det'!$R$18</f>
        <v>1.4066560641116312E-2</v>
      </c>
      <c r="R194" s="1134">
        <f>SUMIFS(INDEX(ArchetypeDemand!$I$106:$AH$150,,MATCH(R$128,ArchetypeDemand!$I$4:$AH$4,0)),ArchetypeDemand!$F$106:$F$150,$F194)*'SHWLP-Det'!$R$18</f>
        <v>1.1845175697464298E-2</v>
      </c>
      <c r="S194" s="1134">
        <f>SUMIFS(INDEX(ArchetypeDemand!$I$106:$AH$150,,MATCH(S$128,ArchetypeDemand!$I$4:$AH$4,0)),ArchetypeDemand!$F$106:$F$150,$F194)*'SHWLP-Det'!$R$18</f>
        <v>9.7253879313837707E-3</v>
      </c>
      <c r="T194" s="1134">
        <f>SUMIFS(INDEX(ArchetypeDemand!$I$106:$AH$150,,MATCH(T$128,ArchetypeDemand!$I$4:$AH$4,0)),ArchetypeDemand!$F$106:$F$150,$F194)*'SHWLP-Det'!$R$18</f>
        <v>5.4587777168808478E-2</v>
      </c>
      <c r="U194" s="1134">
        <f>SUMIFS(INDEX(ArchetypeDemand!$I$106:$AH$150,,MATCH(U$128,ArchetypeDemand!$I$4:$AH$4,0)),ArchetypeDemand!$F$106:$F$150,$F194)*'SHWLP-Det'!$R$18</f>
        <v>1.774736540032152E-2</v>
      </c>
      <c r="V194" s="1134">
        <f>SUMIFS(INDEX(ArchetypeDemand!$I$106:$AH$150,,MATCH(V$128,ArchetypeDemand!$I$4:$AH$4,0)),ArchetypeDemand!$F$106:$F$150,$F194)*'SHWLP-Det'!$R$18</f>
        <v>1.2208367479432491E-2</v>
      </c>
      <c r="W194" s="1134">
        <f>SUMIFS(INDEX(ArchetypeDemand!$I$106:$AH$150,,MATCH(W$128,ArchetypeDemand!$I$4:$AH$4,0)),ArchetypeDemand!$F$106:$F$150,$F194)*'SHWLP-Det'!$R$18</f>
        <v>1.2151028833414807E-2</v>
      </c>
      <c r="X194" s="1134">
        <f>SUMIFS(INDEX(ArchetypeDemand!$I$106:$AH$150,,MATCH(X$128,ArchetypeDemand!$I$4:$AH$4,0)),ArchetypeDemand!$F$106:$F$150,$F194)*'SHWLP-Det'!$R$18</f>
        <v>9.5811820095192558E-3</v>
      </c>
      <c r="Y194" s="1134">
        <f>SUMIFS(INDEX(ArchetypeDemand!$I$106:$AH$150,,MATCH(Y$128,ArchetypeDemand!$I$4:$AH$4,0)),ArchetypeDemand!$F$106:$F$150,$F194)*'SHWLP-Det'!$R$18</f>
        <v>2.6600968811631345E-2</v>
      </c>
      <c r="Z194" s="1134">
        <f>SUMIFS(INDEX(ArchetypeDemand!$I$106:$AH$150,,MATCH(Z$128,ArchetypeDemand!$I$4:$AH$4,0)),ArchetypeDemand!$F$106:$F$150,$F194)*'SHWLP-Det'!$R$18</f>
        <v>2.6540621009012479E-3</v>
      </c>
      <c r="AA194" s="1134">
        <f>SUMIFS(INDEX(ArchetypeDemand!$I$106:$AH$150,,MATCH(AA$128,ArchetypeDemand!$I$4:$AH$4,0)),ArchetypeDemand!$F$106:$F$150,$F194)*'SHWLP-Det'!$R$18</f>
        <v>1.20158654601084E-2</v>
      </c>
      <c r="AB194" s="1134">
        <f>SUMIFS(INDEX(ArchetypeDemand!$I$106:$AH$150,,MATCH(AB$128,ArchetypeDemand!$I$4:$AH$4,0)),ArchetypeDemand!$F$106:$F$150,$F194)*'SHWLP-Det'!$R$18</f>
        <v>5.4875471385531175E-3</v>
      </c>
      <c r="AC194" s="1134">
        <f>SUMIFS(INDEX(ArchetypeDemand!$I$106:$AH$150,,MATCH(AC$128,ArchetypeDemand!$I$4:$AH$4,0)),ArchetypeDemand!$F$106:$F$150,$F194)*'SHWLP-Det'!$R$18</f>
        <v>5.9967057603345433E-3</v>
      </c>
      <c r="AD194" s="1134">
        <f>SUMIFS(INDEX(ArchetypeDemand!$I$106:$AH$150,,MATCH(AD$128,ArchetypeDemand!$I$4:$AH$4,0)),ArchetypeDemand!$F$106:$F$150,$F194)*'SHWLP-Det'!$R$18</f>
        <v>7.9452783806624253E-3</v>
      </c>
      <c r="AE194" s="1134">
        <f>SUMIFS(INDEX(ArchetypeDemand!$I$106:$AH$150,,MATCH(AE$128,ArchetypeDemand!$I$4:$AH$4,0)),ArchetypeDemand!$F$106:$F$150,$F194)*'SHWLP-Det'!$R$18</f>
        <v>1.4922210072444231E-2</v>
      </c>
      <c r="AF194" s="1134">
        <f>SUMIFS(INDEX(ArchetypeDemand!$I$106:$AH$150,,MATCH(AF$128,ArchetypeDemand!$I$4:$AH$4,0)),ArchetypeDemand!$F$106:$F$150,$F194)*'SHWLP-Det'!$R$18</f>
        <v>6.5484661294150873E-3</v>
      </c>
    </row>
    <row r="195" spans="3:32">
      <c r="C195" s="1136" t="s">
        <v>1245</v>
      </c>
      <c r="D195" s="1136" t="s">
        <v>1094</v>
      </c>
      <c r="E195" s="1136" t="s">
        <v>406</v>
      </c>
      <c r="F195" s="1136" t="s">
        <v>1225</v>
      </c>
      <c r="G195" s="1136">
        <f>SUMIFS(INDEX(ArchetypeDemand!$I$106:$AH$150,,MATCH(G$128,ArchetypeDemand!$I$4:$AH$4,0)),ArchetypeDemand!$F$106:$F$150,$F195)*'SHWLP-Det'!$R$18</f>
        <v>1.1178597912370065E-2</v>
      </c>
      <c r="H195" s="1136">
        <f>SUMIFS(INDEX(ArchetypeDemand!$I$106:$AH$150,,MATCH(H$128,ArchetypeDemand!$I$4:$AH$4,0)),ArchetypeDemand!$F$106:$F$150,$F195)*'SHWLP-Det'!$R$18</f>
        <v>5.2036922453962638E-2</v>
      </c>
      <c r="I195" s="1136">
        <f>SUMIFS(INDEX(ArchetypeDemand!$I$106:$AH$150,,MATCH(I$128,ArchetypeDemand!$I$4:$AH$4,0)),ArchetypeDemand!$F$106:$F$150,$F195)*'SHWLP-Det'!$R$18</f>
        <v>3.5457955410757726E-2</v>
      </c>
      <c r="J195" s="1136">
        <f>SUMIFS(INDEX(ArchetypeDemand!$I$106:$AH$150,,MATCH(J$128,ArchetypeDemand!$I$4:$AH$4,0)),ArchetypeDemand!$F$106:$F$150,$F195)*'SHWLP-Det'!$R$18</f>
        <v>2.1260620882926969E-2</v>
      </c>
      <c r="K195" s="1136">
        <f>SUMIFS(INDEX(ArchetypeDemand!$I$106:$AH$150,,MATCH(K$128,ArchetypeDemand!$I$4:$AH$4,0)),ArchetypeDemand!$F$106:$F$150,$F195)*'SHWLP-Det'!$R$18</f>
        <v>1.8092952926776956E-2</v>
      </c>
      <c r="L195" s="1136">
        <f>SUMIFS(INDEX(ArchetypeDemand!$I$106:$AH$150,,MATCH(L$128,ArchetypeDemand!$I$4:$AH$4,0)),ArchetypeDemand!$F$106:$F$150,$F195)*'SHWLP-Det'!$R$18</f>
        <v>9.7105452578560344E-3</v>
      </c>
      <c r="M195" s="1136">
        <f>SUMIFS(INDEX(ArchetypeDemand!$I$106:$AH$150,,MATCH(M$128,ArchetypeDemand!$I$4:$AH$4,0)),ArchetypeDemand!$F$106:$F$150,$F195)*'SHWLP-Det'!$R$18</f>
        <v>2.112788680977324E-2</v>
      </c>
      <c r="N195" s="1136">
        <f>SUMIFS(INDEX(ArchetypeDemand!$I$106:$AH$150,,MATCH(N$128,ArchetypeDemand!$I$4:$AH$4,0)),ArchetypeDemand!$F$106:$F$150,$F195)*'SHWLP-Det'!$R$18</f>
        <v>3.8613626805776166E-2</v>
      </c>
      <c r="O195" s="1136">
        <f>SUMIFS(INDEX(ArchetypeDemand!$I$106:$AH$150,,MATCH(O$128,ArchetypeDemand!$I$4:$AH$4,0)),ArchetypeDemand!$F$106:$F$150,$F195)*'SHWLP-Det'!$R$18</f>
        <v>1.6379697035113092E-2</v>
      </c>
      <c r="P195" s="1136">
        <f>SUMIFS(INDEX(ArchetypeDemand!$I$106:$AH$150,,MATCH(P$128,ArchetypeDemand!$I$4:$AH$4,0)),ArchetypeDemand!$F$106:$F$150,$F195)*'SHWLP-Det'!$R$18</f>
        <v>1.7266919558525683E-2</v>
      </c>
      <c r="Q195" s="1136">
        <f>SUMIFS(INDEX(ArchetypeDemand!$I$106:$AH$150,,MATCH(Q$128,ArchetypeDemand!$I$4:$AH$4,0)),ArchetypeDemand!$F$106:$F$150,$F195)*'SHWLP-Det'!$R$18</f>
        <v>3.9209098002505209E-2</v>
      </c>
      <c r="R195" s="1136">
        <f>SUMIFS(INDEX(ArchetypeDemand!$I$106:$AH$150,,MATCH(R$128,ArchetypeDemand!$I$4:$AH$4,0)),ArchetypeDemand!$F$106:$F$150,$F195)*'SHWLP-Det'!$R$18</f>
        <v>2.2074760427807275E-2</v>
      </c>
      <c r="S195" s="1136">
        <f>SUMIFS(INDEX(ArchetypeDemand!$I$106:$AH$150,,MATCH(S$128,ArchetypeDemand!$I$4:$AH$4,0)),ArchetypeDemand!$F$106:$F$150,$F195)*'SHWLP-Det'!$R$18</f>
        <v>2.9033545077386782E-2</v>
      </c>
      <c r="T195" s="1136">
        <f>SUMIFS(INDEX(ArchetypeDemand!$I$106:$AH$150,,MATCH(T$128,ArchetypeDemand!$I$4:$AH$4,0)),ArchetypeDemand!$F$106:$F$150,$F195)*'SHWLP-Det'!$R$18</f>
        <v>9.5421432190296515E-2</v>
      </c>
      <c r="U195" s="1136">
        <f>SUMIFS(INDEX(ArchetypeDemand!$I$106:$AH$150,,MATCH(U$128,ArchetypeDemand!$I$4:$AH$4,0)),ArchetypeDemand!$F$106:$F$150,$F195)*'SHWLP-Det'!$R$18</f>
        <v>3.7288889473743855E-2</v>
      </c>
      <c r="V195" s="1136">
        <f>SUMIFS(INDEX(ArchetypeDemand!$I$106:$AH$150,,MATCH(V$128,ArchetypeDemand!$I$4:$AH$4,0)),ArchetypeDemand!$F$106:$F$150,$F195)*'SHWLP-Det'!$R$18</f>
        <v>3.3254639898644266E-2</v>
      </c>
      <c r="W195" s="1136">
        <f>SUMIFS(INDEX(ArchetypeDemand!$I$106:$AH$150,,MATCH(W$128,ArchetypeDemand!$I$4:$AH$4,0)),ArchetypeDemand!$F$106:$F$150,$F195)*'SHWLP-Det'!$R$18</f>
        <v>3.4007010156397753E-2</v>
      </c>
      <c r="X195" s="1136">
        <f>SUMIFS(INDEX(ArchetypeDemand!$I$106:$AH$150,,MATCH(X$128,ArchetypeDemand!$I$4:$AH$4,0)),ArchetypeDemand!$F$106:$F$150,$F195)*'SHWLP-Det'!$R$18</f>
        <v>2.1767644067692996E-2</v>
      </c>
      <c r="Y195" s="1136">
        <f>SUMIFS(INDEX(ArchetypeDemand!$I$106:$AH$150,,MATCH(Y$128,ArchetypeDemand!$I$4:$AH$4,0)),ArchetypeDemand!$F$106:$F$150,$F195)*'SHWLP-Det'!$R$18</f>
        <v>5.9982820983602927E-2</v>
      </c>
      <c r="Z195" s="1136">
        <f>SUMIFS(INDEX(ArchetypeDemand!$I$106:$AH$150,,MATCH(Z$128,ArchetypeDemand!$I$4:$AH$4,0)),ArchetypeDemand!$F$106:$F$150,$F195)*'SHWLP-Det'!$R$18</f>
        <v>9.5618949662606614E-3</v>
      </c>
      <c r="AA195" s="1136">
        <f>SUMIFS(INDEX(ArchetypeDemand!$I$106:$AH$150,,MATCH(AA$128,ArchetypeDemand!$I$4:$AH$4,0)),ArchetypeDemand!$F$106:$F$150,$F195)*'SHWLP-Det'!$R$18</f>
        <v>3.4537814370725561E-2</v>
      </c>
      <c r="AB195" s="1136">
        <f>SUMIFS(INDEX(ArchetypeDemand!$I$106:$AH$150,,MATCH(AB$128,ArchetypeDemand!$I$4:$AH$4,0)),ArchetypeDemand!$F$106:$F$150,$F195)*'SHWLP-Det'!$R$18</f>
        <v>1.8615821520842152E-2</v>
      </c>
      <c r="AC195" s="1136">
        <f>SUMIFS(INDEX(ArchetypeDemand!$I$106:$AH$150,,MATCH(AC$128,ArchetypeDemand!$I$4:$AH$4,0)),ArchetypeDemand!$F$106:$F$150,$F195)*'SHWLP-Det'!$R$18</f>
        <v>1.3630014224208958E-2</v>
      </c>
      <c r="AD195" s="1136">
        <f>SUMIFS(INDEX(ArchetypeDemand!$I$106:$AH$150,,MATCH(AD$128,ArchetypeDemand!$I$4:$AH$4,0)),ArchetypeDemand!$F$106:$F$150,$F195)*'SHWLP-Det'!$R$18</f>
        <v>2.0533445923267519E-2</v>
      </c>
      <c r="AE195" s="1136">
        <f>SUMIFS(INDEX(ArchetypeDemand!$I$106:$AH$150,,MATCH(AE$128,ArchetypeDemand!$I$4:$AH$4,0)),ArchetypeDemand!$F$106:$F$150,$F195)*'SHWLP-Det'!$R$18</f>
        <v>4.4996920734749354E-2</v>
      </c>
      <c r="AF195" s="1136">
        <f>SUMIFS(INDEX(ArchetypeDemand!$I$106:$AH$150,,MATCH(AF$128,ArchetypeDemand!$I$4:$AH$4,0)),ArchetypeDemand!$F$106:$F$150,$F195)*'SHWLP-Det'!$R$18</f>
        <v>1.388899863286747E-2</v>
      </c>
    </row>
    <row r="196" spans="3:32">
      <c r="C196" s="1134" t="s">
        <v>1245</v>
      </c>
      <c r="D196" s="1134" t="s">
        <v>1094</v>
      </c>
      <c r="E196" s="1134" t="s">
        <v>406</v>
      </c>
      <c r="F196" s="1134" t="s">
        <v>1226</v>
      </c>
      <c r="G196" s="1134">
        <f>SUMIFS(INDEX(ArchetypeDemand!$I$106:$AH$150,,MATCH(G$128,ArchetypeDemand!$I$4:$AH$4,0)),ArchetypeDemand!$F$106:$F$150,$F196)*'SHWLP-Det'!$R$18</f>
        <v>7.5844292922510811E-3</v>
      </c>
      <c r="H196" s="1134">
        <f>SUMIFS(INDEX(ArchetypeDemand!$I$106:$AH$150,,MATCH(H$128,ArchetypeDemand!$I$4:$AH$4,0)),ArchetypeDemand!$F$106:$F$150,$F196)*'SHWLP-Det'!$R$18</f>
        <v>3.689046109682708E-2</v>
      </c>
      <c r="I196" s="1134">
        <f>SUMIFS(INDEX(ArchetypeDemand!$I$106:$AH$150,,MATCH(I$128,ArchetypeDemand!$I$4:$AH$4,0)),ArchetypeDemand!$F$106:$F$150,$F196)*'SHWLP-Det'!$R$18</f>
        <v>1.8326315229144997E-2</v>
      </c>
      <c r="J196" s="1134">
        <f>SUMIFS(INDEX(ArchetypeDemand!$I$106:$AH$150,,MATCH(J$128,ArchetypeDemand!$I$4:$AH$4,0)),ArchetypeDemand!$F$106:$F$150,$F196)*'SHWLP-Det'!$R$18</f>
        <v>1.4805418069569259E-2</v>
      </c>
      <c r="K196" s="1134">
        <f>SUMIFS(INDEX(ArchetypeDemand!$I$106:$AH$150,,MATCH(K$128,ArchetypeDemand!$I$4:$AH$4,0)),ArchetypeDemand!$F$106:$F$150,$F196)*'SHWLP-Det'!$R$18</f>
        <v>1.0706300675210957E-2</v>
      </c>
      <c r="L196" s="1134">
        <f>SUMIFS(INDEX(ArchetypeDemand!$I$106:$AH$150,,MATCH(L$128,ArchetypeDemand!$I$4:$AH$4,0)),ArchetypeDemand!$F$106:$F$150,$F196)*'SHWLP-Det'!$R$18</f>
        <v>6.2203333041537853E-3</v>
      </c>
      <c r="M196" s="1134">
        <f>SUMIFS(INDEX(ArchetypeDemand!$I$106:$AH$150,,MATCH(M$128,ArchetypeDemand!$I$4:$AH$4,0)),ArchetypeDemand!$F$106:$F$150,$F196)*'SHWLP-Det'!$R$18</f>
        <v>1.1359490192799878E-2</v>
      </c>
      <c r="N196" s="1134">
        <f>SUMIFS(INDEX(ArchetypeDemand!$I$106:$AH$150,,MATCH(N$128,ArchetypeDemand!$I$4:$AH$4,0)),ArchetypeDemand!$F$106:$F$150,$F196)*'SHWLP-Det'!$R$18</f>
        <v>2.0976684914328244E-2</v>
      </c>
      <c r="O196" s="1134">
        <f>SUMIFS(INDEX(ArchetypeDemand!$I$106:$AH$150,,MATCH(O$128,ArchetypeDemand!$I$4:$AH$4,0)),ArchetypeDemand!$F$106:$F$150,$F196)*'SHWLP-Det'!$R$18</f>
        <v>1.1392904026764844E-2</v>
      </c>
      <c r="P196" s="1134">
        <f>SUMIFS(INDEX(ArchetypeDemand!$I$106:$AH$150,,MATCH(P$128,ArchetypeDemand!$I$4:$AH$4,0)),ArchetypeDemand!$F$106:$F$150,$F196)*'SHWLP-Det'!$R$18</f>
        <v>1.121689468452983E-2</v>
      </c>
      <c r="Q196" s="1134">
        <f>SUMIFS(INDEX(ArchetypeDemand!$I$106:$AH$150,,MATCH(Q$128,ArchetypeDemand!$I$4:$AH$4,0)),ArchetypeDemand!$F$106:$F$150,$F196)*'SHWLP-Det'!$R$18</f>
        <v>2.4390445126731282E-2</v>
      </c>
      <c r="R196" s="1134">
        <f>SUMIFS(INDEX(ArchetypeDemand!$I$106:$AH$150,,MATCH(R$128,ArchetypeDemand!$I$4:$AH$4,0)),ArchetypeDemand!$F$106:$F$150,$F196)*'SHWLP-Det'!$R$18</f>
        <v>1.527959977216029E-2</v>
      </c>
      <c r="S196" s="1134">
        <f>SUMIFS(INDEX(ArchetypeDemand!$I$106:$AH$150,,MATCH(S$128,ArchetypeDemand!$I$4:$AH$4,0)),ArchetypeDemand!$F$106:$F$150,$F196)*'SHWLP-Det'!$R$18</f>
        <v>1.7336887025943271E-2</v>
      </c>
      <c r="T196" s="1134">
        <f>SUMIFS(INDEX(ArchetypeDemand!$I$106:$AH$150,,MATCH(T$128,ArchetypeDemand!$I$4:$AH$4,0)),ArchetypeDemand!$F$106:$F$150,$F196)*'SHWLP-Det'!$R$18</f>
        <v>5.2963562304264224E-2</v>
      </c>
      <c r="U196" s="1134">
        <f>SUMIFS(INDEX(ArchetypeDemand!$I$106:$AH$150,,MATCH(U$128,ArchetypeDemand!$I$4:$AH$4,0)),ArchetypeDemand!$F$106:$F$150,$F196)*'SHWLP-Det'!$R$18</f>
        <v>2.4900822140708184E-2</v>
      </c>
      <c r="V196" s="1134">
        <f>SUMIFS(INDEX(ArchetypeDemand!$I$106:$AH$150,,MATCH(V$128,ArchetypeDemand!$I$4:$AH$4,0)),ArchetypeDemand!$F$106:$F$150,$F196)*'SHWLP-Det'!$R$18</f>
        <v>2.4706848211092983E-2</v>
      </c>
      <c r="W196" s="1134">
        <f>SUMIFS(INDEX(ArchetypeDemand!$I$106:$AH$150,,MATCH(W$128,ArchetypeDemand!$I$4:$AH$4,0)),ArchetypeDemand!$F$106:$F$150,$F196)*'SHWLP-Det'!$R$18</f>
        <v>2.484293429876255E-2</v>
      </c>
      <c r="X196" s="1134">
        <f>SUMIFS(INDEX(ArchetypeDemand!$I$106:$AH$150,,MATCH(X$128,ArchetypeDemand!$I$4:$AH$4,0)),ArchetypeDemand!$F$106:$F$150,$F196)*'SHWLP-Det'!$R$18</f>
        <v>1.3873453579947959E-2</v>
      </c>
      <c r="Y196" s="1134">
        <f>SUMIFS(INDEX(ArchetypeDemand!$I$106:$AH$150,,MATCH(Y$128,ArchetypeDemand!$I$4:$AH$4,0)),ArchetypeDemand!$F$106:$F$150,$F196)*'SHWLP-Det'!$R$18</f>
        <v>3.5961423370300949E-2</v>
      </c>
      <c r="Z196" s="1134">
        <f>SUMIFS(INDEX(ArchetypeDemand!$I$106:$AH$150,,MATCH(Z$128,ArchetypeDemand!$I$4:$AH$4,0)),ArchetypeDemand!$F$106:$F$150,$F196)*'SHWLP-Det'!$R$18</f>
        <v>5.4753664711743545E-3</v>
      </c>
      <c r="AA196" s="1134">
        <f>SUMIFS(INDEX(ArchetypeDemand!$I$106:$AH$150,,MATCH(AA$128,ArchetypeDemand!$I$4:$AH$4,0)),ArchetypeDemand!$F$106:$F$150,$F196)*'SHWLP-Det'!$R$18</f>
        <v>2.4916510026597057E-2</v>
      </c>
      <c r="AB196" s="1134">
        <f>SUMIFS(INDEX(ArchetypeDemand!$I$106:$AH$150,,MATCH(AB$128,ArchetypeDemand!$I$4:$AH$4,0)),ArchetypeDemand!$F$106:$F$150,$F196)*'SHWLP-Det'!$R$18</f>
        <v>1.1573373087706789E-2</v>
      </c>
      <c r="AC196" s="1134">
        <f>SUMIFS(INDEX(ArchetypeDemand!$I$106:$AH$150,,MATCH(AC$128,ArchetypeDemand!$I$4:$AH$4,0)),ArchetypeDemand!$F$106:$F$150,$F196)*'SHWLP-Det'!$R$18</f>
        <v>9.7880490941146103E-3</v>
      </c>
      <c r="AD196" s="1134">
        <f>SUMIFS(INDEX(ArchetypeDemand!$I$106:$AH$150,,MATCH(AD$128,ArchetypeDemand!$I$4:$AH$4,0)),ArchetypeDemand!$F$106:$F$150,$F196)*'SHWLP-Det'!$R$18</f>
        <v>1.0881780097584169E-2</v>
      </c>
      <c r="AE196" s="1134">
        <f>SUMIFS(INDEX(ArchetypeDemand!$I$106:$AH$150,,MATCH(AE$128,ArchetypeDemand!$I$4:$AH$4,0)),ArchetypeDemand!$F$106:$F$150,$F196)*'SHWLP-Det'!$R$18</f>
        <v>2.818723456672987E-2</v>
      </c>
      <c r="AF196" s="1134">
        <f>SUMIFS(INDEX(ArchetypeDemand!$I$106:$AH$150,,MATCH(AF$128,ArchetypeDemand!$I$4:$AH$4,0)),ArchetypeDemand!$F$106:$F$150,$F196)*'SHWLP-Det'!$R$18</f>
        <v>1.0397226285809224E-2</v>
      </c>
    </row>
    <row r="197" spans="3:32">
      <c r="C197" s="1136" t="s">
        <v>1245</v>
      </c>
      <c r="D197" s="1136" t="s">
        <v>1094</v>
      </c>
      <c r="E197" s="1136" t="s">
        <v>406</v>
      </c>
      <c r="F197" s="1136" t="s">
        <v>1227</v>
      </c>
      <c r="G197" s="1136">
        <f>SUMIFS(INDEX(ArchetypeDemand!$I$106:$AH$150,,MATCH(G$128,ArchetypeDemand!$I$4:$AH$4,0)),ArchetypeDemand!$F$106:$F$150,$F197)*'SHWLP-Det'!$R$18</f>
        <v>3.1834064921053861E-3</v>
      </c>
      <c r="H197" s="1136">
        <f>SUMIFS(INDEX(ArchetypeDemand!$I$106:$AH$150,,MATCH(H$128,ArchetypeDemand!$I$4:$AH$4,0)),ArchetypeDemand!$F$106:$F$150,$F197)*'SHWLP-Det'!$R$18</f>
        <v>1.8970603323189124E-2</v>
      </c>
      <c r="I197" s="1136">
        <f>SUMIFS(INDEX(ArchetypeDemand!$I$106:$AH$150,,MATCH(I$128,ArchetypeDemand!$I$4:$AH$4,0)),ArchetypeDemand!$F$106:$F$150,$F197)*'SHWLP-Det'!$R$18</f>
        <v>6.9370797760040384E-3</v>
      </c>
      <c r="J197" s="1136">
        <f>SUMIFS(INDEX(ArchetypeDemand!$I$106:$AH$150,,MATCH(J$128,ArchetypeDemand!$I$4:$AH$4,0)),ArchetypeDemand!$F$106:$F$150,$F197)*'SHWLP-Det'!$R$18</f>
        <v>6.5160053516310976E-3</v>
      </c>
      <c r="K197" s="1136">
        <f>SUMIFS(INDEX(ArchetypeDemand!$I$106:$AH$150,,MATCH(K$128,ArchetypeDemand!$I$4:$AH$4,0)),ArchetypeDemand!$F$106:$F$150,$F197)*'SHWLP-Det'!$R$18</f>
        <v>4.4493717091785784E-3</v>
      </c>
      <c r="L197" s="1136">
        <f>SUMIFS(INDEX(ArchetypeDemand!$I$106:$AH$150,,MATCH(L$128,ArchetypeDemand!$I$4:$AH$4,0)),ArchetypeDemand!$F$106:$F$150,$F197)*'SHWLP-Det'!$R$18</f>
        <v>3.1101666520768926E-3</v>
      </c>
      <c r="M197" s="1136">
        <f>SUMIFS(INDEX(ArchetypeDemand!$I$106:$AH$150,,MATCH(M$128,ArchetypeDemand!$I$4:$AH$4,0)),ArchetypeDemand!$F$106:$F$150,$F197)*'SHWLP-Det'!$R$18</f>
        <v>5.0027653778391386E-3</v>
      </c>
      <c r="N197" s="1136">
        <f>SUMIFS(INDEX(ArchetypeDemand!$I$106:$AH$150,,MATCH(N$128,ArchetypeDemand!$I$4:$AH$4,0)),ArchetypeDemand!$F$106:$F$150,$F197)*'SHWLP-Det'!$R$18</f>
        <v>8.2546741209851403E-3</v>
      </c>
      <c r="O197" s="1136">
        <f>SUMIFS(INDEX(ArchetypeDemand!$I$106:$AH$150,,MATCH(O$128,ArchetypeDemand!$I$4:$AH$4,0)),ArchetypeDemand!$F$106:$F$150,$F197)*'SHWLP-Det'!$R$18</f>
        <v>5.0635129007843751E-3</v>
      </c>
      <c r="P197" s="1136">
        <f>SUMIFS(INDEX(ArchetypeDemand!$I$106:$AH$150,,MATCH(P$128,ArchetypeDemand!$I$4:$AH$4,0)),ArchetypeDemand!$F$106:$F$150,$F197)*'SHWLP-Det'!$R$18</f>
        <v>5.1586160248941453E-3</v>
      </c>
      <c r="Q197" s="1136">
        <f>SUMIFS(INDEX(ArchetypeDemand!$I$106:$AH$150,,MATCH(Q$128,ArchetypeDemand!$I$4:$AH$4,0)),ArchetypeDemand!$F$106:$F$150,$F197)*'SHWLP-Det'!$R$18</f>
        <v>9.6192444788303754E-3</v>
      </c>
      <c r="R197" s="1136">
        <f>SUMIFS(INDEX(ArchetypeDemand!$I$106:$AH$150,,MATCH(R$128,ArchetypeDemand!$I$4:$AH$4,0)),ArchetypeDemand!$F$106:$F$150,$F197)*'SHWLP-Det'!$R$18</f>
        <v>6.8103793805196523E-3</v>
      </c>
      <c r="S197" s="1136">
        <f>SUMIFS(INDEX(ArchetypeDemand!$I$106:$AH$150,,MATCH(S$128,ArchetypeDemand!$I$4:$AH$4,0)),ArchetypeDemand!$F$106:$F$150,$F197)*'SHWLP-Det'!$R$18</f>
        <v>8.4244641425734266E-3</v>
      </c>
      <c r="T197" s="1136">
        <f>SUMIFS(INDEX(ArchetypeDemand!$I$106:$AH$150,,MATCH(T$128,ArchetypeDemand!$I$4:$AH$4,0)),ArchetypeDemand!$F$106:$F$150,$F197)*'SHWLP-Det'!$R$18</f>
        <v>2.2656854733295404E-2</v>
      </c>
      <c r="U197" s="1136">
        <f>SUMIFS(INDEX(ArchetypeDemand!$I$106:$AH$150,,MATCH(U$128,ArchetypeDemand!$I$4:$AH$4,0)),ArchetypeDemand!$F$106:$F$150,$F197)*'SHWLP-Det'!$R$18</f>
        <v>1.147858222391997E-2</v>
      </c>
      <c r="V197" s="1136">
        <f>SUMIFS(INDEX(ArchetypeDemand!$I$106:$AH$150,,MATCH(V$128,ArchetypeDemand!$I$4:$AH$4,0)),ArchetypeDemand!$F$106:$F$150,$F197)*'SHWLP-Det'!$R$18</f>
        <v>1.0039885315461813E-2</v>
      </c>
      <c r="W197" s="1136">
        <f>SUMIFS(INDEX(ArchetypeDemand!$I$106:$AH$150,,MATCH(W$128,ArchetypeDemand!$I$4:$AH$4,0)),ArchetypeDemand!$F$106:$F$150,$F197)*'SHWLP-Det'!$R$18</f>
        <v>1.2208439181431175E-2</v>
      </c>
      <c r="X197" s="1136">
        <f>SUMIFS(INDEX(ArchetypeDemand!$I$106:$AH$150,,MATCH(X$128,ArchetypeDemand!$I$4:$AH$4,0)),ArchetypeDemand!$F$106:$F$150,$F197)*'SHWLP-Det'!$R$18</f>
        <v>4.5958257493010695E-3</v>
      </c>
      <c r="Y197" s="1136">
        <f>SUMIFS(INDEX(ArchetypeDemand!$I$106:$AH$150,,MATCH(Y$128,ArchetypeDemand!$I$4:$AH$4,0)),ArchetypeDemand!$F$106:$F$150,$F197)*'SHWLP-Det'!$R$18</f>
        <v>1.6210165809657791E-2</v>
      </c>
      <c r="Z197" s="1136">
        <f>SUMIFS(INDEX(ArchetypeDemand!$I$106:$AH$150,,MATCH(Z$128,ArchetypeDemand!$I$4:$AH$4,0)),ArchetypeDemand!$F$106:$F$150,$F197)*'SHWLP-Det'!$R$18</f>
        <v>3.1630603120329942E-3</v>
      </c>
      <c r="AA197" s="1136">
        <f>SUMIFS(INDEX(ArchetypeDemand!$I$106:$AH$150,,MATCH(AA$128,ArchetypeDemand!$I$4:$AH$4,0)),ArchetypeDemand!$F$106:$F$150,$F197)*'SHWLP-Det'!$R$18</f>
        <v>1.1755884100737761E-2</v>
      </c>
      <c r="AB197" s="1136">
        <f>SUMIFS(INDEX(ArchetypeDemand!$I$106:$AH$150,,MATCH(AB$128,ArchetypeDemand!$I$4:$AH$4,0)),ArchetypeDemand!$F$106:$F$150,$F197)*'SHWLP-Det'!$R$18</f>
        <v>5.8630504425259472E-3</v>
      </c>
      <c r="AC197" s="1136">
        <f>SUMIFS(INDEX(ArchetypeDemand!$I$106:$AH$150,,MATCH(AC$128,ArchetypeDemand!$I$4:$AH$4,0)),ArchetypeDemand!$F$106:$F$150,$F197)*'SHWLP-Det'!$R$18</f>
        <v>4.8316802853113523E-3</v>
      </c>
      <c r="AD197" s="1136">
        <f>SUMIFS(INDEX(ArchetypeDemand!$I$106:$AH$150,,MATCH(AD$128,ArchetypeDemand!$I$4:$AH$4,0)),ArchetypeDemand!$F$106:$F$150,$F197)*'SHWLP-Det'!$R$18</f>
        <v>5.2674123950624818E-3</v>
      </c>
      <c r="AE197" s="1136">
        <f>SUMIFS(INDEX(ArchetypeDemand!$I$106:$AH$150,,MATCH(AE$128,ArchetypeDemand!$I$4:$AH$4,0)),ArchetypeDemand!$F$106:$F$150,$F197)*'SHWLP-Det'!$R$18</f>
        <v>1.3028576098673625E-2</v>
      </c>
      <c r="AF197" s="1136">
        <f>SUMIFS(INDEX(ArchetypeDemand!$I$106:$AH$150,,MATCH(AF$128,ArchetypeDemand!$I$4:$AH$4,0)),ArchetypeDemand!$F$106:$F$150,$F197)*'SHWLP-Det'!$R$18</f>
        <v>4.7412244329065661E-3</v>
      </c>
    </row>
    <row r="198" spans="3:32">
      <c r="C198" s="1134" t="s">
        <v>1245</v>
      </c>
      <c r="D198" s="1134" t="s">
        <v>1094</v>
      </c>
      <c r="E198" s="1134" t="s">
        <v>406</v>
      </c>
      <c r="F198" s="1134" t="s">
        <v>1228</v>
      </c>
      <c r="G198" s="1134">
        <f>SUMIFS(INDEX(ArchetypeDemand!$I$106:$AH$150,,MATCH(G$128,ArchetypeDemand!$I$4:$AH$4,0)),ArchetypeDemand!$F$106:$F$150,$F198)*'SHWLP-Det'!$R$18</f>
        <v>1.7090638540565783E-3</v>
      </c>
      <c r="H198" s="1134">
        <f>SUMIFS(INDEX(ArchetypeDemand!$I$106:$AH$150,,MATCH(H$128,ArchetypeDemand!$I$4:$AH$4,0)),ArchetypeDemand!$F$106:$F$150,$F198)*'SHWLP-Det'!$R$18</f>
        <v>9.2422720787051754E-3</v>
      </c>
      <c r="I198" s="1134">
        <f>SUMIFS(INDEX(ArchetypeDemand!$I$106:$AH$150,,MATCH(I$128,ArchetypeDemand!$I$4:$AH$4,0)),ArchetypeDemand!$F$106:$F$150,$F198)*'SHWLP-Det'!$R$18</f>
        <v>2.8911136150280899E-3</v>
      </c>
      <c r="J198" s="1134">
        <f>SUMIFS(INDEX(ArchetypeDemand!$I$106:$AH$150,,MATCH(J$128,ArchetypeDemand!$I$4:$AH$4,0)),ArchetypeDemand!$F$106:$F$150,$F198)*'SHWLP-Det'!$R$18</f>
        <v>3.1009294519426371E-3</v>
      </c>
      <c r="K198" s="1134">
        <f>SUMIFS(INDEX(ArchetypeDemand!$I$106:$AH$150,,MATCH(K$128,ArchetypeDemand!$I$4:$AH$4,0)),ArchetypeDemand!$F$106:$F$150,$F198)*'SHWLP-Det'!$R$18</f>
        <v>2.6765751688027392E-3</v>
      </c>
      <c r="L198" s="1134">
        <f>SUMIFS(INDEX(ArchetypeDemand!$I$106:$AH$150,,MATCH(L$128,ArchetypeDemand!$I$4:$AH$4,0)),ArchetypeDemand!$F$106:$F$150,$F198)*'SHWLP-Det'!$R$18</f>
        <v>2.1794434644229594E-3</v>
      </c>
      <c r="M198" s="1134">
        <f>SUMIFS(INDEX(ArchetypeDemand!$I$106:$AH$150,,MATCH(M$128,ArchetypeDemand!$I$4:$AH$4,0)),ArchetypeDemand!$F$106:$F$150,$F198)*'SHWLP-Det'!$R$18</f>
        <v>2.2413000851786965E-3</v>
      </c>
      <c r="N198" s="1134">
        <f>SUMIFS(INDEX(ArchetypeDemand!$I$106:$AH$150,,MATCH(N$128,ArchetypeDemand!$I$4:$AH$4,0)),ArchetypeDemand!$F$106:$F$150,$F198)*'SHWLP-Det'!$R$18</f>
        <v>4.0713877572742139E-3</v>
      </c>
      <c r="O198" s="1134">
        <f>SUMIFS(INDEX(ArchetypeDemand!$I$106:$AH$150,,MATCH(O$128,ArchetypeDemand!$I$4:$AH$4,0)),ArchetypeDemand!$F$106:$F$150,$F198)*'SHWLP-Det'!$R$18</f>
        <v>3.0304357512270126E-3</v>
      </c>
      <c r="P198" s="1134">
        <f>SUMIFS(INDEX(ArchetypeDemand!$I$106:$AH$150,,MATCH(P$128,ArchetypeDemand!$I$4:$AH$4,0)),ArchetypeDemand!$F$106:$F$150,$F198)*'SHWLP-Det'!$R$18</f>
        <v>2.9218401165000442E-3</v>
      </c>
      <c r="Q198" s="1134">
        <f>SUMIFS(INDEX(ArchetypeDemand!$I$106:$AH$150,,MATCH(Q$128,ArchetypeDemand!$I$4:$AH$4,0)),ArchetypeDemand!$F$106:$F$150,$F198)*'SHWLP-Det'!$R$18</f>
        <v>4.2164693910024626E-3</v>
      </c>
      <c r="R198" s="1134">
        <f>SUMIFS(INDEX(ArchetypeDemand!$I$106:$AH$150,,MATCH(R$128,ArchetypeDemand!$I$4:$AH$4,0)),ArchetypeDemand!$F$106:$F$150,$F198)*'SHWLP-Det'!$R$18</f>
        <v>3.6296658821317026E-3</v>
      </c>
      <c r="S198" s="1134">
        <f>SUMIFS(INDEX(ArchetypeDemand!$I$106:$AH$150,,MATCH(S$128,ArchetypeDemand!$I$4:$AH$4,0)),ArchetypeDemand!$F$106:$F$150,$F198)*'SHWLP-Det'!$R$18</f>
        <v>3.781680241172228E-3</v>
      </c>
      <c r="T198" s="1134">
        <f>SUMIFS(INDEX(ArchetypeDemand!$I$106:$AH$150,,MATCH(T$128,ArchetypeDemand!$I$4:$AH$4,0)),ArchetypeDemand!$F$106:$F$150,$F198)*'SHWLP-Det'!$R$18</f>
        <v>1.0576890634921773E-2</v>
      </c>
      <c r="U198" s="1134">
        <f>SUMIFS(INDEX(ArchetypeDemand!$I$106:$AH$150,,MATCH(U$128,ArchetypeDemand!$I$4:$AH$4,0)),ArchetypeDemand!$F$106:$F$150,$F198)*'SHWLP-Det'!$R$18</f>
        <v>5.0168372147995277E-3</v>
      </c>
      <c r="V198" s="1134">
        <f>SUMIFS(INDEX(ArchetypeDemand!$I$106:$AH$150,,MATCH(V$128,ArchetypeDemand!$I$4:$AH$4,0)),ArchetypeDemand!$F$106:$F$150,$F198)*'SHWLP-Det'!$R$18</f>
        <v>5.3016943800225222E-3</v>
      </c>
      <c r="W198" s="1134">
        <f>SUMIFS(INDEX(ArchetypeDemand!$I$106:$AH$150,,MATCH(W$128,ArchetypeDemand!$I$4:$AH$4,0)),ArchetypeDemand!$F$106:$F$150,$F198)*'SHWLP-Det'!$R$18</f>
        <v>6.7316837872231534E-3</v>
      </c>
      <c r="X198" s="1134">
        <f>SUMIFS(INDEX(ArchetypeDemand!$I$106:$AH$150,,MATCH(X$128,ArchetypeDemand!$I$4:$AH$4,0)),ArchetypeDemand!$F$106:$F$150,$F198)*'SHWLP-Det'!$R$18</f>
        <v>2.4854975991118033E-3</v>
      </c>
      <c r="Y198" s="1134">
        <f>SUMIFS(INDEX(ArchetypeDemand!$I$106:$AH$150,,MATCH(Y$128,ArchetypeDemand!$I$4:$AH$4,0)),ArchetypeDemand!$F$106:$F$150,$F198)*'SHWLP-Det'!$R$18</f>
        <v>7.6252500940336108E-3</v>
      </c>
      <c r="Z198" s="1134">
        <f>SUMIFS(INDEX(ArchetypeDemand!$I$106:$AH$150,,MATCH(Z$128,ArchetypeDemand!$I$4:$AH$4,0)),ArchetypeDemand!$F$106:$F$150,$F198)*'SHWLP-Det'!$R$18</f>
        <v>1.7233225148317692E-3</v>
      </c>
      <c r="AA198" s="1134">
        <f>SUMIFS(INDEX(ArchetypeDemand!$I$106:$AH$150,,MATCH(AA$128,ArchetypeDemand!$I$4:$AH$4,0)),ArchetypeDemand!$F$106:$F$150,$F198)*'SHWLP-Det'!$R$18</f>
        <v>6.0192010048503762E-3</v>
      </c>
      <c r="AB198" s="1134">
        <f>SUMIFS(INDEX(ArchetypeDemand!$I$106:$AH$150,,MATCH(AB$128,ArchetypeDemand!$I$4:$AH$4,0)),ArchetypeDemand!$F$106:$F$150,$F198)*'SHWLP-Det'!$R$18</f>
        <v>3.3854661744831442E-3</v>
      </c>
      <c r="AC198" s="1134">
        <f>SUMIFS(INDEX(ArchetypeDemand!$I$106:$AH$150,,MATCH(AC$128,ArchetypeDemand!$I$4:$AH$4,0)),ArchetypeDemand!$F$106:$F$150,$F198)*'SHWLP-Det'!$R$18</f>
        <v>2.9613524329327643E-3</v>
      </c>
      <c r="AD198" s="1134">
        <f>SUMIFS(INDEX(ArchetypeDemand!$I$106:$AH$150,,MATCH(AD$128,ArchetypeDemand!$I$4:$AH$4,0)),ArchetypeDemand!$F$106:$F$150,$F198)*'SHWLP-Det'!$R$18</f>
        <v>2.6810182849120417E-3</v>
      </c>
      <c r="AE198" s="1134">
        <f>SUMIFS(INDEX(ArchetypeDemand!$I$106:$AH$150,,MATCH(AE$128,ArchetypeDemand!$I$4:$AH$4,0)),ArchetypeDemand!$F$106:$F$150,$F198)*'SHWLP-Det'!$R$18</f>
        <v>6.2619288931248145E-3</v>
      </c>
      <c r="AF198" s="1134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38" t="s">
        <v>1245</v>
      </c>
      <c r="D199" s="1138" t="s">
        <v>1094</v>
      </c>
      <c r="E199" s="1138" t="s">
        <v>406</v>
      </c>
      <c r="F199" s="1138" t="s">
        <v>1229</v>
      </c>
      <c r="G199" s="1138">
        <f>SUMIFS(INDEX(ArchetypeDemand!$I$106:$AH$150,,MATCH(G$128,ArchetypeDemand!$I$4:$AH$4,0)),ArchetypeDemand!$F$106:$F$150,$F199)*'SHWLP-Det'!$R$18</f>
        <v>3.2127466441063575E-3</v>
      </c>
      <c r="H199" s="1138">
        <f>SUMIFS(INDEX(ArchetypeDemand!$I$106:$AH$150,,MATCH(H$128,ArchetypeDemand!$I$4:$AH$4,0)),ArchetypeDemand!$F$106:$F$150,$F199)*'SHWLP-Det'!$R$18</f>
        <v>1.0428828277518062E-2</v>
      </c>
      <c r="I199" s="1138">
        <f>SUMIFS(INDEX(ArchetypeDemand!$I$106:$AH$150,,MATCH(I$128,ArchetypeDemand!$I$4:$AH$4,0)),ArchetypeDemand!$F$106:$F$150,$F199)*'SHWLP-Det'!$R$18</f>
        <v>5.0893157024874628E-3</v>
      </c>
      <c r="J199" s="1138">
        <f>SUMIFS(INDEX(ArchetypeDemand!$I$106:$AH$150,,MATCH(J$128,ArchetypeDemand!$I$4:$AH$4,0)),ArchetypeDemand!$F$106:$F$150,$F199)*'SHWLP-Det'!$R$18</f>
        <v>6.2626614421586587E-3</v>
      </c>
      <c r="K199" s="1138">
        <f>SUMIFS(INDEX(ArchetypeDemand!$I$106:$AH$150,,MATCH(K$128,ArchetypeDemand!$I$4:$AH$4,0)),ArchetypeDemand!$F$106:$F$150,$F199)*'SHWLP-Det'!$R$18</f>
        <v>4.753527978360708E-3</v>
      </c>
      <c r="L199" s="1138">
        <f>SUMIFS(INDEX(ArchetypeDemand!$I$106:$AH$150,,MATCH(L$128,ArchetypeDemand!$I$4:$AH$4,0)),ArchetypeDemand!$F$106:$F$150,$F199)*'SHWLP-Det'!$R$18</f>
        <v>3.4591878474471175E-3</v>
      </c>
      <c r="M199" s="1138">
        <f>SUMIFS(INDEX(ArchetypeDemand!$I$106:$AH$150,,MATCH(M$128,ArchetypeDemand!$I$4:$AH$4,0)),ArchetypeDemand!$F$106:$F$150,$F199)*'SHWLP-Det'!$R$18</f>
        <v>3.9624349628756481E-3</v>
      </c>
      <c r="N199" s="1138">
        <f>SUMIFS(INDEX(ArchetypeDemand!$I$106:$AH$150,,MATCH(N$128,ArchetypeDemand!$I$4:$AH$4,0)),ArchetypeDemand!$F$106:$F$150,$F199)*'SHWLP-Det'!$R$18</f>
        <v>7.2045487375021512E-3</v>
      </c>
      <c r="O199" s="1138">
        <f>SUMIFS(INDEX(ArchetypeDemand!$I$106:$AH$150,,MATCH(O$128,ArchetypeDemand!$I$4:$AH$4,0)),ArchetypeDemand!$F$106:$F$150,$F199)*'SHWLP-Det'!$R$18</f>
        <v>5.092282860447923E-3</v>
      </c>
      <c r="P199" s="1138">
        <f>SUMIFS(INDEX(ArchetypeDemand!$I$106:$AH$150,,MATCH(P$128,ArchetypeDemand!$I$4:$AH$4,0)),ArchetypeDemand!$F$106:$F$150,$F199)*'SHWLP-Det'!$R$18</f>
        <v>5.9344718750382252E-3</v>
      </c>
      <c r="Q199" s="1138">
        <f>SUMIFS(INDEX(ArchetypeDemand!$I$106:$AH$150,,MATCH(Q$128,ArchetypeDemand!$I$4:$AH$4,0)),ArchetypeDemand!$F$106:$F$150,$F199)*'SHWLP-Det'!$R$18</f>
        <v>6.8873519312837635E-3</v>
      </c>
      <c r="R199" s="1138">
        <f>SUMIFS(INDEX(ArchetypeDemand!$I$106:$AH$150,,MATCH(R$128,ArchetypeDemand!$I$4:$AH$4,0)),ArchetypeDemand!$F$106:$F$150,$F199)*'SHWLP-Det'!$R$18</f>
        <v>5.7907248140507874E-3</v>
      </c>
      <c r="S199" s="1138">
        <f>SUMIFS(INDEX(ArchetypeDemand!$I$106:$AH$150,,MATCH(S$128,ArchetypeDemand!$I$4:$AH$4,0)),ArchetypeDemand!$F$106:$F$150,$F199)*'SHWLP-Det'!$R$18</f>
        <v>7.8503950357541128E-3</v>
      </c>
      <c r="T199" s="1138">
        <f>SUMIFS(INDEX(ArchetypeDemand!$I$106:$AH$150,,MATCH(T$128,ArchetypeDemand!$I$4:$AH$4,0)),ArchetypeDemand!$F$106:$F$150,$F199)*'SHWLP-Det'!$R$18</f>
        <v>2.1414841397706236E-2</v>
      </c>
      <c r="U199" s="1138">
        <f>SUMIFS(INDEX(ArchetypeDemand!$I$106:$AH$150,,MATCH(U$128,ArchetypeDemand!$I$4:$AH$4,0)),ArchetypeDemand!$F$106:$F$150,$F199)*'SHWLP-Det'!$R$18</f>
        <v>9.2122040084622898E-3</v>
      </c>
      <c r="V199" s="1138">
        <f>SUMIFS(INDEX(ArchetypeDemand!$I$106:$AH$150,,MATCH(V$128,ArchetypeDemand!$I$4:$AH$4,0)),ArchetypeDemand!$F$106:$F$150,$F199)*'SHWLP-Det'!$R$18</f>
        <v>9.6033685626156461E-3</v>
      </c>
      <c r="W199" s="1138">
        <f>SUMIFS(INDEX(ArchetypeDemand!$I$106:$AH$150,,MATCH(W$128,ArchetypeDemand!$I$4:$AH$4,0)),ArchetypeDemand!$F$106:$F$150,$F199)*'SHWLP-Det'!$R$18</f>
        <v>1.1604214399609075E-2</v>
      </c>
      <c r="X199" s="1138">
        <f>SUMIFS(INDEX(ArchetypeDemand!$I$106:$AH$150,,MATCH(X$128,ArchetypeDemand!$I$4:$AH$4,0)),ArchetypeDemand!$F$106:$F$150,$F199)*'SHWLP-Det'!$R$18</f>
        <v>3.2905487082580788E-3</v>
      </c>
      <c r="Y199" s="1138">
        <f>SUMIFS(INDEX(ArchetypeDemand!$I$106:$AH$150,,MATCH(Y$128,ArchetypeDemand!$I$4:$AH$4,0)),ArchetypeDemand!$F$106:$F$150,$F199)*'SHWLP-Det'!$R$18</f>
        <v>1.4432180665780689E-2</v>
      </c>
      <c r="Z199" s="1138">
        <f>SUMIFS(INDEX(ArchetypeDemand!$I$106:$AH$150,,MATCH(Z$128,ArchetypeDemand!$I$4:$AH$4,0)),ArchetypeDemand!$F$106:$F$150,$F199)*'SHWLP-Det'!$R$18</f>
        <v>3.8538435985689349E-3</v>
      </c>
      <c r="AA199" s="1138">
        <f>SUMIFS(INDEX(ArchetypeDemand!$I$106:$AH$150,,MATCH(AA$128,ArchetypeDemand!$I$4:$AH$4,0)),ArchetypeDemand!$F$106:$F$150,$F199)*'SHWLP-Det'!$R$18</f>
        <v>1.1528300229628686E-2</v>
      </c>
      <c r="AB199" s="1138">
        <f>SUMIFS(INDEX(ArchetypeDemand!$I$106:$AH$150,,MATCH(AB$128,ArchetypeDemand!$I$4:$AH$4,0)),ArchetypeDemand!$F$106:$F$150,$F199)*'SHWLP-Det'!$R$18</f>
        <v>7.5854806014735111E-3</v>
      </c>
      <c r="AC199" s="1138">
        <f>SUMIFS(INDEX(ArchetypeDemand!$I$106:$AH$150,,MATCH(AC$128,ArchetypeDemand!$I$4:$AH$4,0)),ArchetypeDemand!$F$106:$F$150,$F199)*'SHWLP-Det'!$R$18</f>
        <v>4.8862315143390614E-3</v>
      </c>
      <c r="AD199" s="1138">
        <f>SUMIFS(INDEX(ArchetypeDemand!$I$106:$AH$150,,MATCH(AD$128,ArchetypeDemand!$I$4:$AH$4,0)),ArchetypeDemand!$F$106:$F$150,$F199)*'SHWLP-Det'!$R$18</f>
        <v>5.3147244824432831E-3</v>
      </c>
      <c r="AE199" s="1138">
        <f>SUMIFS(INDEX(ArchetypeDemand!$I$106:$AH$150,,MATCH(AE$128,ArchetypeDemand!$I$4:$AH$4,0)),ArchetypeDemand!$F$106:$F$150,$F199)*'SHWLP-Det'!$R$18</f>
        <v>1.091560282462741E-2</v>
      </c>
      <c r="AF199" s="1138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1" t="s">
        <v>1246</v>
      </c>
      <c r="D200" s="1141" t="s">
        <v>1094</v>
      </c>
      <c r="E200" s="1141" t="s">
        <v>406</v>
      </c>
      <c r="F200" s="1141" t="s">
        <v>938</v>
      </c>
      <c r="G200" s="1141">
        <f>SUM(ArchetypeDemand!I106:I150)*'SHWLP-Det'!$R$44</f>
        <v>3.2597333058773111E-2</v>
      </c>
      <c r="H200" s="1141">
        <f>SUM(ArchetypeDemand!J106:J150)*'SHWLP-Det'!$R$44</f>
        <v>0.16923716738041328</v>
      </c>
      <c r="I200" s="1141">
        <f>SUM(ArchetypeDemand!K106:K150)*'SHWLP-Det'!$R$44</f>
        <v>9.1323470393679038E-2</v>
      </c>
      <c r="J200" s="1141">
        <f>SUM(ArchetypeDemand!L106:L150)*'SHWLP-Det'!$R$44</f>
        <v>6.2956735927788943E-2</v>
      </c>
      <c r="K200" s="1141">
        <f>SUM(ArchetypeDemand!M106:M150)*'SHWLP-Det'!$R$44</f>
        <v>4.9107267315324839E-2</v>
      </c>
      <c r="L200" s="1141">
        <f>SUM(ArchetypeDemand!N106:N150)*'SHWLP-Det'!$R$44</f>
        <v>2.9288190262527072E-2</v>
      </c>
      <c r="M200" s="1141">
        <f>SUM(ArchetypeDemand!O106:O150)*'SHWLP-Det'!$R$44</f>
        <v>5.6855432966948567E-2</v>
      </c>
      <c r="N200" s="1141">
        <f>SUM(ArchetypeDemand!P106:P150)*'SHWLP-Det'!$R$44</f>
        <v>0.10343658382180383</v>
      </c>
      <c r="O200" s="1141">
        <f>SUM(ArchetypeDemand!Q106:Q150)*'SHWLP-Det'!$R$44</f>
        <v>4.8114574908895126E-2</v>
      </c>
      <c r="P200" s="1141">
        <f>SUM(ArchetypeDemand!R106:R150)*'SHWLP-Det'!$R$44</f>
        <v>5.0696355511958835E-2</v>
      </c>
      <c r="Q200" s="1141">
        <f>SUM(ArchetypeDemand!S106:S150)*'SHWLP-Det'!$R$44</f>
        <v>0.10209312255801191</v>
      </c>
      <c r="R200" s="1141">
        <f>SUM(ArchetypeDemand!T106:T150)*'SHWLP-Det'!$R$44</f>
        <v>6.7893491488137572E-2</v>
      </c>
      <c r="S200" s="1141">
        <f>SUM(ArchetypeDemand!U106:U150)*'SHWLP-Det'!$R$44</f>
        <v>7.901918677333028E-2</v>
      </c>
      <c r="T200" s="1141">
        <f>SUM(ArchetypeDemand!V106:V150)*'SHWLP-Det'!$R$44</f>
        <v>0.2673197571870764</v>
      </c>
      <c r="U200" s="1141">
        <f>SUM(ArchetypeDemand!W106:W150)*'SHWLP-Det'!$R$44</f>
        <v>0.10962179474471791</v>
      </c>
      <c r="V200" s="1141">
        <f>SUM(ArchetypeDemand!X106:X150)*'SHWLP-Det'!$R$44</f>
        <v>9.8695490251158841E-2</v>
      </c>
      <c r="W200" s="1141">
        <f>SUM(ArchetypeDemand!Y106:Y150)*'SHWLP-Det'!$R$44</f>
        <v>0.1053680795481195</v>
      </c>
      <c r="X200" s="1141">
        <f>SUM(ArchetypeDemand!Z106:Z150)*'SHWLP-Det'!$R$44</f>
        <v>5.7687045933506056E-2</v>
      </c>
      <c r="Y200" s="1141">
        <f>SUM(ArchetypeDemand!AA106:AA150)*'SHWLP-Det'!$R$44</f>
        <v>0.16686675946836288</v>
      </c>
      <c r="Z200" s="1141">
        <f>SUM(ArchetypeDemand!AB106:AB150)*'SHWLP-Det'!$R$44</f>
        <v>2.7426590564820452E-2</v>
      </c>
      <c r="AA200" s="1141">
        <f>SUM(ArchetypeDemand!AC106:AC150)*'SHWLP-Det'!$R$44</f>
        <v>0.10456729137528355</v>
      </c>
      <c r="AB200" s="1141">
        <f>SUM(ArchetypeDemand!AD106:AD150)*'SHWLP-Det'!$R$44</f>
        <v>5.4487555207293557E-2</v>
      </c>
      <c r="AC200" s="1141">
        <f>SUM(ArchetypeDemand!AE106:AE150)*'SHWLP-Det'!$R$44</f>
        <v>4.3678702854422428E-2</v>
      </c>
      <c r="AD200" s="1141">
        <f>SUM(ArchetypeDemand!AF106:AF150)*'SHWLP-Det'!$R$44</f>
        <v>5.4604726807954501E-2</v>
      </c>
      <c r="AE200" s="1141">
        <f>SUM(ArchetypeDemand!AG106:AG150)*'SHWLP-Det'!$R$44</f>
        <v>0.12276645771250043</v>
      </c>
      <c r="AF200" s="1141">
        <f>SUM(ArchetypeDemand!AH106:AH150)*'SHWLP-Det'!$R$44</f>
        <v>4.2656797978913183E-2</v>
      </c>
    </row>
    <row r="201" spans="3:32" ht="15">
      <c r="C201" s="1137" t="s">
        <v>1219</v>
      </c>
      <c r="D201" s="1137"/>
      <c r="E201" s="1137"/>
      <c r="F201" s="1137"/>
      <c r="G201" s="1137"/>
      <c r="H201" s="1137"/>
      <c r="I201" s="1137"/>
      <c r="J201" s="1137"/>
      <c r="K201" s="1137"/>
      <c r="L201" s="1137"/>
      <c r="M201" s="1137"/>
      <c r="N201" s="1137"/>
      <c r="O201" s="1137"/>
      <c r="P201" s="1137"/>
      <c r="Q201" s="1137"/>
      <c r="R201" s="1137"/>
      <c r="S201" s="1137"/>
      <c r="T201" s="1137"/>
      <c r="U201" s="1137"/>
      <c r="V201" s="1137"/>
      <c r="W201" s="1137"/>
      <c r="X201" s="1137"/>
      <c r="Y201" s="1137"/>
      <c r="Z201" s="1137"/>
      <c r="AA201" s="1137"/>
      <c r="AB201" s="1137"/>
      <c r="AC201" s="1137"/>
      <c r="AD201" s="1137"/>
      <c r="AE201" s="1137"/>
      <c r="AF201" s="1137"/>
    </row>
    <row r="202" spans="3:32">
      <c r="C202" s="1145" t="s">
        <v>1247</v>
      </c>
      <c r="D202" s="1134" t="s">
        <v>1094</v>
      </c>
      <c r="E202" s="1145" t="s">
        <v>1154</v>
      </c>
      <c r="F202" s="1134" t="s">
        <v>1224</v>
      </c>
      <c r="G202" s="1134">
        <f>SUMIFS(INDEX(ArchetypeDemand!$I$106:$AH$150,,MATCH(G$128,ArchetypeDemand!$I$4:$AH$4,0)),ArchetypeDemand!$F$106:$F$150,$F202)*'SHWLP-Det'!$R$20</f>
        <v>6.8609572694535589E-2</v>
      </c>
      <c r="H202" s="1134">
        <f>SUMIFS(INDEX(ArchetypeDemand!$I$106:$AH$150,,MATCH(H$128,ArchetypeDemand!$I$4:$AH$4,0)),ArchetypeDemand!$F$106:$F$150,$F202)*'SHWLP-Det'!$R$20</f>
        <v>0.536147616225777</v>
      </c>
      <c r="I202" s="1134">
        <f>SUMIFS(INDEX(ArchetypeDemand!$I$106:$AH$150,,MATCH(I$128,ArchetypeDemand!$I$4:$AH$4,0)),ArchetypeDemand!$F$106:$F$150,$F202)*'SHWLP-Det'!$R$20</f>
        <v>0.29137997082867911</v>
      </c>
      <c r="J202" s="1134">
        <f>SUMIFS(INDEX(ArchetypeDemand!$I$106:$AH$150,,MATCH(J$128,ArchetypeDemand!$I$4:$AH$4,0)),ArchetypeDemand!$F$106:$F$150,$F202)*'SHWLP-Det'!$R$20</f>
        <v>0.13169765770074479</v>
      </c>
      <c r="K202" s="1134">
        <f>SUMIFS(INDEX(ArchetypeDemand!$I$106:$AH$150,,MATCH(K$128,ArchetypeDemand!$I$4:$AH$4,0)),ArchetypeDemand!$F$106:$F$150,$F202)*'SHWLP-Det'!$R$20</f>
        <v>0.10030728509483071</v>
      </c>
      <c r="L202" s="1134">
        <f>SUMIFS(INDEX(ArchetypeDemand!$I$106:$AH$150,,MATCH(L$128,ArchetypeDemand!$I$4:$AH$4,0)),ArchetypeDemand!$F$106:$F$150,$F202)*'SHWLP-Det'!$R$20</f>
        <v>5.3510950047469169E-2</v>
      </c>
      <c r="M202" s="1134">
        <f>SUMIFS(INDEX(ArchetypeDemand!$I$106:$AH$150,,MATCH(M$128,ArchetypeDemand!$I$4:$AH$4,0)),ArchetypeDemand!$F$106:$F$150,$F202)*'SHWLP-Det'!$R$20</f>
        <v>0.16749016141952944</v>
      </c>
      <c r="N202" s="1134">
        <f>SUMIFS(INDEX(ArchetypeDemand!$I$106:$AH$150,,MATCH(N$128,ArchetypeDemand!$I$4:$AH$4,0)),ArchetypeDemand!$F$106:$F$150,$F202)*'SHWLP-Det'!$R$20</f>
        <v>0.31031144910160308</v>
      </c>
      <c r="O202" s="1134">
        <f>SUMIFS(INDEX(ArchetypeDemand!$I$106:$AH$150,,MATCH(O$128,ArchetypeDemand!$I$4:$AH$4,0)),ArchetypeDemand!$F$106:$F$150,$F202)*'SHWLP-Det'!$R$20</f>
        <v>8.1643273728488605E-2</v>
      </c>
      <c r="P202" s="1134">
        <f>SUMIFS(INDEX(ArchetypeDemand!$I$106:$AH$150,,MATCH(P$128,ArchetypeDemand!$I$4:$AH$4,0)),ArchetypeDemand!$F$106:$F$150,$F202)*'SHWLP-Det'!$R$20</f>
        <v>9.5952415512239875E-2</v>
      </c>
      <c r="Q202" s="1134">
        <f>SUMIFS(INDEX(ArchetypeDemand!$I$106:$AH$150,,MATCH(Q$128,ArchetypeDemand!$I$4:$AH$4,0)),ArchetypeDemand!$F$106:$F$150,$F202)*'SHWLP-Det'!$R$20</f>
        <v>0.21227552925990698</v>
      </c>
      <c r="R202" s="1134">
        <f>SUMIFS(INDEX(ArchetypeDemand!$I$106:$AH$150,,MATCH(R$128,ArchetypeDemand!$I$4:$AH$4,0)),ArchetypeDemand!$F$106:$F$150,$F202)*'SHWLP-Det'!$R$20</f>
        <v>0.17875307294422452</v>
      </c>
      <c r="S202" s="1134">
        <f>SUMIFS(INDEX(ArchetypeDemand!$I$106:$AH$150,,MATCH(S$128,ArchetypeDemand!$I$4:$AH$4,0)),ArchetypeDemand!$F$106:$F$150,$F202)*'SHWLP-Det'!$R$20</f>
        <v>0.14676379841977971</v>
      </c>
      <c r="T202" s="1134">
        <f>SUMIFS(INDEX(ArchetypeDemand!$I$106:$AH$150,,MATCH(T$128,ArchetypeDemand!$I$4:$AH$4,0)),ArchetypeDemand!$F$106:$F$150,$F202)*'SHWLP-Det'!$R$20</f>
        <v>0.82377274625043662</v>
      </c>
      <c r="U202" s="1134">
        <f>SUMIFS(INDEX(ArchetypeDemand!$I$106:$AH$150,,MATCH(U$128,ArchetypeDemand!$I$4:$AH$4,0)),ArchetypeDemand!$F$106:$F$150,$F202)*'SHWLP-Det'!$R$20</f>
        <v>0.26782178525647327</v>
      </c>
      <c r="V202" s="1134">
        <f>SUMIFS(INDEX(ArchetypeDemand!$I$106:$AH$150,,MATCH(V$128,ArchetypeDemand!$I$4:$AH$4,0)),ArchetypeDemand!$F$106:$F$150,$F202)*'SHWLP-Det'!$R$20</f>
        <v>0.18423392428430224</v>
      </c>
      <c r="W202" s="1134">
        <f>SUMIFS(INDEX(ArchetypeDemand!$I$106:$AH$150,,MATCH(W$128,ArchetypeDemand!$I$4:$AH$4,0)),ArchetypeDemand!$F$106:$F$150,$F202)*'SHWLP-Det'!$R$20</f>
        <v>0.18336863875068907</v>
      </c>
      <c r="X202" s="1134">
        <f>SUMIFS(INDEX(ArchetypeDemand!$I$106:$AH$150,,MATCH(X$128,ArchetypeDemand!$I$4:$AH$4,0)),ArchetypeDemand!$F$106:$F$150,$F202)*'SHWLP-Det'!$R$20</f>
        <v>0.14458761696596178</v>
      </c>
      <c r="Y202" s="1134">
        <f>SUMIFS(INDEX(ArchetypeDemand!$I$106:$AH$150,,MATCH(Y$128,ArchetypeDemand!$I$4:$AH$4,0)),ArchetypeDemand!$F$106:$F$150,$F202)*'SHWLP-Det'!$R$20</f>
        <v>0.40142966552961179</v>
      </c>
      <c r="Z202" s="1134">
        <f>SUMIFS(INDEX(ArchetypeDemand!$I$106:$AH$150,,MATCH(Z$128,ArchetypeDemand!$I$4:$AH$4,0)),ArchetypeDemand!$F$106:$F$150,$F202)*'SHWLP-Det'!$R$20</f>
        <v>4.0051896944210137E-2</v>
      </c>
      <c r="AA202" s="1134">
        <f>SUMIFS(INDEX(ArchetypeDemand!$I$106:$AH$150,,MATCH(AA$128,ArchetypeDemand!$I$4:$AH$4,0)),ArchetypeDemand!$F$106:$F$150,$F202)*'SHWLP-Det'!$R$20</f>
        <v>0.18132891650889912</v>
      </c>
      <c r="AB202" s="1134">
        <f>SUMIFS(INDEX(ArchetypeDemand!$I$106:$AH$150,,MATCH(AB$128,ArchetypeDemand!$I$4:$AH$4,0)),ArchetypeDemand!$F$106:$F$150,$F202)*'SHWLP-Det'!$R$20</f>
        <v>8.2811427959877448E-2</v>
      </c>
      <c r="AC202" s="1134">
        <f>SUMIFS(INDEX(ArchetypeDemand!$I$106:$AH$150,,MATCH(AC$128,ArchetypeDemand!$I$4:$AH$4,0)),ArchetypeDemand!$F$106:$F$150,$F202)*'SHWLP-Det'!$R$20</f>
        <v>9.0495034398822838E-2</v>
      </c>
      <c r="AD202" s="1134">
        <f>SUMIFS(INDEX(ArchetypeDemand!$I$106:$AH$150,,MATCH(AD$128,ArchetypeDemand!$I$4:$AH$4,0)),ArchetypeDemand!$F$106:$F$150,$F202)*'SHWLP-Det'!$R$20</f>
        <v>0.11990053691181235</v>
      </c>
      <c r="AE202" s="1134">
        <f>SUMIFS(INDEX(ArchetypeDemand!$I$106:$AH$150,,MATCH(AE$128,ArchetypeDemand!$I$4:$AH$4,0)),ArchetypeDemand!$F$106:$F$150,$F202)*'SHWLP-Det'!$R$20</f>
        <v>0.22518795615160653</v>
      </c>
      <c r="AF202" s="1134">
        <f>SUMIFS(INDEX(ArchetypeDemand!$I$106:$AH$150,,MATCH(AF$128,ArchetypeDemand!$I$4:$AH$4,0)),ArchetypeDemand!$F$106:$F$150,$F202)*'SHWLP-Det'!$R$20</f>
        <v>9.8821534910174494E-2</v>
      </c>
    </row>
    <row r="203" spans="3:32">
      <c r="C203" s="1136" t="s">
        <v>1247</v>
      </c>
      <c r="D203" s="1136" t="s">
        <v>1094</v>
      </c>
      <c r="E203" s="1145" t="s">
        <v>1154</v>
      </c>
      <c r="F203" s="1136" t="s">
        <v>1225</v>
      </c>
      <c r="G203" s="1136">
        <f>SUMIFS(INDEX(ArchetypeDemand!$I$106:$AH$150,,MATCH(G$128,ArchetypeDemand!$I$4:$AH$4,0)),ArchetypeDemand!$F$106:$F$150,$F203)*'SHWLP-Det'!$R$20</f>
        <v>0.16869388678395034</v>
      </c>
      <c r="H203" s="1136">
        <f>SUMIFS(INDEX(ArchetypeDemand!$I$106:$AH$150,,MATCH(H$128,ArchetypeDemand!$I$4:$AH$4,0)),ArchetypeDemand!$F$106:$F$150,$F203)*'SHWLP-Det'!$R$20</f>
        <v>0.78527833041745165</v>
      </c>
      <c r="I203" s="1136">
        <f>SUMIFS(INDEX(ArchetypeDemand!$I$106:$AH$150,,MATCH(I$128,ArchetypeDemand!$I$4:$AH$4,0)),ArchetypeDemand!$F$106:$F$150,$F203)*'SHWLP-Det'!$R$20</f>
        <v>0.53508860078361364</v>
      </c>
      <c r="J203" s="1136">
        <f>SUMIFS(INDEX(ArchetypeDemand!$I$106:$AH$150,,MATCH(J$128,ArchetypeDemand!$I$4:$AH$4,0)),ArchetypeDemand!$F$106:$F$150,$F203)*'SHWLP-Det'!$R$20</f>
        <v>0.32083959010746471</v>
      </c>
      <c r="K203" s="1136">
        <f>SUMIFS(INDEX(ArchetypeDemand!$I$106:$AH$150,,MATCH(K$128,ArchetypeDemand!$I$4:$AH$4,0)),ArchetypeDemand!$F$106:$F$150,$F203)*'SHWLP-Det'!$R$20</f>
        <v>0.27303697445272357</v>
      </c>
      <c r="L203" s="1136">
        <f>SUMIFS(INDEX(ArchetypeDemand!$I$106:$AH$150,,MATCH(L$128,ArchetypeDemand!$I$4:$AH$4,0)),ArchetypeDemand!$F$106:$F$150,$F203)*'SHWLP-Det'!$R$20</f>
        <v>0.1465398107330155</v>
      </c>
      <c r="M203" s="1136">
        <f>SUMIFS(INDEX(ArchetypeDemand!$I$106:$AH$150,,MATCH(M$128,ArchetypeDemand!$I$4:$AH$4,0)),ArchetypeDemand!$F$106:$F$150,$F203)*'SHWLP-Det'!$R$20</f>
        <v>0.31883652792699307</v>
      </c>
      <c r="N203" s="1136">
        <f>SUMIFS(INDEX(ArchetypeDemand!$I$106:$AH$150,,MATCH(N$128,ArchetypeDemand!$I$4:$AH$4,0)),ArchetypeDemand!$F$106:$F$150,$F203)*'SHWLP-Det'!$R$20</f>
        <v>0.58271017883943665</v>
      </c>
      <c r="O203" s="1136">
        <f>SUMIFS(INDEX(ArchetypeDemand!$I$106:$AH$150,,MATCH(O$128,ArchetypeDemand!$I$4:$AH$4,0)),ArchetypeDemand!$F$106:$F$150,$F203)*'SHWLP-Det'!$R$20</f>
        <v>0.24718258755323066</v>
      </c>
      <c r="P203" s="1136">
        <f>SUMIFS(INDEX(ArchetypeDemand!$I$106:$AH$150,,MATCH(P$128,ArchetypeDemand!$I$4:$AH$4,0)),ArchetypeDemand!$F$106:$F$150,$F203)*'SHWLP-Det'!$R$20</f>
        <v>0.26057147738449588</v>
      </c>
      <c r="Q203" s="1136">
        <f>SUMIFS(INDEX(ArchetypeDemand!$I$106:$AH$150,,MATCH(Q$128,ArchetypeDemand!$I$4:$AH$4,0)),ArchetypeDemand!$F$106:$F$150,$F203)*'SHWLP-Det'!$R$20</f>
        <v>0.59169631032314929</v>
      </c>
      <c r="R203" s="1136">
        <f>SUMIFS(INDEX(ArchetypeDemand!$I$106:$AH$150,,MATCH(R$128,ArchetypeDemand!$I$4:$AH$4,0)),ArchetypeDemand!$F$106:$F$150,$F203)*'SHWLP-Det'!$R$20</f>
        <v>0.33312559997086594</v>
      </c>
      <c r="S203" s="1136">
        <f>SUMIFS(INDEX(ArchetypeDemand!$I$106:$AH$150,,MATCH(S$128,ArchetypeDemand!$I$4:$AH$4,0)),ArchetypeDemand!$F$106:$F$150,$F203)*'SHWLP-Det'!$R$20</f>
        <v>0.43813916598624536</v>
      </c>
      <c r="T203" s="1136">
        <f>SUMIFS(INDEX(ArchetypeDemand!$I$106:$AH$150,,MATCH(T$128,ArchetypeDemand!$I$4:$AH$4,0)),ArchetypeDemand!$F$106:$F$150,$F203)*'SHWLP-Det'!$R$20</f>
        <v>1.4399849073075226</v>
      </c>
      <c r="U203" s="1136">
        <f>SUMIFS(INDEX(ArchetypeDemand!$I$106:$AH$150,,MATCH(U$128,ArchetypeDemand!$I$4:$AH$4,0)),ArchetypeDemand!$F$106:$F$150,$F203)*'SHWLP-Det'!$R$20</f>
        <v>0.56271884439300868</v>
      </c>
      <c r="V203" s="1136">
        <f>SUMIFS(INDEX(ArchetypeDemand!$I$106:$AH$150,,MATCH(V$128,ArchetypeDemand!$I$4:$AH$4,0)),ArchetypeDemand!$F$106:$F$150,$F203)*'SHWLP-Det'!$R$20</f>
        <v>0.50183882648602596</v>
      </c>
      <c r="W203" s="1136">
        <f>SUMIFS(INDEX(ArchetypeDemand!$I$106:$AH$150,,MATCH(W$128,ArchetypeDemand!$I$4:$AH$4,0)),ArchetypeDemand!$F$106:$F$150,$F203)*'SHWLP-Det'!$R$20</f>
        <v>0.51319268893604131</v>
      </c>
      <c r="X203" s="1136">
        <f>SUMIFS(INDEX(ArchetypeDemand!$I$106:$AH$150,,MATCH(X$128,ArchetypeDemand!$I$4:$AH$4,0)),ArchetypeDemand!$F$106:$F$150,$F203)*'SHWLP-Det'!$R$20</f>
        <v>0.328490971112332</v>
      </c>
      <c r="Y203" s="1136">
        <f>SUMIFS(INDEX(ArchetypeDemand!$I$106:$AH$150,,MATCH(Y$128,ArchetypeDemand!$I$4:$AH$4,0)),ArchetypeDemand!$F$106:$F$150,$F203)*'SHWLP-Det'!$R$20</f>
        <v>0.90518822586798975</v>
      </c>
      <c r="Z203" s="1136">
        <f>SUMIFS(INDEX(ArchetypeDemand!$I$106:$AH$150,,MATCH(Z$128,ArchetypeDemand!$I$4:$AH$4,0)),ArchetypeDemand!$F$106:$F$150,$F203)*'SHWLP-Det'!$R$20</f>
        <v>0.14429656022366122</v>
      </c>
      <c r="AA203" s="1136">
        <f>SUMIFS(INDEX(ArchetypeDemand!$I$106:$AH$150,,MATCH(AA$128,ArchetypeDemand!$I$4:$AH$4,0)),ArchetypeDemand!$F$106:$F$150,$F203)*'SHWLP-Det'!$R$20</f>
        <v>0.52120294449207771</v>
      </c>
      <c r="AB203" s="1136">
        <f>SUMIFS(INDEX(ArchetypeDemand!$I$106:$AH$150,,MATCH(AB$128,ArchetypeDemand!$I$4:$AH$4,0)),ArchetypeDemand!$F$106:$F$150,$F203)*'SHWLP-Det'!$R$20</f>
        <v>0.28092747522049083</v>
      </c>
      <c r="AC203" s="1136">
        <f>SUMIFS(INDEX(ArchetypeDemand!$I$106:$AH$150,,MATCH(AC$128,ArchetypeDemand!$I$4:$AH$4,0)),ArchetypeDemand!$F$106:$F$150,$F203)*'SHWLP-Det'!$R$20</f>
        <v>0.2056876984418563</v>
      </c>
      <c r="AD203" s="1136">
        <f>SUMIFS(INDEX(ArchetypeDemand!$I$106:$AH$150,,MATCH(AD$128,ArchetypeDemand!$I$4:$AH$4,0)),ArchetypeDemand!$F$106:$F$150,$F203)*'SHWLP-Det'!$R$20</f>
        <v>0.30986594463971151</v>
      </c>
      <c r="AE203" s="1136">
        <f>SUMIFS(INDEX(ArchetypeDemand!$I$106:$AH$150,,MATCH(AE$128,ArchetypeDemand!$I$4:$AH$4,0)),ArchetypeDemand!$F$106:$F$150,$F203)*'SHWLP-Det'!$R$20</f>
        <v>0.67903913456395426</v>
      </c>
      <c r="AF203" s="1136">
        <f>SUMIFS(INDEX(ArchetypeDemand!$I$106:$AH$150,,MATCH(AF$128,ArchetypeDemand!$I$4:$AH$4,0)),ArchetypeDemand!$F$106:$F$150,$F203)*'SHWLP-Det'!$R$20</f>
        <v>0.20959597807187161</v>
      </c>
    </row>
    <row r="204" spans="3:32">
      <c r="C204" s="1134" t="s">
        <v>1247</v>
      </c>
      <c r="D204" s="1134" t="s">
        <v>1094</v>
      </c>
      <c r="E204" s="1145" t="s">
        <v>1154</v>
      </c>
      <c r="F204" s="1134" t="s">
        <v>1226</v>
      </c>
      <c r="G204" s="1134">
        <f>SUMIFS(INDEX(ArchetypeDemand!$I$106:$AH$150,,MATCH(G$128,ArchetypeDemand!$I$4:$AH$4,0)),ArchetypeDemand!$F$106:$F$150,$F204)*'SHWLP-Det'!$R$20</f>
        <v>0.11445503867100043</v>
      </c>
      <c r="H204" s="1134">
        <f>SUMIFS(INDEX(ArchetypeDemand!$I$106:$AH$150,,MATCH(H$128,ArchetypeDemand!$I$4:$AH$4,0)),ArchetypeDemand!$F$106:$F$150,$F204)*'SHWLP-Det'!$R$20</f>
        <v>0.55670624495665766</v>
      </c>
      <c r="I204" s="1134">
        <f>SUMIFS(INDEX(ArchetypeDemand!$I$106:$AH$150,,MATCH(I$128,ArchetypeDemand!$I$4:$AH$4,0)),ArchetypeDemand!$F$106:$F$150,$F204)*'SHWLP-Det'!$R$20</f>
        <v>0.27655859622711026</v>
      </c>
      <c r="J204" s="1134">
        <f>SUMIFS(INDEX(ArchetypeDemand!$I$106:$AH$150,,MATCH(J$128,ArchetypeDemand!$I$4:$AH$4,0)),ArchetypeDemand!$F$106:$F$150,$F204)*'SHWLP-Det'!$R$20</f>
        <v>0.22342547242469304</v>
      </c>
      <c r="K204" s="1134">
        <f>SUMIFS(INDEX(ArchetypeDemand!$I$106:$AH$150,,MATCH(K$128,ArchetypeDemand!$I$4:$AH$4,0)),ArchetypeDemand!$F$106:$F$150,$F204)*'SHWLP-Det'!$R$20</f>
        <v>0.16156654780295651</v>
      </c>
      <c r="L204" s="1134">
        <f>SUMIFS(INDEX(ArchetypeDemand!$I$106:$AH$150,,MATCH(L$128,ArchetypeDemand!$I$4:$AH$4,0)),ArchetypeDemand!$F$106:$F$150,$F204)*'SHWLP-Det'!$R$20</f>
        <v>9.3869750964759135E-2</v>
      </c>
      <c r="M204" s="1134">
        <f>SUMIFS(INDEX(ArchetypeDemand!$I$106:$AH$150,,MATCH(M$128,ArchetypeDemand!$I$4:$AH$4,0)),ArchetypeDemand!$F$106:$F$150,$F204)*'SHWLP-Det'!$R$20</f>
        <v>0.17142369441404226</v>
      </c>
      <c r="N204" s="1134">
        <f>SUMIFS(INDEX(ArchetypeDemand!$I$106:$AH$150,,MATCH(N$128,ArchetypeDemand!$I$4:$AH$4,0)),ArchetypeDemand!$F$106:$F$150,$F204)*'SHWLP-Det'!$R$20</f>
        <v>0.31655477169676927</v>
      </c>
      <c r="O204" s="1134">
        <f>SUMIFS(INDEX(ArchetypeDemand!$I$106:$AH$150,,MATCH(O$128,ArchetypeDemand!$I$4:$AH$4,0)),ArchetypeDemand!$F$106:$F$150,$F204)*'SHWLP-Det'!$R$20</f>
        <v>0.1719279356049403</v>
      </c>
      <c r="P204" s="1134">
        <f>SUMIFS(INDEX(ArchetypeDemand!$I$106:$AH$150,,MATCH(P$128,ArchetypeDemand!$I$4:$AH$4,0)),ArchetypeDemand!$F$106:$F$150,$F204)*'SHWLP-Det'!$R$20</f>
        <v>0.1692718153754923</v>
      </c>
      <c r="Q204" s="1134">
        <f>SUMIFS(INDEX(ArchetypeDemand!$I$106:$AH$150,,MATCH(Q$128,ArchetypeDemand!$I$4:$AH$4,0)),ArchetypeDemand!$F$106:$F$150,$F204)*'SHWLP-Det'!$R$20</f>
        <v>0.36807111420171007</v>
      </c>
      <c r="R204" s="1134">
        <f>SUMIFS(INDEX(ArchetypeDemand!$I$106:$AH$150,,MATCH(R$128,ArchetypeDemand!$I$4:$AH$4,0)),ArchetypeDemand!$F$106:$F$150,$F204)*'SHWLP-Det'!$R$20</f>
        <v>0.23058124948000647</v>
      </c>
      <c r="S204" s="1134">
        <f>SUMIFS(INDEX(ArchetypeDemand!$I$106:$AH$150,,MATCH(S$128,ArchetypeDemand!$I$4:$AH$4,0)),ArchetypeDemand!$F$106:$F$150,$F204)*'SHWLP-Det'!$R$20</f>
        <v>0.26162734182470809</v>
      </c>
      <c r="T204" s="1134">
        <f>SUMIFS(INDEX(ArchetypeDemand!$I$106:$AH$150,,MATCH(T$128,ArchetypeDemand!$I$4:$AH$4,0)),ArchetypeDemand!$F$106:$F$150,$F204)*'SHWLP-Det'!$R$20</f>
        <v>0.79926205889768387</v>
      </c>
      <c r="U204" s="1134">
        <f>SUMIFS(INDEX(ArchetypeDemand!$I$106:$AH$150,,MATCH(U$128,ArchetypeDemand!$I$4:$AH$4,0)),ArchetypeDemand!$F$106:$F$150,$F204)*'SHWLP-Det'!$R$20</f>
        <v>0.37577310714285306</v>
      </c>
      <c r="V204" s="1134">
        <f>SUMIFS(INDEX(ArchetypeDemand!$I$106:$AH$150,,MATCH(V$128,ArchetypeDemand!$I$4:$AH$4,0)),ArchetypeDemand!$F$106:$F$150,$F204)*'SHWLP-Det'!$R$20</f>
        <v>0.37284588707661076</v>
      </c>
      <c r="W204" s="1134">
        <f>SUMIFS(INDEX(ArchetypeDemand!$I$106:$AH$150,,MATCH(W$128,ArchetypeDemand!$I$4:$AH$4,0)),ArchetypeDemand!$F$106:$F$150,$F204)*'SHWLP-Det'!$R$20</f>
        <v>0.37489953380817415</v>
      </c>
      <c r="X204" s="1134">
        <f>SUMIFS(INDEX(ArchetypeDemand!$I$106:$AH$150,,MATCH(X$128,ArchetypeDemand!$I$4:$AH$4,0)),ArchetypeDemand!$F$106:$F$150,$F204)*'SHWLP-Det'!$R$20</f>
        <v>0.20936139092437678</v>
      </c>
      <c r="Y204" s="1134">
        <f>SUMIFS(INDEX(ArchetypeDemand!$I$106:$AH$150,,MATCH(Y$128,ArchetypeDemand!$I$4:$AH$4,0)),ArchetypeDemand!$F$106:$F$150,$F204)*'SHWLP-Det'!$R$20</f>
        <v>0.54268633062704486</v>
      </c>
      <c r="Z204" s="1134">
        <f>SUMIFS(INDEX(ArchetypeDemand!$I$106:$AH$150,,MATCH(Z$128,ArchetypeDemand!$I$4:$AH$4,0)),ArchetypeDemand!$F$106:$F$150,$F204)*'SHWLP-Det'!$R$20</f>
        <v>8.2627612052028038E-2</v>
      </c>
      <c r="AA204" s="1134">
        <f>SUMIFS(INDEX(ArchetypeDemand!$I$106:$AH$150,,MATCH(AA$128,ArchetypeDemand!$I$4:$AH$4,0)),ArchetypeDemand!$F$106:$F$150,$F204)*'SHWLP-Det'!$R$20</f>
        <v>0.37600984975286222</v>
      </c>
      <c r="AB204" s="1134">
        <f>SUMIFS(INDEX(ArchetypeDemand!$I$106:$AH$150,,MATCH(AB$128,ArchetypeDemand!$I$4:$AH$4,0)),ArchetypeDemand!$F$106:$F$150,$F204)*'SHWLP-Det'!$R$20</f>
        <v>0.17465135651811739</v>
      </c>
      <c r="AC204" s="1134">
        <f>SUMIFS(INDEX(ArchetypeDemand!$I$106:$AH$150,,MATCH(AC$128,ArchetypeDemand!$I$4:$AH$4,0)),ArchetypeDemand!$F$106:$F$150,$F204)*'SHWLP-Det'!$R$20</f>
        <v>0.14770940494166471</v>
      </c>
      <c r="AD204" s="1134">
        <f>SUMIFS(INDEX(ArchetypeDemand!$I$106:$AH$150,,MATCH(AD$128,ArchetypeDemand!$I$4:$AH$4,0)),ArchetypeDemand!$F$106:$F$150,$F204)*'SHWLP-Det'!$R$20</f>
        <v>0.16421467112242774</v>
      </c>
      <c r="AE204" s="1134">
        <f>SUMIFS(INDEX(ArchetypeDemand!$I$106:$AH$150,,MATCH(AE$128,ArchetypeDemand!$I$4:$AH$4,0)),ArchetypeDemand!$F$106:$F$150,$F204)*'SHWLP-Det'!$R$20</f>
        <v>0.42536767079624127</v>
      </c>
      <c r="AF204" s="1134">
        <f>SUMIFS(INDEX(ArchetypeDemand!$I$106:$AH$150,,MATCH(AF$128,ArchetypeDemand!$I$4:$AH$4,0)),ArchetypeDemand!$F$106:$F$150,$F204)*'SHWLP-Det'!$R$20</f>
        <v>0.15690237073332078</v>
      </c>
    </row>
    <row r="205" spans="3:32">
      <c r="C205" s="1136" t="s">
        <v>1247</v>
      </c>
      <c r="D205" s="1136" t="s">
        <v>1094</v>
      </c>
      <c r="E205" s="1145" t="s">
        <v>1154</v>
      </c>
      <c r="F205" s="1136" t="s">
        <v>1227</v>
      </c>
      <c r="G205" s="1136">
        <f>SUMIFS(INDEX(ArchetypeDemand!$I$106:$AH$150,,MATCH(G$128,ArchetypeDemand!$I$4:$AH$4,0)),ArchetypeDemand!$F$106:$F$150,$F205)*'SHWLP-Det'!$R$20</f>
        <v>4.8040122614327066E-2</v>
      </c>
      <c r="H205" s="1136">
        <f>SUMIFS(INDEX(ArchetypeDemand!$I$106:$AH$150,,MATCH(H$128,ArchetypeDemand!$I$4:$AH$4,0)),ArchetypeDemand!$F$106:$F$150,$F205)*'SHWLP-Det'!$R$20</f>
        <v>0.28628141331427426</v>
      </c>
      <c r="I205" s="1136">
        <f>SUMIFS(INDEX(ArchetypeDemand!$I$106:$AH$150,,MATCH(I$128,ArchetypeDemand!$I$4:$AH$4,0)),ArchetypeDemand!$F$106:$F$150,$F205)*'SHWLP-Det'!$R$20</f>
        <v>0.10468602230065757</v>
      </c>
      <c r="J205" s="1136">
        <f>SUMIFS(INDEX(ArchetypeDemand!$I$106:$AH$150,,MATCH(J$128,ArchetypeDemand!$I$4:$AH$4,0)),ArchetypeDemand!$F$106:$F$150,$F205)*'SHWLP-Det'!$R$20</f>
        <v>9.8331676091086673E-2</v>
      </c>
      <c r="K205" s="1136">
        <f>SUMIFS(INDEX(ArchetypeDemand!$I$106:$AH$150,,MATCH(K$128,ArchetypeDemand!$I$4:$AH$4,0)),ArchetypeDemand!$F$106:$F$150,$F205)*'SHWLP-Det'!$R$20</f>
        <v>6.7144539346683227E-2</v>
      </c>
      <c r="L205" s="1136">
        <f>SUMIFS(INDEX(ArchetypeDemand!$I$106:$AH$150,,MATCH(L$128,ArchetypeDemand!$I$4:$AH$4,0)),ArchetypeDemand!$F$106:$F$150,$F205)*'SHWLP-Det'!$R$20</f>
        <v>4.6934875482379568E-2</v>
      </c>
      <c r="M205" s="1136">
        <f>SUMIFS(INDEX(ArchetypeDemand!$I$106:$AH$150,,MATCH(M$128,ArchetypeDemand!$I$4:$AH$4,0)),ArchetypeDemand!$F$106:$F$150,$F205)*'SHWLP-Det'!$R$20</f>
        <v>7.5495687640931744E-2</v>
      </c>
      <c r="N205" s="1136">
        <f>SUMIFS(INDEX(ArchetypeDemand!$I$106:$AH$150,,MATCH(N$128,ArchetypeDemand!$I$4:$AH$4,0)),ArchetypeDemand!$F$106:$F$150,$F205)*'SHWLP-Det'!$R$20</f>
        <v>0.12456956342109224</v>
      </c>
      <c r="O205" s="1136">
        <f>SUMIFS(INDEX(ArchetypeDemand!$I$106:$AH$150,,MATCH(O$128,ArchetypeDemand!$I$4:$AH$4,0)),ArchetypeDemand!$F$106:$F$150,$F205)*'SHWLP-Det'!$R$20</f>
        <v>7.6412415824417906E-2</v>
      </c>
      <c r="P205" s="1136">
        <f>SUMIFS(INDEX(ArchetypeDemand!$I$106:$AH$150,,MATCH(P$128,ArchetypeDemand!$I$4:$AH$4,0)),ArchetypeDemand!$F$106:$F$150,$F205)*'SHWLP-Det'!$R$20</f>
        <v>7.7847597210951205E-2</v>
      </c>
      <c r="Q205" s="1136">
        <f>SUMIFS(INDEX(ArchetypeDemand!$I$106:$AH$150,,MATCH(Q$128,ArchetypeDemand!$I$4:$AH$4,0)),ArchetypeDemand!$F$106:$F$150,$F205)*'SHWLP-Det'!$R$20</f>
        <v>0.14516200974214191</v>
      </c>
      <c r="R205" s="1136">
        <f>SUMIFS(INDEX(ArchetypeDemand!$I$106:$AH$150,,MATCH(R$128,ArchetypeDemand!$I$4:$AH$4,0)),ArchetypeDemand!$F$106:$F$150,$F205)*'SHWLP-Det'!$R$20</f>
        <v>0.10277401308994312</v>
      </c>
      <c r="S205" s="1136">
        <f>SUMIFS(INDEX(ArchetypeDemand!$I$106:$AH$150,,MATCH(S$128,ArchetypeDemand!$I$4:$AH$4,0)),ArchetypeDemand!$F$106:$F$150,$F205)*'SHWLP-Det'!$R$20</f>
        <v>0.12713182918137719</v>
      </c>
      <c r="T205" s="1136">
        <f>SUMIFS(INDEX(ArchetypeDemand!$I$106:$AH$150,,MATCH(T$128,ArchetypeDemand!$I$4:$AH$4,0)),ArchetypeDemand!$F$106:$F$150,$F205)*'SHWLP-Det'!$R$20</f>
        <v>0.34190986358222053</v>
      </c>
      <c r="U205" s="1136">
        <f>SUMIFS(INDEX(ArchetypeDemand!$I$106:$AH$150,,MATCH(U$128,ArchetypeDemand!$I$4:$AH$4,0)),ArchetypeDemand!$F$106:$F$150,$F205)*'SHWLP-Det'!$R$20</f>
        <v>0.17322088738691163</v>
      </c>
      <c r="V205" s="1136">
        <f>SUMIFS(INDEX(ArchetypeDemand!$I$106:$AH$150,,MATCH(V$128,ArchetypeDemand!$I$4:$AH$4,0)),ArchetypeDemand!$F$106:$F$150,$F205)*'SHWLP-Det'!$R$20</f>
        <v>0.15150981276964745</v>
      </c>
      <c r="W205" s="1136">
        <f>SUMIFS(INDEX(ArchetypeDemand!$I$106:$AH$150,,MATCH(W$128,ArchetypeDemand!$I$4:$AH$4,0)),ArchetypeDemand!$F$106:$F$150,$F205)*'SHWLP-Det'!$R$20</f>
        <v>0.1842350063241916</v>
      </c>
      <c r="X205" s="1136">
        <f>SUMIFS(INDEX(ArchetypeDemand!$I$106:$AH$150,,MATCH(X$128,ArchetypeDemand!$I$4:$AH$4,0)),ArchetypeDemand!$F$106:$F$150,$F205)*'SHWLP-Det'!$R$20</f>
        <v>6.9354646683680868E-2</v>
      </c>
      <c r="Y205" s="1136">
        <f>SUMIFS(INDEX(ArchetypeDemand!$I$106:$AH$150,,MATCH(Y$128,ArchetypeDemand!$I$4:$AH$4,0)),ArchetypeDemand!$F$106:$F$150,$F205)*'SHWLP-Det'!$R$20</f>
        <v>0.2446242272313468</v>
      </c>
      <c r="Z205" s="1136">
        <f>SUMIFS(INDEX(ArchetypeDemand!$I$106:$AH$150,,MATCH(Z$128,ArchetypeDemand!$I$4:$AH$4,0)),ArchetypeDemand!$F$106:$F$150,$F205)*'SHWLP-Det'!$R$20</f>
        <v>4.7733082659538115E-2</v>
      </c>
      <c r="AA205" s="1136">
        <f>SUMIFS(INDEX(ArchetypeDemand!$I$106:$AH$150,,MATCH(AA$128,ArchetypeDemand!$I$4:$AH$4,0)),ArchetypeDemand!$F$106:$F$150,$F205)*'SHWLP-Det'!$R$20</f>
        <v>0.17740559210387011</v>
      </c>
      <c r="AB205" s="1136">
        <f>SUMIFS(INDEX(ArchetypeDemand!$I$106:$AH$150,,MATCH(AB$128,ArchetypeDemand!$I$4:$AH$4,0)),ArchetypeDemand!$F$106:$F$150,$F205)*'SHWLP-Det'!$R$20</f>
        <v>8.8478069907638637E-2</v>
      </c>
      <c r="AC205" s="1136">
        <f>SUMIFS(INDEX(ArchetypeDemand!$I$106:$AH$150,,MATCH(AC$128,ArchetypeDemand!$I$4:$AH$4,0)),ArchetypeDemand!$F$106:$F$150,$F205)*'SHWLP-Det'!$R$20</f>
        <v>7.2913878235535121E-2</v>
      </c>
      <c r="AD205" s="1136">
        <f>SUMIFS(INDEX(ArchetypeDemand!$I$106:$AH$150,,MATCH(AD$128,ArchetypeDemand!$I$4:$AH$4,0)),ArchetypeDemand!$F$106:$F$150,$F205)*'SHWLP-Det'!$R$20</f>
        <v>7.9489420514334594E-2</v>
      </c>
      <c r="AE205" s="1136">
        <f>SUMIFS(INDEX(ArchetypeDemand!$I$106:$AH$150,,MATCH(AE$128,ArchetypeDemand!$I$4:$AH$4,0)),ArchetypeDemand!$F$106:$F$150,$F205)*'SHWLP-Det'!$R$20</f>
        <v>0.19661152128154036</v>
      </c>
      <c r="AF205" s="1136">
        <f>SUMIFS(INDEX(ArchetypeDemand!$I$106:$AH$150,,MATCH(AF$128,ArchetypeDemand!$I$4:$AH$4,0)),ArchetypeDemand!$F$106:$F$150,$F205)*'SHWLP-Det'!$R$20</f>
        <v>7.1548827855859781E-2</v>
      </c>
    </row>
    <row r="206" spans="3:32">
      <c r="C206" s="1134" t="s">
        <v>1247</v>
      </c>
      <c r="D206" s="1134" t="s">
        <v>1094</v>
      </c>
      <c r="E206" s="1145" t="s">
        <v>1154</v>
      </c>
      <c r="F206" s="1134" t="s">
        <v>1228</v>
      </c>
      <c r="G206" s="1134">
        <f>SUMIFS(INDEX(ArchetypeDemand!$I$106:$AH$150,,MATCH(G$128,ArchetypeDemand!$I$4:$AH$4,0)),ArchetypeDemand!$F$106:$F$150,$F206)*'SHWLP-Det'!$R$20</f>
        <v>2.5791125735341491E-2</v>
      </c>
      <c r="H206" s="1134">
        <f>SUMIFS(INDEX(ArchetypeDemand!$I$106:$AH$150,,MATCH(H$128,ArchetypeDemand!$I$4:$AH$4,0)),ArchetypeDemand!$F$106:$F$150,$F206)*'SHWLP-Det'!$R$20</f>
        <v>0.13947319797112154</v>
      </c>
      <c r="I206" s="1134">
        <f>SUMIFS(INDEX(ArchetypeDemand!$I$106:$AH$150,,MATCH(I$128,ArchetypeDemand!$I$4:$AH$4,0)),ArchetypeDemand!$F$106:$F$150,$F206)*'SHWLP-Det'!$R$20</f>
        <v>4.3629191842868772E-2</v>
      </c>
      <c r="J206" s="1134">
        <f>SUMIFS(INDEX(ArchetypeDemand!$I$106:$AH$150,,MATCH(J$128,ArchetypeDemand!$I$4:$AH$4,0)),ArchetypeDemand!$F$106:$F$150,$F206)*'SHWLP-Det'!$R$20</f>
        <v>4.6795478824063014E-2</v>
      </c>
      <c r="K206" s="1134">
        <f>SUMIFS(INDEX(ArchetypeDemand!$I$106:$AH$150,,MATCH(K$128,ArchetypeDemand!$I$4:$AH$4,0)),ArchetypeDemand!$F$106:$F$150,$F206)*'SHWLP-Det'!$R$20</f>
        <v>4.0391636950739128E-2</v>
      </c>
      <c r="L206" s="1134">
        <f>SUMIFS(INDEX(ArchetypeDemand!$I$106:$AH$150,,MATCH(L$128,ArchetypeDemand!$I$4:$AH$4,0)),ArchetypeDemand!$F$106:$F$150,$F206)*'SHWLP-Det'!$R$20</f>
        <v>3.2889526210844532E-2</v>
      </c>
      <c r="M206" s="1134">
        <f>SUMIFS(INDEX(ArchetypeDemand!$I$106:$AH$150,,MATCH(M$128,ArchetypeDemand!$I$4:$AH$4,0)),ArchetypeDemand!$F$106:$F$150,$F206)*'SHWLP-Det'!$R$20</f>
        <v>3.3822991557787466E-2</v>
      </c>
      <c r="N206" s="1134">
        <f>SUMIFS(INDEX(ArchetypeDemand!$I$106:$AH$150,,MATCH(N$128,ArchetypeDemand!$I$4:$AH$4,0)),ArchetypeDemand!$F$106:$F$150,$F206)*'SHWLP-Det'!$R$20</f>
        <v>6.1440462458995433E-2</v>
      </c>
      <c r="O206" s="1134">
        <f>SUMIFS(INDEX(ArchetypeDemand!$I$106:$AH$150,,MATCH(O$128,ArchetypeDemand!$I$4:$AH$4,0)),ArchetypeDemand!$F$106:$F$150,$F206)*'SHWLP-Det'!$R$20</f>
        <v>4.573167310703799E-2</v>
      </c>
      <c r="P206" s="1134">
        <f>SUMIFS(INDEX(ArchetypeDemand!$I$106:$AH$150,,MATCH(P$128,ArchetypeDemand!$I$4:$AH$4,0)),ArchetypeDemand!$F$106:$F$150,$F206)*'SHWLP-Det'!$R$20</f>
        <v>4.4092879060282766E-2</v>
      </c>
      <c r="Q206" s="1134">
        <f>SUMIFS(INDEX(ArchetypeDemand!$I$106:$AH$150,,MATCH(Q$128,ArchetypeDemand!$I$4:$AH$4,0)),ArchetypeDemand!$F$106:$F$150,$F206)*'SHWLP-Det'!$R$20</f>
        <v>6.3629859097683067E-2</v>
      </c>
      <c r="R206" s="1134">
        <f>SUMIFS(INDEX(ArchetypeDemand!$I$106:$AH$150,,MATCH(R$128,ArchetypeDemand!$I$4:$AH$4,0)),ArchetypeDemand!$F$106:$F$150,$F206)*'SHWLP-Det'!$R$20</f>
        <v>5.4774529881455716E-2</v>
      </c>
      <c r="S206" s="1134">
        <f>SUMIFS(INDEX(ArchetypeDemand!$I$106:$AH$150,,MATCH(S$128,ArchetypeDemand!$I$4:$AH$4,0)),ArchetypeDemand!$F$106:$F$150,$F206)*'SHWLP-Det'!$R$20</f>
        <v>5.7068546830141204E-2</v>
      </c>
      <c r="T206" s="1134">
        <f>SUMIFS(INDEX(ArchetypeDemand!$I$106:$AH$150,,MATCH(T$128,ArchetypeDemand!$I$4:$AH$4,0)),ArchetypeDemand!$F$106:$F$150,$F206)*'SHWLP-Det'!$R$20</f>
        <v>0.15961364790832014</v>
      </c>
      <c r="U206" s="1134">
        <f>SUMIFS(INDEX(ArchetypeDemand!$I$106:$AH$150,,MATCH(U$128,ArchetypeDemand!$I$4:$AH$4,0)),ArchetypeDemand!$F$106:$F$150,$F206)*'SHWLP-Det'!$R$20</f>
        <v>7.5708042794024002E-2</v>
      </c>
      <c r="V206" s="1134">
        <f>SUMIFS(INDEX(ArchetypeDemand!$I$106:$AH$150,,MATCH(V$128,ArchetypeDemand!$I$4:$AH$4,0)),ArchetypeDemand!$F$106:$F$150,$F206)*'SHWLP-Det'!$R$20</f>
        <v>8.0006762790612251E-2</v>
      </c>
      <c r="W206" s="1134">
        <f>SUMIFS(INDEX(ArchetypeDemand!$I$106:$AH$150,,MATCH(W$128,ArchetypeDemand!$I$4:$AH$4,0)),ArchetypeDemand!$F$106:$F$150,$F206)*'SHWLP-Det'!$R$20</f>
        <v>0.10158643432469701</v>
      </c>
      <c r="X206" s="1134">
        <f>SUMIFS(INDEX(ArchetypeDemand!$I$106:$AH$150,,MATCH(X$128,ArchetypeDemand!$I$4:$AH$4,0)),ArchetypeDemand!$F$106:$F$150,$F206)*'SHWLP-Det'!$R$20</f>
        <v>3.7508125247296797E-2</v>
      </c>
      <c r="Y206" s="1134">
        <f>SUMIFS(INDEX(ArchetypeDemand!$I$106:$AH$150,,MATCH(Y$128,ArchetypeDemand!$I$4:$AH$4,0)),ArchetypeDemand!$F$106:$F$150,$F206)*'SHWLP-Det'!$R$20</f>
        <v>0.11507105686651239</v>
      </c>
      <c r="Z206" s="1134">
        <f>SUMIFS(INDEX(ArchetypeDemand!$I$106:$AH$150,,MATCH(Z$128,ArchetypeDemand!$I$4:$AH$4,0)),ArchetypeDemand!$F$106:$F$150,$F206)*'SHWLP-Det'!$R$20</f>
        <v>2.6006300207610421E-2</v>
      </c>
      <c r="AA206" s="1134">
        <f>SUMIFS(INDEX(ArchetypeDemand!$I$106:$AH$150,,MATCH(AA$128,ArchetypeDemand!$I$4:$AH$4,0)),ArchetypeDemand!$F$106:$F$150,$F206)*'SHWLP-Det'!$R$20</f>
        <v>9.0834505436360735E-2</v>
      </c>
      <c r="AB206" s="1134">
        <f>SUMIFS(INDEX(ArchetypeDemand!$I$106:$AH$150,,MATCH(AB$128,ArchetypeDemand!$I$4:$AH$4,0)),ArchetypeDemand!$F$106:$F$150,$F206)*'SHWLP-Det'!$R$20</f>
        <v>5.1089363087044599E-2</v>
      </c>
      <c r="AC206" s="1134">
        <f>SUMIFS(INDEX(ArchetypeDemand!$I$106:$AH$150,,MATCH(AC$128,ArchetypeDemand!$I$4:$AH$4,0)),ArchetypeDemand!$F$106:$F$150,$F206)*'SHWLP-Det'!$R$20</f>
        <v>4.46891511766183E-2</v>
      </c>
      <c r="AD206" s="1134">
        <f>SUMIFS(INDEX(ArchetypeDemand!$I$106:$AH$150,,MATCH(AD$128,ArchetypeDemand!$I$4:$AH$4,0)),ArchetypeDemand!$F$106:$F$150,$F206)*'SHWLP-Det'!$R$20</f>
        <v>4.0458687088134375E-2</v>
      </c>
      <c r="AE206" s="1134">
        <f>SUMIFS(INDEX(ArchetypeDemand!$I$106:$AH$150,,MATCH(AE$128,ArchetypeDemand!$I$4:$AH$4,0)),ArchetypeDemand!$F$106:$F$150,$F206)*'SHWLP-Det'!$R$20</f>
        <v>9.4497461311941908E-2</v>
      </c>
      <c r="AF206" s="1134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38" t="s">
        <v>1247</v>
      </c>
      <c r="D207" s="1138" t="s">
        <v>1094</v>
      </c>
      <c r="E207" s="1145" t="s">
        <v>1154</v>
      </c>
      <c r="F207" s="1138" t="s">
        <v>1229</v>
      </c>
      <c r="G207" s="1138">
        <f>SUMIFS(INDEX(ArchetypeDemand!$I$106:$AH$150,,MATCH(G$128,ArchetypeDemand!$I$4:$AH$4,0)),ArchetypeDemand!$F$106:$F$150,$F207)*'SHWLP-Det'!$R$20</f>
        <v>4.8482888721371555E-2</v>
      </c>
      <c r="H207" s="1138">
        <f>SUMIFS(INDEX(ArchetypeDemand!$I$106:$AH$150,,MATCH(H$128,ArchetypeDemand!$I$4:$AH$4,0)),ArchetypeDemand!$F$106:$F$150,$F207)*'SHWLP-Det'!$R$20</f>
        <v>0.15737926979107994</v>
      </c>
      <c r="I207" s="1138">
        <f>SUMIFS(INDEX(ArchetypeDemand!$I$106:$AH$150,,MATCH(I$128,ArchetypeDemand!$I$4:$AH$4,0)),ArchetypeDemand!$F$106:$F$150,$F207)*'SHWLP-Det'!$R$20</f>
        <v>7.6801800516785521E-2</v>
      </c>
      <c r="J207" s="1138">
        <f>SUMIFS(INDEX(ArchetypeDemand!$I$106:$AH$150,,MATCH(J$128,ArchetypeDemand!$I$4:$AH$4,0)),ArchetypeDemand!$F$106:$F$150,$F207)*'SHWLP-Det'!$R$20</f>
        <v>9.4508516056440978E-2</v>
      </c>
      <c r="K207" s="1138">
        <f>SUMIFS(INDEX(ArchetypeDemand!$I$106:$AH$150,,MATCH(K$128,ArchetypeDemand!$I$4:$AH$4,0)),ArchetypeDemand!$F$106:$F$150,$F207)*'SHWLP-Det'!$R$20</f>
        <v>7.1734498091085397E-2</v>
      </c>
      <c r="L207" s="1138">
        <f>SUMIFS(INDEX(ArchetypeDemand!$I$106:$AH$150,,MATCH(L$128,ArchetypeDemand!$I$4:$AH$4,0)),ArchetypeDemand!$F$106:$F$150,$F207)*'SHWLP-Det'!$R$20</f>
        <v>5.22018814592052E-2</v>
      </c>
      <c r="M207" s="1138">
        <f>SUMIFS(INDEX(ArchetypeDemand!$I$106:$AH$150,,MATCH(M$128,ArchetypeDemand!$I$4:$AH$4,0)),ArchetypeDemand!$F$106:$F$150,$F207)*'SHWLP-Det'!$R$20</f>
        <v>5.9796278590218112E-2</v>
      </c>
      <c r="N207" s="1138">
        <f>SUMIFS(INDEX(ArchetypeDemand!$I$106:$AH$150,,MATCH(N$128,ArchetypeDemand!$I$4:$AH$4,0)),ArchetypeDemand!$F$106:$F$150,$F207)*'SHWLP-Det'!$R$20</f>
        <v>0.10872234054583337</v>
      </c>
      <c r="O207" s="1138">
        <f>SUMIFS(INDEX(ArchetypeDemand!$I$106:$AH$150,,MATCH(O$128,ArchetypeDemand!$I$4:$AH$4,0)),ArchetypeDemand!$F$106:$F$150,$F207)*'SHWLP-Det'!$R$20</f>
        <v>7.6846577277965747E-2</v>
      </c>
      <c r="P207" s="1138">
        <f>SUMIFS(INDEX(ArchetypeDemand!$I$106:$AH$150,,MATCH(P$128,ArchetypeDemand!$I$4:$AH$4,0)),ArchetypeDemand!$F$106:$F$150,$F207)*'SHWLP-Det'!$R$20</f>
        <v>8.9555875831478282E-2</v>
      </c>
      <c r="Q207" s="1138">
        <f>SUMIFS(INDEX(ArchetypeDemand!$I$106:$AH$150,,MATCH(Q$128,ArchetypeDemand!$I$4:$AH$4,0)),ArchetypeDemand!$F$106:$F$150,$F207)*'SHWLP-Det'!$R$20</f>
        <v>0.10393558978013825</v>
      </c>
      <c r="R207" s="1138">
        <f>SUMIFS(INDEX(ArchetypeDemand!$I$106:$AH$150,,MATCH(R$128,ArchetypeDemand!$I$4:$AH$4,0)),ArchetypeDemand!$F$106:$F$150,$F207)*'SHWLP-Det'!$R$20</f>
        <v>8.7386618951337106E-2</v>
      </c>
      <c r="S207" s="1138">
        <f>SUMIFS(INDEX(ArchetypeDemand!$I$106:$AH$150,,MATCH(S$128,ArchetypeDemand!$I$4:$AH$4,0)),ArchetypeDemand!$F$106:$F$150,$F207)*'SHWLP-Det'!$R$20</f>
        <v>0.11846867216731401</v>
      </c>
      <c r="T207" s="1138">
        <f>SUMIFS(INDEX(ArchetypeDemand!$I$106:$AH$150,,MATCH(T$128,ArchetypeDemand!$I$4:$AH$4,0)),ArchetypeDemand!$F$106:$F$150,$F207)*'SHWLP-Det'!$R$20</f>
        <v>0.32316689969171475</v>
      </c>
      <c r="U207" s="1138">
        <f>SUMIFS(INDEX(ArchetypeDemand!$I$106:$AH$150,,MATCH(U$128,ArchetypeDemand!$I$4:$AH$4,0)),ArchetypeDemand!$F$106:$F$150,$F207)*'SHWLP-Det'!$R$20</f>
        <v>0.139019447001892</v>
      </c>
      <c r="V207" s="1138">
        <f>SUMIFS(INDEX(ArchetypeDemand!$I$106:$AH$150,,MATCH(V$128,ArchetypeDemand!$I$4:$AH$4,0)),ArchetypeDemand!$F$106:$F$150,$F207)*'SHWLP-Det'!$R$20</f>
        <v>0.14492242960574972</v>
      </c>
      <c r="W207" s="1138">
        <f>SUMIFS(INDEX(ArchetypeDemand!$I$106:$AH$150,,MATCH(W$128,ArchetypeDemand!$I$4:$AH$4,0)),ArchetypeDemand!$F$106:$F$150,$F207)*'SHWLP-Det'!$R$20</f>
        <v>0.17511677631576081</v>
      </c>
      <c r="X207" s="1138">
        <f>SUMIFS(INDEX(ArchetypeDemand!$I$106:$AH$150,,MATCH(X$128,ArchetypeDemand!$I$4:$AH$4,0)),ArchetypeDemand!$F$106:$F$150,$F207)*'SHWLP-Det'!$R$20</f>
        <v>4.9656983424880348E-2</v>
      </c>
      <c r="Y207" s="1138">
        <f>SUMIFS(INDEX(ArchetypeDemand!$I$106:$AH$150,,MATCH(Y$128,ArchetypeDemand!$I$4:$AH$4,0)),ArchetypeDemand!$F$106:$F$150,$F207)*'SHWLP-Det'!$R$20</f>
        <v>0.21779302470344789</v>
      </c>
      <c r="Z207" s="1138">
        <f>SUMIFS(INDEX(ArchetypeDemand!$I$106:$AH$150,,MATCH(Z$128,ArchetypeDemand!$I$4:$AH$4,0)),ArchetypeDemand!$F$106:$F$150,$F207)*'SHWLP-Det'!$R$20</f>
        <v>5.815754898748321E-2</v>
      </c>
      <c r="AA207" s="1138">
        <f>SUMIFS(INDEX(ArchetypeDemand!$I$106:$AH$150,,MATCH(AA$128,ArchetypeDemand!$I$4:$AH$4,0)),ArchetypeDemand!$F$106:$F$150,$F207)*'SHWLP-Det'!$R$20</f>
        <v>0.17397117142896207</v>
      </c>
      <c r="AB207" s="1138">
        <f>SUMIFS(INDEX(ArchetypeDemand!$I$106:$AH$150,,MATCH(AB$128,ArchetypeDemand!$I$4:$AH$4,0)),ArchetypeDemand!$F$106:$F$150,$F207)*'SHWLP-Det'!$R$20</f>
        <v>0.11447090375894202</v>
      </c>
      <c r="AC207" s="1138">
        <f>SUMIFS(INDEX(ArchetypeDemand!$I$106:$AH$150,,MATCH(AC$128,ArchetypeDemand!$I$4:$AH$4,0)),ArchetypeDemand!$F$106:$F$150,$F207)*'SHWLP-Det'!$R$20</f>
        <v>7.3737099441420206E-2</v>
      </c>
      <c r="AD207" s="1138">
        <f>SUMIFS(INDEX(ArchetypeDemand!$I$106:$AH$150,,MATCH(AD$128,ArchetypeDemand!$I$4:$AH$4,0)),ArchetypeDemand!$F$106:$F$150,$F207)*'SHWLP-Det'!$R$20</f>
        <v>8.0203397345301672E-2</v>
      </c>
      <c r="AE207" s="1138">
        <f>SUMIFS(INDEX(ArchetypeDemand!$I$106:$AH$150,,MATCH(AE$128,ArchetypeDemand!$I$4:$AH$4,0)),ArchetypeDemand!$F$106:$F$150,$F207)*'SHWLP-Det'!$R$20</f>
        <v>0.16472508283338508</v>
      </c>
      <c r="AF207" s="1138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1" t="s">
        <v>1248</v>
      </c>
      <c r="D208" s="1141" t="s">
        <v>1094</v>
      </c>
      <c r="E208" s="1145" t="s">
        <v>1154</v>
      </c>
      <c r="F208" s="1141" t="s">
        <v>938</v>
      </c>
      <c r="G208" s="1141">
        <f>SUM(ArchetypeDemand!I106:I150)*'SHWLP-Det'!$R$46</f>
        <v>0.42473460652356315</v>
      </c>
      <c r="H208" s="1141">
        <f>SUM(ArchetypeDemand!J106:J150)*'SHWLP-Det'!$R$46</f>
        <v>2.2051154174754339</v>
      </c>
      <c r="I208" s="1141">
        <f>SUM(ArchetypeDemand!K106:K150)*'SHWLP-Det'!$R$46</f>
        <v>1.1899206046730939</v>
      </c>
      <c r="J208" s="1141">
        <f>SUM(ArchetypeDemand!L106:L150)*'SHWLP-Det'!$R$46</f>
        <v>0.82030957606516963</v>
      </c>
      <c r="K208" s="1141">
        <f>SUM(ArchetypeDemand!M106:M150)*'SHWLP-Det'!$R$46</f>
        <v>0.63985467225234904</v>
      </c>
      <c r="L208" s="1141">
        <f>SUM(ArchetypeDemand!N106:N150)*'SHWLP-Det'!$R$46</f>
        <v>0.38161735331270352</v>
      </c>
      <c r="M208" s="1141">
        <f>SUM(ArchetypeDemand!O106:O150)*'SHWLP-Det'!$R$46</f>
        <v>0.74081121625514401</v>
      </c>
      <c r="N208" s="1141">
        <f>SUM(ArchetypeDemand!P106:P150)*'SHWLP-Det'!$R$46</f>
        <v>1.3477512608311812</v>
      </c>
      <c r="O208" s="1141">
        <f>SUM(ArchetypeDemand!Q106:Q150)*'SHWLP-Det'!$R$46</f>
        <v>0.62692015341046547</v>
      </c>
      <c r="P208" s="1141">
        <f>SUM(ArchetypeDemand!R106:R150)*'SHWLP-Det'!$R$46</f>
        <v>0.6605600701053469</v>
      </c>
      <c r="Q208" s="1141">
        <f>SUM(ArchetypeDemand!S106:S150)*'SHWLP-Det'!$R$46</f>
        <v>1.3302463167847622</v>
      </c>
      <c r="R208" s="1141">
        <f>SUM(ArchetypeDemand!T106:T150)*'SHWLP-Det'!$R$46</f>
        <v>0.88463419202829552</v>
      </c>
      <c r="S208" s="1141">
        <f>SUM(ArchetypeDemand!U106:U150)*'SHWLP-Det'!$R$46</f>
        <v>1.0295990515993945</v>
      </c>
      <c r="T208" s="1141">
        <f>SUM(ArchetypeDemand!V106:V150)*'SHWLP-Det'!$R$46</f>
        <v>3.4831055559089568</v>
      </c>
      <c r="U208" s="1141">
        <f>SUM(ArchetypeDemand!W106:W150)*'SHWLP-Det'!$R$46</f>
        <v>1.428342919138704</v>
      </c>
      <c r="V208" s="1141">
        <f>SUM(ArchetypeDemand!X106:X150)*'SHWLP-Det'!$R$46</f>
        <v>1.2859760687138206</v>
      </c>
      <c r="W208" s="1141">
        <f>SUM(ArchetypeDemand!Y106:Y150)*'SHWLP-Det'!$R$46</f>
        <v>1.372918138006056</v>
      </c>
      <c r="X208" s="1141">
        <f>SUM(ArchetypeDemand!Z106:Z150)*'SHWLP-Det'!$R$46</f>
        <v>0.75164691270594997</v>
      </c>
      <c r="Y208" s="1141">
        <f>SUM(ArchetypeDemand!AA106:AA150)*'SHWLP-Det'!$R$46</f>
        <v>2.1742296308986666</v>
      </c>
      <c r="Z208" s="1141">
        <f>SUM(ArchetypeDemand!AB106:AB150)*'SHWLP-Det'!$R$46</f>
        <v>0.35736120285756673</v>
      </c>
      <c r="AA208" s="1141">
        <f>SUM(ArchetypeDemand!AC106:AC150)*'SHWLP-Det'!$R$46</f>
        <v>1.3624840804442011</v>
      </c>
      <c r="AB208" s="1141">
        <f>SUM(ArchetypeDemand!AD106:AD150)*'SHWLP-Det'!$R$46</f>
        <v>0.70995839689321483</v>
      </c>
      <c r="AC208" s="1141">
        <f>SUM(ArchetypeDemand!AE106:AE150)*'SHWLP-Det'!$R$46</f>
        <v>0.56912191671888246</v>
      </c>
      <c r="AD208" s="1141">
        <f>SUM(ArchetypeDemand!AF106:AF150)*'SHWLP-Det'!$R$46</f>
        <v>0.71148511178159946</v>
      </c>
      <c r="AE208" s="1141">
        <f>SUM(ArchetypeDemand!AG106:AG150)*'SHWLP-Det'!$R$46</f>
        <v>1.5996143922816082</v>
      </c>
      <c r="AF208" s="1141">
        <f>SUM(ArchetypeDemand!AH106:AH150)*'SHWLP-Det'!$R$46</f>
        <v>0.55580676715062305</v>
      </c>
    </row>
    <row r="209" spans="3:32" ht="15">
      <c r="C209" s="1137" t="s">
        <v>1220</v>
      </c>
      <c r="D209" s="1137"/>
      <c r="E209" s="1137"/>
      <c r="F209" s="1137"/>
      <c r="G209" s="1137"/>
      <c r="H209" s="1137"/>
      <c r="I209" s="1137"/>
      <c r="J209" s="1137"/>
      <c r="K209" s="1137"/>
      <c r="L209" s="1137"/>
      <c r="M209" s="1137"/>
      <c r="N209" s="1137"/>
      <c r="O209" s="1137"/>
      <c r="P209" s="1137"/>
      <c r="Q209" s="1137"/>
      <c r="R209" s="1137"/>
      <c r="S209" s="1137"/>
      <c r="T209" s="1137"/>
      <c r="U209" s="1137"/>
      <c r="V209" s="1137"/>
      <c r="W209" s="1137"/>
      <c r="X209" s="1137"/>
      <c r="Y209" s="1137"/>
      <c r="Z209" s="1137"/>
      <c r="AA209" s="1137"/>
      <c r="AB209" s="1137"/>
      <c r="AC209" s="1137"/>
      <c r="AD209" s="1137"/>
      <c r="AE209" s="1137"/>
      <c r="AF209" s="1137"/>
    </row>
    <row r="210" spans="3:32">
      <c r="C210" s="1145" t="s">
        <v>1249</v>
      </c>
      <c r="D210" s="1134" t="s">
        <v>1094</v>
      </c>
      <c r="E210" s="1134" t="s">
        <v>837</v>
      </c>
      <c r="F210" s="1134" t="s">
        <v>1224</v>
      </c>
      <c r="G210" s="1134">
        <f>SUMIFS(INDEX(ArchetypeDemand!$I$106:$AH$150,,MATCH(G$128,ArchetypeDemand!$I$4:$AH$4,0)),ArchetypeDemand!$F$106:$F$150,$F210)*'SHWLP-Det'!$R$23</f>
        <v>7.7661200892740331E-3</v>
      </c>
      <c r="H210" s="1134">
        <f>SUMIFS(INDEX(ArchetypeDemand!$I$106:$AH$150,,MATCH(H$128,ArchetypeDemand!$I$4:$AH$4,0)),ArchetypeDemand!$F$106:$F$150,$F210)*'SHWLP-Det'!$R$23</f>
        <v>6.0688131548719236E-2</v>
      </c>
      <c r="I210" s="1134">
        <f>SUMIFS(INDEX(ArchetypeDemand!$I$106:$AH$150,,MATCH(I$128,ArchetypeDemand!$I$4:$AH$4,0)),ArchetypeDemand!$F$106:$F$150,$F210)*'SHWLP-Det'!$R$23</f>
        <v>3.2982159138923113E-2</v>
      </c>
      <c r="J210" s="1134">
        <f>SUMIFS(INDEX(ArchetypeDemand!$I$106:$AH$150,,MATCH(J$128,ArchetypeDemand!$I$4:$AH$4,0)),ArchetypeDemand!$F$106:$F$150,$F210)*'SHWLP-Det'!$R$23</f>
        <v>1.4907246686023284E-2</v>
      </c>
      <c r="K210" s="1134">
        <f>SUMIFS(INDEX(ArchetypeDemand!$I$106:$AH$150,,MATCH(K$128,ArchetypeDemand!$I$4:$AH$4,0)),ArchetypeDemand!$F$106:$F$150,$F210)*'SHWLP-Det'!$R$23</f>
        <v>1.1354077736991151E-2</v>
      </c>
      <c r="L210" s="1134">
        <f>SUMIFS(INDEX(ArchetypeDemand!$I$106:$AH$150,,MATCH(L$128,ArchetypeDemand!$I$4:$AH$4,0)),ArchetypeDemand!$F$106:$F$150,$F210)*'SHWLP-Det'!$R$23</f>
        <v>6.05706241620257E-3</v>
      </c>
      <c r="M210" s="1134">
        <f>SUMIFS(INDEX(ArchetypeDemand!$I$106:$AH$150,,MATCH(M$128,ArchetypeDemand!$I$4:$AH$4,0)),ArchetypeDemand!$F$106:$F$150,$F210)*'SHWLP-Det'!$R$23</f>
        <v>1.8958705852128947E-2</v>
      </c>
      <c r="N210" s="1134">
        <f>SUMIFS(INDEX(ArchetypeDemand!$I$106:$AH$150,,MATCH(N$128,ArchetypeDemand!$I$4:$AH$4,0)),ArchetypeDemand!$F$106:$F$150,$F210)*'SHWLP-Det'!$R$23</f>
        <v>3.5125069056021599E-2</v>
      </c>
      <c r="O210" s="1134">
        <f>SUMIFS(INDEX(ArchetypeDemand!$I$106:$AH$150,,MATCH(O$128,ArchetypeDemand!$I$4:$AH$4,0)),ArchetypeDemand!$F$106:$F$150,$F210)*'SHWLP-Det'!$R$23</f>
        <v>9.2414431886909763E-3</v>
      </c>
      <c r="P210" s="1134">
        <f>SUMIFS(INDEX(ArchetypeDemand!$I$106:$AH$150,,MATCH(P$128,ArchetypeDemand!$I$4:$AH$4,0)),ArchetypeDemand!$F$106:$F$150,$F210)*'SHWLP-Det'!$R$23</f>
        <v>1.0861137192060158E-2</v>
      </c>
      <c r="Q210" s="1134">
        <f>SUMIFS(INDEX(ArchetypeDemand!$I$106:$AH$150,,MATCH(Q$128,ArchetypeDemand!$I$4:$AH$4,0)),ArchetypeDemand!$F$106:$F$150,$F210)*'SHWLP-Det'!$R$23</f>
        <v>2.4028093857782339E-2</v>
      </c>
      <c r="R210" s="1134">
        <f>SUMIFS(INDEX(ArchetypeDemand!$I$106:$AH$150,,MATCH(R$128,ArchetypeDemand!$I$4:$AH$4,0)),ArchetypeDemand!$F$106:$F$150,$F210)*'SHWLP-Det'!$R$23</f>
        <v>2.0233588059092714E-2</v>
      </c>
      <c r="S210" s="1134">
        <f>SUMIFS(INDEX(ArchetypeDemand!$I$106:$AH$150,,MATCH(S$128,ArchetypeDemand!$I$4:$AH$4,0)),ArchetypeDemand!$F$106:$F$150,$F210)*'SHWLP-Det'!$R$23</f>
        <v>1.6612627633764497E-2</v>
      </c>
      <c r="T210" s="1134">
        <f>SUMIFS(INDEX(ArchetypeDemand!$I$106:$AH$150,,MATCH(T$128,ArchetypeDemand!$I$4:$AH$4,0)),ArchetypeDemand!$F$106:$F$150,$F210)*'SHWLP-Det'!$R$23</f>
        <v>9.3245269171622264E-2</v>
      </c>
      <c r="U210" s="1134">
        <f>SUMIFS(INDEX(ArchetypeDemand!$I$106:$AH$150,,MATCH(U$128,ArchetypeDemand!$I$4:$AH$4,0)),ArchetypeDemand!$F$106:$F$150,$F210)*'SHWLP-Det'!$R$23</f>
        <v>3.0315538563195129E-2</v>
      </c>
      <c r="V210" s="1134">
        <f>SUMIFS(INDEX(ArchetypeDemand!$I$106:$AH$150,,MATCH(V$128,ArchetypeDemand!$I$4:$AH$4,0)),ArchetypeDemand!$F$106:$F$150,$F210)*'SHWLP-Det'!$R$23</f>
        <v>2.0853981803388575E-2</v>
      </c>
      <c r="W210" s="1134">
        <f>SUMIFS(INDEX(ArchetypeDemand!$I$106:$AH$150,,MATCH(W$128,ArchetypeDemand!$I$4:$AH$4,0)),ArchetypeDemand!$F$106:$F$150,$F210)*'SHWLP-Det'!$R$23</f>
        <v>2.0756037579257199E-2</v>
      </c>
      <c r="X210" s="1134">
        <f>SUMIFS(INDEX(ArchetypeDemand!$I$106:$AH$150,,MATCH(X$128,ArchetypeDemand!$I$4:$AH$4,0)),ArchetypeDemand!$F$106:$F$150,$F210)*'SHWLP-Det'!$R$23</f>
        <v>1.6366299230268302E-2</v>
      </c>
      <c r="Y210" s="1134">
        <f>SUMIFS(INDEX(ArchetypeDemand!$I$106:$AH$150,,MATCH(Y$128,ArchetypeDemand!$I$4:$AH$4,0)),ArchetypeDemand!$F$106:$F$150,$F210)*'SHWLP-Det'!$R$23</f>
        <v>4.5439008981736036E-2</v>
      </c>
      <c r="Z210" s="1134">
        <f>SUMIFS(INDEX(ArchetypeDemand!$I$106:$AH$150,,MATCH(Z$128,ArchetypeDemand!$I$4:$AH$4,0)),ArchetypeDemand!$F$106:$F$150,$F210)*'SHWLP-Det'!$R$23</f>
        <v>4.5335924602943499E-3</v>
      </c>
      <c r="AA210" s="1134">
        <f>SUMIFS(INDEX(ArchetypeDemand!$I$106:$AH$150,,MATCH(AA$128,ArchetypeDemand!$I$4:$AH$4,0)),ArchetypeDemand!$F$106:$F$150,$F210)*'SHWLP-Det'!$R$23</f>
        <v>2.0525155396838864E-2</v>
      </c>
      <c r="AB210" s="1134">
        <f>SUMIFS(INDEX(ArchetypeDemand!$I$106:$AH$150,,MATCH(AB$128,ArchetypeDemand!$I$4:$AH$4,0)),ArchetypeDemand!$F$106:$F$150,$F210)*'SHWLP-Det'!$R$23</f>
        <v>9.3736700148825628E-3</v>
      </c>
      <c r="AC210" s="1134">
        <f>SUMIFS(INDEX(ArchetypeDemand!$I$106:$AH$150,,MATCH(AC$128,ArchetypeDemand!$I$4:$AH$4,0)),ArchetypeDemand!$F$106:$F$150,$F210)*'SHWLP-Det'!$R$23</f>
        <v>1.0243400112011147E-2</v>
      </c>
      <c r="AD210" s="1134">
        <f>SUMIFS(INDEX(ArchetypeDemand!$I$106:$AH$150,,MATCH(AD$128,ArchetypeDemand!$I$4:$AH$4,0)),ArchetypeDemand!$F$106:$F$150,$F210)*'SHWLP-Det'!$R$23</f>
        <v>1.3571895755294962E-2</v>
      </c>
      <c r="AE210" s="1134">
        <f>SUMIFS(INDEX(ArchetypeDemand!$I$106:$AH$150,,MATCH(AE$128,ArchetypeDemand!$I$4:$AH$4,0)),ArchetypeDemand!$F$106:$F$150,$F210)*'SHWLP-Det'!$R$23</f>
        <v>2.548968957900007E-2</v>
      </c>
      <c r="AF210" s="1134">
        <f>SUMIFS(INDEX(ArchetypeDemand!$I$106:$AH$150,,MATCH(AF$128,ArchetypeDemand!$I$4:$AH$4,0)),ArchetypeDemand!$F$106:$F$150,$F210)*'SHWLP-Det'!$R$23</f>
        <v>1.1185901287210986E-2</v>
      </c>
    </row>
    <row r="211" spans="3:32">
      <c r="C211" s="1136" t="s">
        <v>1249</v>
      </c>
      <c r="D211" s="1136" t="s">
        <v>1094</v>
      </c>
      <c r="E211" s="1136" t="s">
        <v>837</v>
      </c>
      <c r="F211" s="1136" t="s">
        <v>1225</v>
      </c>
      <c r="G211" s="1136">
        <f>SUMIFS(INDEX(ArchetypeDemand!$I$106:$AH$150,,MATCH(G$128,ArchetypeDemand!$I$4:$AH$4,0)),ArchetypeDemand!$F$106:$F$150,$F211)*'SHWLP-Det'!$R$23</f>
        <v>1.9094959079885055E-2</v>
      </c>
      <c r="H211" s="1136">
        <f>SUMIFS(INDEX(ArchetypeDemand!$I$106:$AH$150,,MATCH(H$128,ArchetypeDemand!$I$4:$AH$4,0)),ArchetypeDemand!$F$106:$F$150,$F211)*'SHWLP-Det'!$R$23</f>
        <v>8.8887972596457573E-2</v>
      </c>
      <c r="I211" s="1136">
        <f>SUMIFS(INDEX(ArchetypeDemand!$I$106:$AH$150,,MATCH(I$128,ArchetypeDemand!$I$4:$AH$4,0)),ArchetypeDemand!$F$106:$F$150,$F211)*'SHWLP-Det'!$R$23</f>
        <v>6.0568258464290439E-2</v>
      </c>
      <c r="J211" s="1136">
        <f>SUMIFS(INDEX(ArchetypeDemand!$I$106:$AH$150,,MATCH(J$128,ArchetypeDemand!$I$4:$AH$4,0)),ArchetypeDemand!$F$106:$F$150,$F211)*'SHWLP-Det'!$R$23</f>
        <v>3.6316780418696265E-2</v>
      </c>
      <c r="K211" s="1136">
        <f>SUMIFS(INDEX(ArchetypeDemand!$I$106:$AH$150,,MATCH(K$128,ArchetypeDemand!$I$4:$AH$4,0)),ArchetypeDemand!$F$106:$F$150,$F211)*'SHWLP-Det'!$R$23</f>
        <v>3.090586122511706E-2</v>
      </c>
      <c r="L211" s="1136">
        <f>SUMIFS(INDEX(ArchetypeDemand!$I$106:$AH$150,,MATCH(L$128,ArchetypeDemand!$I$4:$AH$4,0)),ArchetypeDemand!$F$106:$F$150,$F211)*'SHWLP-Det'!$R$23</f>
        <v>1.6587273806221006E-2</v>
      </c>
      <c r="M211" s="1136">
        <f>SUMIFS(INDEX(ArchetypeDemand!$I$106:$AH$150,,MATCH(M$128,ArchetypeDemand!$I$4:$AH$4,0)),ArchetypeDemand!$F$106:$F$150,$F211)*'SHWLP-Det'!$R$23</f>
        <v>3.6090047896850011E-2</v>
      </c>
      <c r="N211" s="1136">
        <f>SUMIFS(INDEX(ArchetypeDemand!$I$106:$AH$150,,MATCH(N$128,ArchetypeDemand!$I$4:$AH$4,0)),ArchetypeDemand!$F$106:$F$150,$F211)*'SHWLP-Det'!$R$23</f>
        <v>6.5958685477570958E-2</v>
      </c>
      <c r="O211" s="1136">
        <f>SUMIFS(INDEX(ArchetypeDemand!$I$106:$AH$150,,MATCH(O$128,ArchetypeDemand!$I$4:$AH$4,0)),ArchetypeDemand!$F$106:$F$150,$F211)*'SHWLP-Det'!$R$23</f>
        <v>2.7979326842080342E-2</v>
      </c>
      <c r="P211" s="1136">
        <f>SUMIFS(INDEX(ArchetypeDemand!$I$106:$AH$150,,MATCH(P$128,ArchetypeDemand!$I$4:$AH$4,0)),ArchetypeDemand!$F$106:$F$150,$F211)*'SHWLP-Det'!$R$23</f>
        <v>2.9494854810088622E-2</v>
      </c>
      <c r="Q211" s="1136">
        <f>SUMIFS(INDEX(ArchetypeDemand!$I$106:$AH$150,,MATCH(Q$128,ArchetypeDemand!$I$4:$AH$4,0)),ArchetypeDemand!$F$106:$F$150,$F211)*'SHWLP-Det'!$R$23</f>
        <v>6.6975852229960262E-2</v>
      </c>
      <c r="R211" s="1136">
        <f>SUMIFS(INDEX(ArchetypeDemand!$I$106:$AH$150,,MATCH(R$128,ArchetypeDemand!$I$4:$AH$4,0)),ArchetypeDemand!$F$106:$F$150,$F211)*'SHWLP-Det'!$R$23</f>
        <v>3.7707470147110483E-2</v>
      </c>
      <c r="S211" s="1136">
        <f>SUMIFS(INDEX(ArchetypeDemand!$I$106:$AH$150,,MATCH(S$128,ArchetypeDemand!$I$4:$AH$4,0)),ArchetypeDemand!$F$106:$F$150,$F211)*'SHWLP-Det'!$R$23</f>
        <v>4.9594265715847463E-2</v>
      </c>
      <c r="T211" s="1136">
        <f>SUMIFS(INDEX(ArchetypeDemand!$I$106:$AH$150,,MATCH(T$128,ArchetypeDemand!$I$4:$AH$4,0)),ArchetypeDemand!$F$106:$F$150,$F211)*'SHWLP-Det'!$R$23</f>
        <v>0.16299614292428083</v>
      </c>
      <c r="U211" s="1136">
        <f>SUMIFS(INDEX(ArchetypeDemand!$I$106:$AH$150,,MATCH(U$128,ArchetypeDemand!$I$4:$AH$4,0)),ArchetypeDemand!$F$106:$F$150,$F211)*'SHWLP-Det'!$R$23</f>
        <v>6.3695807311181143E-2</v>
      </c>
      <c r="V211" s="1136">
        <f>SUMIFS(INDEX(ArchetypeDemand!$I$106:$AH$150,,MATCH(V$128,ArchetypeDemand!$I$4:$AH$4,0)),ArchetypeDemand!$F$106:$F$150,$F211)*'SHWLP-Det'!$R$23</f>
        <v>5.6804618348267832E-2</v>
      </c>
      <c r="W211" s="1136">
        <f>SUMIFS(INDEX(ArchetypeDemand!$I$106:$AH$150,,MATCH(W$128,ArchetypeDemand!$I$4:$AH$4,0)),ArchetypeDemand!$F$106:$F$150,$F211)*'SHWLP-Det'!$R$23</f>
        <v>5.8089795558982929E-2</v>
      </c>
      <c r="X211" s="1136">
        <f>SUMIFS(INDEX(ArchetypeDemand!$I$106:$AH$150,,MATCH(X$128,ArchetypeDemand!$I$4:$AH$4,0)),ArchetypeDemand!$F$106:$F$150,$F211)*'SHWLP-Det'!$R$23</f>
        <v>3.7182862823802433E-2</v>
      </c>
      <c r="Y211" s="1136">
        <f>SUMIFS(INDEX(ArchetypeDemand!$I$106:$AH$150,,MATCH(Y$128,ArchetypeDemand!$I$4:$AH$4,0)),ArchetypeDemand!$F$106:$F$150,$F211)*'SHWLP-Det'!$R$23</f>
        <v>0.1024609276723801</v>
      </c>
      <c r="Z211" s="1136">
        <f>SUMIFS(INDEX(ArchetypeDemand!$I$106:$AH$150,,MATCH(Z$128,ArchetypeDemand!$I$4:$AH$4,0)),ArchetypeDemand!$F$106:$F$150,$F211)*'SHWLP-Det'!$R$23</f>
        <v>1.633335365832074E-2</v>
      </c>
      <c r="AA211" s="1136">
        <f>SUMIFS(INDEX(ArchetypeDemand!$I$106:$AH$150,,MATCH(AA$128,ArchetypeDemand!$I$4:$AH$4,0)),ArchetypeDemand!$F$106:$F$150,$F211)*'SHWLP-Det'!$R$23</f>
        <v>5.8996500034040944E-2</v>
      </c>
      <c r="AB211" s="1136">
        <f>SUMIFS(INDEX(ArchetypeDemand!$I$106:$AH$150,,MATCH(AB$128,ArchetypeDemand!$I$4:$AH$4,0)),ArchetypeDemand!$F$106:$F$150,$F211)*'SHWLP-Det'!$R$23</f>
        <v>3.1799010302138934E-2</v>
      </c>
      <c r="AC211" s="1136">
        <f>SUMIFS(INDEX(ArchetypeDemand!$I$106:$AH$150,,MATCH(AC$128,ArchetypeDemand!$I$4:$AH$4,0)),ArchetypeDemand!$F$106:$F$150,$F211)*'SHWLP-Det'!$R$23</f>
        <v>2.3282397838240206E-2</v>
      </c>
      <c r="AD211" s="1136">
        <f>SUMIFS(INDEX(ArchetypeDemand!$I$106:$AH$150,,MATCH(AD$128,ArchetypeDemand!$I$4:$AH$4,0)),ArchetypeDemand!$F$106:$F$150,$F211)*'SHWLP-Det'!$R$23</f>
        <v>3.5074641090717666E-2</v>
      </c>
      <c r="AE211" s="1136">
        <f>SUMIFS(INDEX(ArchetypeDemand!$I$106:$AH$150,,MATCH(AE$128,ArchetypeDemand!$I$4:$AH$4,0)),ArchetypeDemand!$F$106:$F$150,$F211)*'SHWLP-Det'!$R$23</f>
        <v>7.686244436791817E-2</v>
      </c>
      <c r="AF211" s="1136">
        <f>SUMIFS(INDEX(ArchetypeDemand!$I$106:$AH$150,,MATCH(AF$128,ArchetypeDemand!$I$4:$AH$4,0)),ArchetypeDemand!$F$106:$F$150,$F211)*'SHWLP-Det'!$R$23</f>
        <v>2.3724787547972061E-2</v>
      </c>
    </row>
    <row r="212" spans="3:32">
      <c r="C212" s="1134" t="s">
        <v>1249</v>
      </c>
      <c r="D212" s="1134" t="s">
        <v>1094</v>
      </c>
      <c r="E212" s="1134" t="s">
        <v>837</v>
      </c>
      <c r="F212" s="1134" t="s">
        <v>1226</v>
      </c>
      <c r="G212" s="1134">
        <f>SUMIFS(INDEX(ArchetypeDemand!$I$106:$AH$150,,MATCH(G$128,ArchetypeDemand!$I$4:$AH$4,0)),ArchetypeDemand!$F$106:$F$150,$F212)*'SHWLP-Det'!$R$23</f>
        <v>1.2955503732677917E-2</v>
      </c>
      <c r="H212" s="1134">
        <f>SUMIFS(INDEX(ArchetypeDemand!$I$106:$AH$150,,MATCH(H$128,ArchetypeDemand!$I$4:$AH$4,0)),ArchetypeDemand!$F$106:$F$150,$F212)*'SHWLP-Det'!$R$23</f>
        <v>6.3015223429988679E-2</v>
      </c>
      <c r="I212" s="1134">
        <f>SUMIFS(INDEX(ArchetypeDemand!$I$106:$AH$150,,MATCH(I$128,ArchetypeDemand!$I$4:$AH$4,0)),ArchetypeDemand!$F$106:$F$150,$F212)*'SHWLP-Det'!$R$23</f>
        <v>3.1304483990640675E-2</v>
      </c>
      <c r="J212" s="1134">
        <f>SUMIFS(INDEX(ArchetypeDemand!$I$106:$AH$150,,MATCH(J$128,ArchetypeDemand!$I$4:$AH$4,0)),ArchetypeDemand!$F$106:$F$150,$F212)*'SHWLP-Det'!$R$23</f>
        <v>2.5290188842571618E-2</v>
      </c>
      <c r="K212" s="1134">
        <f>SUMIFS(INDEX(ArchetypeDemand!$I$106:$AH$150,,MATCH(K$128,ArchetypeDemand!$I$4:$AH$4,0)),ArchetypeDemand!$F$106:$F$150,$F212)*'SHWLP-Det'!$R$23</f>
        <v>1.8288194538589923E-2</v>
      </c>
      <c r="L212" s="1134">
        <f>SUMIFS(INDEX(ArchetypeDemand!$I$106:$AH$150,,MATCH(L$128,ArchetypeDemand!$I$4:$AH$4,0)),ArchetypeDemand!$F$106:$F$150,$F212)*'SHWLP-Det'!$R$23</f>
        <v>1.0625394243282148E-2</v>
      </c>
      <c r="M212" s="1134">
        <f>SUMIFS(INDEX(ArchetypeDemand!$I$106:$AH$150,,MATCH(M$128,ArchetypeDemand!$I$4:$AH$4,0)),ArchetypeDemand!$F$106:$F$150,$F212)*'SHWLP-Det'!$R$23</f>
        <v>1.940395406474376E-2</v>
      </c>
      <c r="N212" s="1134">
        <f>SUMIFS(INDEX(ArchetypeDemand!$I$106:$AH$150,,MATCH(N$128,ArchetypeDemand!$I$4:$AH$4,0)),ArchetypeDemand!$F$106:$F$150,$F212)*'SHWLP-Det'!$R$23</f>
        <v>3.5831769172724126E-2</v>
      </c>
      <c r="O212" s="1134">
        <f>SUMIFS(INDEX(ArchetypeDemand!$I$106:$AH$150,,MATCH(O$128,ArchetypeDemand!$I$4:$AH$4,0)),ArchetypeDemand!$F$106:$F$150,$F212)*'SHWLP-Det'!$R$23</f>
        <v>1.9461030613812321E-2</v>
      </c>
      <c r="P212" s="1134">
        <f>SUMIFS(INDEX(ArchetypeDemand!$I$106:$AH$150,,MATCH(P$128,ArchetypeDemand!$I$4:$AH$4,0)),ArchetypeDemand!$F$106:$F$150,$F212)*'SHWLP-Det'!$R$23</f>
        <v>1.9160376523379749E-2</v>
      </c>
      <c r="Q212" s="1134">
        <f>SUMIFS(INDEX(ArchetypeDemand!$I$106:$AH$150,,MATCH(Q$128,ArchetypeDemand!$I$4:$AH$4,0)),ArchetypeDemand!$F$106:$F$150,$F212)*'SHWLP-Det'!$R$23</f>
        <v>4.1663056072509856E-2</v>
      </c>
      <c r="R212" s="1134">
        <f>SUMIFS(INDEX(ArchetypeDemand!$I$106:$AH$150,,MATCH(R$128,ArchetypeDemand!$I$4:$AH$4,0)),ArchetypeDemand!$F$106:$F$150,$F212)*'SHWLP-Det'!$R$23</f>
        <v>2.6100172373456684E-2</v>
      </c>
      <c r="S212" s="1134">
        <f>SUMIFS(INDEX(ArchetypeDemand!$I$106:$AH$150,,MATCH(S$128,ArchetypeDemand!$I$4:$AH$4,0)),ArchetypeDemand!$F$106:$F$150,$F212)*'SHWLP-Det'!$R$23</f>
        <v>2.9614371223303872E-2</v>
      </c>
      <c r="T212" s="1134">
        <f>SUMIFS(INDEX(ArchetypeDemand!$I$106:$AH$150,,MATCH(T$128,ArchetypeDemand!$I$4:$AH$4,0)),ArchetypeDemand!$F$106:$F$150,$F212)*'SHWLP-Det'!$R$23</f>
        <v>9.047083210728403E-2</v>
      </c>
      <c r="U212" s="1134">
        <f>SUMIFS(INDEX(ArchetypeDemand!$I$106:$AH$150,,MATCH(U$128,ArchetypeDemand!$I$4:$AH$4,0)),ArchetypeDemand!$F$106:$F$150,$F212)*'SHWLP-Det'!$R$23</f>
        <v>4.2534867392104644E-2</v>
      </c>
      <c r="V212" s="1134">
        <f>SUMIFS(INDEX(ArchetypeDemand!$I$106:$AH$150,,MATCH(V$128,ArchetypeDemand!$I$4:$AH$4,0)),ArchetypeDemand!$F$106:$F$150,$F212)*'SHWLP-Det'!$R$23</f>
        <v>4.2203526710777511E-2</v>
      </c>
      <c r="W212" s="1134">
        <f>SUMIFS(INDEX(ArchetypeDemand!$I$106:$AH$150,,MATCH(W$128,ArchetypeDemand!$I$4:$AH$4,0)),ArchetypeDemand!$F$106:$F$150,$F212)*'SHWLP-Det'!$R$23</f>
        <v>4.2435985047302567E-2</v>
      </c>
      <c r="X212" s="1134">
        <f>SUMIFS(INDEX(ArchetypeDemand!$I$106:$AH$150,,MATCH(X$128,ArchetypeDemand!$I$4:$AH$4,0)),ArchetypeDemand!$F$106:$F$150,$F212)*'SHWLP-Det'!$R$23</f>
        <v>2.3698233936175695E-2</v>
      </c>
      <c r="Y212" s="1134">
        <f>SUMIFS(INDEX(ArchetypeDemand!$I$106:$AH$150,,MATCH(Y$128,ArchetypeDemand!$I$4:$AH$4,0)),ArchetypeDemand!$F$106:$F$150,$F212)*'SHWLP-Det'!$R$23</f>
        <v>6.1428267936039373E-2</v>
      </c>
      <c r="Z212" s="1134">
        <f>SUMIFS(INDEX(ArchetypeDemand!$I$106:$AH$150,,MATCH(Z$128,ArchetypeDemand!$I$4:$AH$4,0)),ArchetypeDemand!$F$106:$F$150,$F212)*'SHWLP-Det'!$R$23</f>
        <v>9.352863349593548E-3</v>
      </c>
      <c r="AA212" s="1134">
        <f>SUMIFS(INDEX(ArchetypeDemand!$I$106:$AH$150,,MATCH(AA$128,ArchetypeDemand!$I$4:$AH$4,0)),ArchetypeDemand!$F$106:$F$150,$F212)*'SHWLP-Det'!$R$23</f>
        <v>4.2561664987066573E-2</v>
      </c>
      <c r="AB212" s="1134">
        <f>SUMIFS(INDEX(ArchetypeDemand!$I$106:$AH$150,,MATCH(AB$128,ArchetypeDemand!$I$4:$AH$4,0)),ArchetypeDemand!$F$106:$F$150,$F212)*'SHWLP-Det'!$R$23</f>
        <v>1.9769302667327942E-2</v>
      </c>
      <c r="AC212" s="1134">
        <f>SUMIFS(INDEX(ArchetypeDemand!$I$106:$AH$150,,MATCH(AC$128,ArchetypeDemand!$I$4:$AH$4,0)),ArchetypeDemand!$F$106:$F$150,$F212)*'SHWLP-Det'!$R$23</f>
        <v>1.6719663627689937E-2</v>
      </c>
      <c r="AD212" s="1134">
        <f>SUMIFS(INDEX(ArchetypeDemand!$I$106:$AH$150,,MATCH(AD$128,ArchetypeDemand!$I$4:$AH$4,0)),ArchetypeDemand!$F$106:$F$150,$F212)*'SHWLP-Det'!$R$23</f>
        <v>1.8587943435172956E-2</v>
      </c>
      <c r="AE212" s="1134">
        <f>SUMIFS(INDEX(ArchetypeDemand!$I$106:$AH$150,,MATCH(AE$128,ArchetypeDemand!$I$4:$AH$4,0)),ArchetypeDemand!$F$106:$F$150,$F212)*'SHWLP-Det'!$R$23</f>
        <v>4.8148622470017173E-2</v>
      </c>
      <c r="AF212" s="1134">
        <f>SUMIFS(INDEX(ArchetypeDemand!$I$106:$AH$150,,MATCH(AF$128,ArchetypeDemand!$I$4:$AH$4,0)),ArchetypeDemand!$F$106:$F$150,$F212)*'SHWLP-Det'!$R$23</f>
        <v>1.7760242566032099E-2</v>
      </c>
    </row>
    <row r="213" spans="3:32">
      <c r="C213" s="1136" t="s">
        <v>1249</v>
      </c>
      <c r="D213" s="1136" t="s">
        <v>1094</v>
      </c>
      <c r="E213" s="1136" t="s">
        <v>837</v>
      </c>
      <c r="F213" s="1136" t="s">
        <v>1227</v>
      </c>
      <c r="G213" s="1136">
        <f>SUMIFS(INDEX(ArchetypeDemand!$I$106:$AH$150,,MATCH(G$128,ArchetypeDemand!$I$4:$AH$4,0)),ArchetypeDemand!$F$106:$F$150,$F213)*'SHWLP-Det'!$R$23</f>
        <v>5.437803307526321E-3</v>
      </c>
      <c r="H213" s="1136">
        <f>SUMIFS(INDEX(ArchetypeDemand!$I$106:$AH$150,,MATCH(H$128,ArchetypeDemand!$I$4:$AH$4,0)),ArchetypeDemand!$F$106:$F$150,$F213)*'SHWLP-Det'!$R$23</f>
        <v>3.2405038361400879E-2</v>
      </c>
      <c r="I213" s="1136">
        <f>SUMIFS(INDEX(ArchetypeDemand!$I$106:$AH$150,,MATCH(I$128,ArchetypeDemand!$I$4:$AH$4,0)),ArchetypeDemand!$F$106:$F$150,$F213)*'SHWLP-Det'!$R$23</f>
        <v>1.1849719928660596E-2</v>
      </c>
      <c r="J213" s="1136">
        <f>SUMIFS(INDEX(ArchetypeDemand!$I$106:$AH$150,,MATCH(J$128,ArchetypeDemand!$I$4:$AH$4,0)),ArchetypeDemand!$F$106:$F$150,$F213)*'SHWLP-Det'!$R$23</f>
        <v>1.1130452721268686E-2</v>
      </c>
      <c r="K213" s="1136">
        <f>SUMIFS(INDEX(ArchetypeDemand!$I$106:$AH$150,,MATCH(K$128,ArchetypeDemand!$I$4:$AH$4,0)),ArchetypeDemand!$F$106:$F$150,$F213)*'SHWLP-Det'!$R$23</f>
        <v>7.6002886394139933E-3</v>
      </c>
      <c r="L213" s="1136">
        <f>SUMIFS(INDEX(ArchetypeDemand!$I$106:$AH$150,,MATCH(L$128,ArchetypeDemand!$I$4:$AH$4,0)),ArchetypeDemand!$F$106:$F$150,$F213)*'SHWLP-Det'!$R$23</f>
        <v>5.3126971216410739E-3</v>
      </c>
      <c r="M213" s="1136">
        <f>SUMIFS(INDEX(ArchetypeDemand!$I$106:$AH$150,,MATCH(M$128,ArchetypeDemand!$I$4:$AH$4,0)),ArchetypeDemand!$F$106:$F$150,$F213)*'SHWLP-Det'!$R$23</f>
        <v>8.5455797699275568E-3</v>
      </c>
      <c r="N213" s="1136">
        <f>SUMIFS(INDEX(ArchetypeDemand!$I$106:$AH$150,,MATCH(N$128,ArchetypeDemand!$I$4:$AH$4,0)),ArchetypeDemand!$F$106:$F$150,$F213)*'SHWLP-Det'!$R$23</f>
        <v>1.4100396650243102E-2</v>
      </c>
      <c r="O213" s="1136">
        <f>SUMIFS(INDEX(ArchetypeDemand!$I$106:$AH$150,,MATCH(O$128,ArchetypeDemand!$I$4:$AH$4,0)),ArchetypeDemand!$F$106:$F$150,$F213)*'SHWLP-Det'!$R$23</f>
        <v>8.6493469394721429E-3</v>
      </c>
      <c r="P213" s="1136">
        <f>SUMIFS(INDEX(ArchetypeDemand!$I$106:$AH$150,,MATCH(P$128,ArchetypeDemand!$I$4:$AH$4,0)),ArchetypeDemand!$F$106:$F$150,$F213)*'SHWLP-Det'!$R$23</f>
        <v>8.8117993576985604E-3</v>
      </c>
      <c r="Q213" s="1136">
        <f>SUMIFS(INDEX(ArchetypeDemand!$I$106:$AH$150,,MATCH(Q$128,ArchetypeDemand!$I$4:$AH$4,0)),ArchetypeDemand!$F$106:$F$150,$F213)*'SHWLP-Det'!$R$23</f>
        <v>1.6431316444383406E-2</v>
      </c>
      <c r="R213" s="1136">
        <f>SUMIFS(INDEX(ArchetypeDemand!$I$106:$AH$150,,MATCH(R$128,ArchetypeDemand!$I$4:$AH$4,0)),ArchetypeDemand!$F$106:$F$150,$F213)*'SHWLP-Det'!$R$23</f>
        <v>1.1633293961276761E-2</v>
      </c>
      <c r="S213" s="1136">
        <f>SUMIFS(INDEX(ArchetypeDemand!$I$106:$AH$150,,MATCH(S$128,ArchetypeDemand!$I$4:$AH$4,0)),ArchetypeDemand!$F$106:$F$150,$F213)*'SHWLP-Det'!$R$23</f>
        <v>1.4390427076224649E-2</v>
      </c>
      <c r="T213" s="1136">
        <f>SUMIFS(INDEX(ArchetypeDemand!$I$106:$AH$150,,MATCH(T$128,ArchetypeDemand!$I$4:$AH$4,0)),ArchetypeDemand!$F$106:$F$150,$F213)*'SHWLP-Det'!$R$23</f>
        <v>3.8701786879053242E-2</v>
      </c>
      <c r="U213" s="1136">
        <f>SUMIFS(INDEX(ArchetypeDemand!$I$106:$AH$150,,MATCH(U$128,ArchetypeDemand!$I$4:$AH$4,0)),ArchetypeDemand!$F$106:$F$150,$F213)*'SHWLP-Det'!$R$23</f>
        <v>1.9607383643194035E-2</v>
      </c>
      <c r="V213" s="1136">
        <f>SUMIFS(INDEX(ArchetypeDemand!$I$106:$AH$150,,MATCH(V$128,ArchetypeDemand!$I$4:$AH$4,0)),ArchetypeDemand!$F$106:$F$150,$F213)*'SHWLP-Det'!$R$23</f>
        <v>1.7149843009679908E-2</v>
      </c>
      <c r="W213" s="1136">
        <f>SUMIFS(INDEX(ArchetypeDemand!$I$106:$AH$150,,MATCH(W$128,ArchetypeDemand!$I$4:$AH$4,0)),ArchetypeDemand!$F$106:$F$150,$F213)*'SHWLP-Det'!$R$23</f>
        <v>2.0854104282678157E-2</v>
      </c>
      <c r="X213" s="1136">
        <f>SUMIFS(INDEX(ArchetypeDemand!$I$106:$AH$150,,MATCH(X$128,ArchetypeDemand!$I$4:$AH$4,0)),ArchetypeDemand!$F$106:$F$150,$F213)*'SHWLP-Det'!$R$23</f>
        <v>7.8504572137866532E-3</v>
      </c>
      <c r="Y213" s="1136">
        <f>SUMIFS(INDEX(ArchetypeDemand!$I$106:$AH$150,,MATCH(Y$128,ArchetypeDemand!$I$4:$AH$4,0)),ArchetypeDemand!$F$106:$F$150,$F213)*'SHWLP-Det'!$R$23</f>
        <v>2.7689738484201441E-2</v>
      </c>
      <c r="Z213" s="1136">
        <f>SUMIFS(INDEX(ArchetypeDemand!$I$106:$AH$150,,MATCH(Z$128,ArchetypeDemand!$I$4:$AH$4,0)),ArchetypeDemand!$F$106:$F$150,$F213)*'SHWLP-Det'!$R$23</f>
        <v>5.4030485485699791E-3</v>
      </c>
      <c r="AA213" s="1136">
        <f>SUMIFS(INDEX(ArchetypeDemand!$I$106:$AH$150,,MATCH(AA$128,ArchetypeDemand!$I$4:$AH$4,0)),ArchetypeDemand!$F$106:$F$150,$F213)*'SHWLP-Det'!$R$23</f>
        <v>2.0081062724606528E-2</v>
      </c>
      <c r="AB213" s="1136">
        <f>SUMIFS(INDEX(ArchetypeDemand!$I$106:$AH$150,,MATCH(AB$128,ArchetypeDemand!$I$4:$AH$4,0)),ArchetypeDemand!$F$106:$F$150,$F213)*'SHWLP-Det'!$R$23</f>
        <v>1.001509394657156E-2</v>
      </c>
      <c r="AC213" s="1136">
        <f>SUMIFS(INDEX(ArchetypeDemand!$I$106:$AH$150,,MATCH(AC$128,ArchetypeDemand!$I$4:$AH$4,0)),ArchetypeDemand!$F$106:$F$150,$F213)*'SHWLP-Det'!$R$23</f>
        <v>8.2533371410571342E-3</v>
      </c>
      <c r="AD213" s="1136">
        <f>SUMIFS(INDEX(ArchetypeDemand!$I$106:$AH$150,,MATCH(AD$128,ArchetypeDemand!$I$4:$AH$4,0)),ArchetypeDemand!$F$106:$F$150,$F213)*'SHWLP-Det'!$R$23</f>
        <v>8.9976421845619822E-3</v>
      </c>
      <c r="AE213" s="1136">
        <f>SUMIFS(INDEX(ArchetypeDemand!$I$106:$AH$150,,MATCH(AE$128,ArchetypeDemand!$I$4:$AH$4,0)),ArchetypeDemand!$F$106:$F$150,$F213)*'SHWLP-Det'!$R$23</f>
        <v>2.2255038549874404E-2</v>
      </c>
      <c r="AF213" s="1136">
        <f>SUMIFS(INDEX(ArchetypeDemand!$I$106:$AH$150,,MATCH(AF$128,ArchetypeDemand!$I$4:$AH$4,0)),ArchetypeDemand!$F$106:$F$150,$F213)*'SHWLP-Det'!$R$23</f>
        <v>8.0988230585446793E-3</v>
      </c>
    </row>
    <row r="214" spans="3:32">
      <c r="C214" s="1134" t="s">
        <v>1249</v>
      </c>
      <c r="D214" s="1134" t="s">
        <v>1094</v>
      </c>
      <c r="E214" s="1134" t="s">
        <v>837</v>
      </c>
      <c r="F214" s="1134" t="s">
        <v>1228</v>
      </c>
      <c r="G214" s="1134">
        <f>SUMIFS(INDEX(ArchetypeDemand!$I$106:$AH$150,,MATCH(G$128,ArchetypeDemand!$I$4:$AH$4,0)),ArchetypeDemand!$F$106:$F$150,$F214)*'SHWLP-Det'!$R$23</f>
        <v>2.9193736651005366E-3</v>
      </c>
      <c r="H214" s="1134">
        <f>SUMIFS(INDEX(ArchetypeDemand!$I$106:$AH$150,,MATCH(H$128,ArchetypeDemand!$I$4:$AH$4,0)),ArchetypeDemand!$F$106:$F$150,$F214)*'SHWLP-Det'!$R$23</f>
        <v>1.5787383044947752E-2</v>
      </c>
      <c r="I214" s="1134">
        <f>SUMIFS(INDEX(ArchetypeDemand!$I$106:$AH$150,,MATCH(I$128,ArchetypeDemand!$I$4:$AH$4,0)),ArchetypeDemand!$F$106:$F$150,$F214)*'SHWLP-Det'!$R$23</f>
        <v>4.9385170311180213E-3</v>
      </c>
      <c r="J214" s="1134">
        <f>SUMIFS(INDEX(ArchetypeDemand!$I$106:$AH$150,,MATCH(J$128,ArchetypeDemand!$I$4:$AH$4,0)),ArchetypeDemand!$F$106:$F$150,$F214)*'SHWLP-Det'!$R$23</f>
        <v>5.2969184023455946E-3</v>
      </c>
      <c r="K214" s="1134">
        <f>SUMIFS(INDEX(ArchetypeDemand!$I$106:$AH$150,,MATCH(K$128,ArchetypeDemand!$I$4:$AH$4,0)),ArchetypeDemand!$F$106:$F$150,$F214)*'SHWLP-Det'!$R$23</f>
        <v>4.5720486346474808E-3</v>
      </c>
      <c r="L214" s="1134">
        <f>SUMIFS(INDEX(ArchetypeDemand!$I$106:$AH$150,,MATCH(L$128,ArchetypeDemand!$I$4:$AH$4,0)),ArchetypeDemand!$F$106:$F$150,$F214)*'SHWLP-Det'!$R$23</f>
        <v>3.7228625715240438E-3</v>
      </c>
      <c r="M214" s="1134">
        <f>SUMIFS(INDEX(ArchetypeDemand!$I$106:$AH$150,,MATCH(M$128,ArchetypeDemand!$I$4:$AH$4,0)),ArchetypeDemand!$F$106:$F$150,$F214)*'SHWLP-Det'!$R$23</f>
        <v>3.828524270013416E-3</v>
      </c>
      <c r="N214" s="1134">
        <f>SUMIFS(INDEX(ArchetypeDemand!$I$106:$AH$150,,MATCH(N$128,ArchetypeDemand!$I$4:$AH$4,0)),ArchetypeDemand!$F$106:$F$150,$F214)*'SHWLP-Det'!$R$23</f>
        <v>6.9546273363555646E-3</v>
      </c>
      <c r="O214" s="1134">
        <f>SUMIFS(INDEX(ArchetypeDemand!$I$106:$AH$150,,MATCH(O$128,ArchetypeDemand!$I$4:$AH$4,0)),ArchetypeDemand!$F$106:$F$150,$F214)*'SHWLP-Det'!$R$23</f>
        <v>5.1765030925628739E-3</v>
      </c>
      <c r="P214" s="1134">
        <f>SUMIFS(INDEX(ArchetypeDemand!$I$106:$AH$150,,MATCH(P$128,ArchetypeDemand!$I$4:$AH$4,0)),ArchetypeDemand!$F$106:$F$150,$F214)*'SHWLP-Det'!$R$23</f>
        <v>4.9910031562004648E-3</v>
      </c>
      <c r="Q214" s="1134">
        <f>SUMIFS(INDEX(ArchetypeDemand!$I$106:$AH$150,,MATCH(Q$128,ArchetypeDemand!$I$4:$AH$4,0)),ArchetypeDemand!$F$106:$F$150,$F214)*'SHWLP-Det'!$R$23</f>
        <v>7.2024516056423387E-3</v>
      </c>
      <c r="R214" s="1134">
        <f>SUMIFS(INDEX(ArchetypeDemand!$I$106:$AH$150,,MATCH(R$128,ArchetypeDemand!$I$4:$AH$4,0)),ArchetypeDemand!$F$106:$F$150,$F214)*'SHWLP-Det'!$R$23</f>
        <v>6.2000907480771108E-3</v>
      </c>
      <c r="S214" s="1134">
        <f>SUMIFS(INDEX(ArchetypeDemand!$I$106:$AH$150,,MATCH(S$128,ArchetypeDemand!$I$4:$AH$4,0)),ArchetypeDemand!$F$106:$F$150,$F214)*'SHWLP-Det'!$R$23</f>
        <v>6.4597572991229885E-3</v>
      </c>
      <c r="T214" s="1134">
        <f>SUMIFS(INDEX(ArchetypeDemand!$I$106:$AH$150,,MATCH(T$128,ArchetypeDemand!$I$4:$AH$4,0)),ArchetypeDemand!$F$106:$F$150,$F214)*'SHWLP-Det'!$R$23</f>
        <v>1.8067140033971436E-2</v>
      </c>
      <c r="U214" s="1134">
        <f>SUMIFS(INDEX(ArchetypeDemand!$I$106:$AH$150,,MATCH(U$128,ArchetypeDemand!$I$4:$AH$4,0)),ArchetypeDemand!$F$106:$F$150,$F214)*'SHWLP-Det'!$R$23</f>
        <v>8.5696168766419955E-3</v>
      </c>
      <c r="V214" s="1134">
        <f>SUMIFS(INDEX(ArchetypeDemand!$I$106:$AH$150,,MATCH(V$128,ArchetypeDemand!$I$4:$AH$4,0)),ArchetypeDemand!$F$106:$F$150,$F214)*'SHWLP-Det'!$R$23</f>
        <v>9.0562016841629865E-3</v>
      </c>
      <c r="W214" s="1134">
        <f>SUMIFS(INDEX(ArchetypeDemand!$I$106:$AH$150,,MATCH(W$128,ArchetypeDemand!$I$4:$AH$4,0)),ArchetypeDemand!$F$106:$F$150,$F214)*'SHWLP-Det'!$R$23</f>
        <v>1.1498868414750835E-2</v>
      </c>
      <c r="X214" s="1134">
        <f>SUMIFS(INDEX(ArchetypeDemand!$I$106:$AH$150,,MATCH(X$128,ArchetypeDemand!$I$4:$AH$4,0)),ArchetypeDemand!$F$106:$F$150,$F214)*'SHWLP-Det'!$R$23</f>
        <v>4.2456554319458438E-3</v>
      </c>
      <c r="Y214" s="1134">
        <f>SUMIFS(INDEX(ArchetypeDemand!$I$106:$AH$150,,MATCH(Y$128,ArchetypeDemand!$I$4:$AH$4,0)),ArchetypeDemand!$F$106:$F$150,$F214)*'SHWLP-Det'!$R$23</f>
        <v>1.302523265089788E-2</v>
      </c>
      <c r="Z214" s="1134">
        <f>SUMIFS(INDEX(ArchetypeDemand!$I$106:$AH$150,,MATCH(Z$128,ArchetypeDemand!$I$4:$AH$4,0)),ArchetypeDemand!$F$106:$F$150,$F214)*'SHWLP-Det'!$R$23</f>
        <v>2.9437298988760573E-3</v>
      </c>
      <c r="AA214" s="1134">
        <f>SUMIFS(INDEX(ArchetypeDemand!$I$106:$AH$150,,MATCH(AA$128,ArchetypeDemand!$I$4:$AH$4,0)),ArchetypeDemand!$F$106:$F$150,$F214)*'SHWLP-Det'!$R$23</f>
        <v>1.0281825840970099E-2</v>
      </c>
      <c r="AB214" s="1134">
        <f>SUMIFS(INDEX(ArchetypeDemand!$I$106:$AH$150,,MATCH(AB$128,ArchetypeDemand!$I$4:$AH$4,0)),ArchetypeDemand!$F$106:$F$150,$F214)*'SHWLP-Det'!$R$23</f>
        <v>5.7829558389031147E-3</v>
      </c>
      <c r="AC214" s="1134">
        <f>SUMIFS(INDEX(ArchetypeDemand!$I$106:$AH$150,,MATCH(AC$128,ArchetypeDemand!$I$4:$AH$4,0)),ArchetypeDemand!$F$106:$F$150,$F214)*'SHWLP-Det'!$R$23</f>
        <v>5.0584969574221147E-3</v>
      </c>
      <c r="AD214" s="1134">
        <f>SUMIFS(INDEX(ArchetypeDemand!$I$106:$AH$150,,MATCH(AD$128,ArchetypeDemand!$I$4:$AH$4,0)),ArchetypeDemand!$F$106:$F$150,$F214)*'SHWLP-Det'!$R$23</f>
        <v>4.5796382376513088E-3</v>
      </c>
      <c r="AE214" s="1134">
        <f>SUMIFS(INDEX(ArchetypeDemand!$I$106:$AH$150,,MATCH(AE$128,ArchetypeDemand!$I$4:$AH$4,0)),ArchetypeDemand!$F$106:$F$150,$F214)*'SHWLP-Det'!$R$23</f>
        <v>1.0696446630668457E-2</v>
      </c>
      <c r="AF214" s="1134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38" t="s">
        <v>1249</v>
      </c>
      <c r="D215" s="1138" t="s">
        <v>1094</v>
      </c>
      <c r="E215" s="1138" t="s">
        <v>837</v>
      </c>
      <c r="F215" s="1138" t="s">
        <v>1229</v>
      </c>
      <c r="G215" s="1138">
        <f>SUMIFS(INDEX(ArchetypeDemand!$I$106:$AH$150,,MATCH(G$128,ArchetypeDemand!$I$4:$AH$4,0)),ArchetypeDemand!$F$106:$F$150,$F215)*'SHWLP-Det'!$R$23</f>
        <v>5.4879213103606658E-3</v>
      </c>
      <c r="H215" s="1138">
        <f>SUMIFS(INDEX(ArchetypeDemand!$I$106:$AH$150,,MATCH(H$128,ArchetypeDemand!$I$4:$AH$4,0)),ArchetypeDemand!$F$106:$F$150,$F215)*'SHWLP-Det'!$R$23</f>
        <v>1.7814224178328519E-2</v>
      </c>
      <c r="I215" s="1138">
        <f>SUMIFS(INDEX(ArchetypeDemand!$I$106:$AH$150,,MATCH(I$128,ArchetypeDemand!$I$4:$AH$4,0)),ArchetypeDemand!$F$106:$F$150,$F215)*'SHWLP-Det'!$R$23</f>
        <v>8.6934225423813093E-3</v>
      </c>
      <c r="J215" s="1138">
        <f>SUMIFS(INDEX(ArchetypeDemand!$I$106:$AH$150,,MATCH(J$128,ArchetypeDemand!$I$4:$AH$4,0)),ArchetypeDemand!$F$106:$F$150,$F215)*'SHWLP-Det'!$R$23</f>
        <v>1.069769794983522E-2</v>
      </c>
      <c r="K215" s="1138">
        <f>SUMIFS(INDEX(ArchetypeDemand!$I$106:$AH$150,,MATCH(K$128,ArchetypeDemand!$I$4:$AH$4,0)),ArchetypeDemand!$F$106:$F$150,$F215)*'SHWLP-Det'!$R$23</f>
        <v>8.1198396206239344E-3</v>
      </c>
      <c r="L215" s="1138">
        <f>SUMIFS(INDEX(ArchetypeDemand!$I$106:$AH$150,,MATCH(L$128,ArchetypeDemand!$I$4:$AH$4,0)),ArchetypeDemand!$F$106:$F$150,$F215)*'SHWLP-Det'!$R$23</f>
        <v>5.9088850779349597E-3</v>
      </c>
      <c r="M215" s="1138">
        <f>SUMIFS(INDEX(ArchetypeDemand!$I$106:$AH$150,,MATCH(M$128,ArchetypeDemand!$I$4:$AH$4,0)),ArchetypeDemand!$F$106:$F$150,$F215)*'SHWLP-Det'!$R$23</f>
        <v>6.768517310126107E-3</v>
      </c>
      <c r="N215" s="1138">
        <f>SUMIFS(INDEX(ArchetypeDemand!$I$106:$AH$150,,MATCH(N$128,ArchetypeDemand!$I$4:$AH$4,0)),ArchetypeDemand!$F$106:$F$150,$F215)*'SHWLP-Det'!$R$23</f>
        <v>1.2306602707250756E-2</v>
      </c>
      <c r="O215" s="1138">
        <f>SUMIFS(INDEX(ArchetypeDemand!$I$106:$AH$150,,MATCH(O$128,ArchetypeDemand!$I$4:$AH$4,0)),ArchetypeDemand!$F$106:$F$150,$F215)*'SHWLP-Det'!$R$23</f>
        <v>8.6984909561736903E-3</v>
      </c>
      <c r="P215" s="1138">
        <f>SUMIFS(INDEX(ArchetypeDemand!$I$106:$AH$150,,MATCH(P$128,ArchetypeDemand!$I$4:$AH$4,0)),ArchetypeDemand!$F$106:$F$150,$F215)*'SHWLP-Det'!$R$23</f>
        <v>1.0137093981096424E-2</v>
      </c>
      <c r="Q215" s="1138">
        <f>SUMIFS(INDEX(ArchetypeDemand!$I$106:$AH$150,,MATCH(Q$128,ArchetypeDemand!$I$4:$AH$4,0)),ArchetypeDemand!$F$106:$F$150,$F215)*'SHWLP-Det'!$R$23</f>
        <v>1.1764776256161761E-2</v>
      </c>
      <c r="R215" s="1138">
        <f>SUMIFS(INDEX(ArchetypeDemand!$I$106:$AH$150,,MATCH(R$128,ArchetypeDemand!$I$4:$AH$4,0)),ArchetypeDemand!$F$106:$F$150,$F215)*'SHWLP-Det'!$R$23</f>
        <v>9.8915493905381152E-3</v>
      </c>
      <c r="S215" s="1138">
        <f>SUMIFS(INDEX(ArchetypeDemand!$I$106:$AH$150,,MATCH(S$128,ArchetypeDemand!$I$4:$AH$4,0)),ArchetypeDemand!$F$106:$F$150,$F215)*'SHWLP-Det'!$R$23</f>
        <v>1.3409818757572202E-2</v>
      </c>
      <c r="T215" s="1138">
        <f>SUMIFS(INDEX(ArchetypeDemand!$I$106:$AH$150,,MATCH(T$128,ArchetypeDemand!$I$4:$AH$4,0)),ArchetypeDemand!$F$106:$F$150,$F215)*'SHWLP-Det'!$R$23</f>
        <v>3.6580215461451508E-2</v>
      </c>
      <c r="U215" s="1138">
        <f>SUMIFS(INDEX(ArchetypeDemand!$I$106:$AH$150,,MATCH(U$128,ArchetypeDemand!$I$4:$AH$4,0)),ArchetypeDemand!$F$106:$F$150,$F215)*'SHWLP-Det'!$R$23</f>
        <v>1.5736021633132084E-2</v>
      </c>
      <c r="V215" s="1138">
        <f>SUMIFS(INDEX(ArchetypeDemand!$I$106:$AH$150,,MATCH(V$128,ArchetypeDemand!$I$4:$AH$4,0)),ArchetypeDemand!$F$106:$F$150,$F215)*'SHWLP-Det'!$R$23</f>
        <v>1.6404197661432952E-2</v>
      </c>
      <c r="W215" s="1138">
        <f>SUMIFS(INDEX(ArchetypeDemand!$I$106:$AH$150,,MATCH(W$128,ArchetypeDemand!$I$4:$AH$4,0)),ArchetypeDemand!$F$106:$F$150,$F215)*'SHWLP-Det'!$R$23</f>
        <v>1.9821984908281649E-2</v>
      </c>
      <c r="X215" s="1138">
        <f>SUMIFS(INDEX(ArchetypeDemand!$I$106:$AH$150,,MATCH(X$128,ArchetypeDemand!$I$4:$AH$4,0)),ArchetypeDemand!$F$106:$F$150,$F215)*'SHWLP-Det'!$R$23</f>
        <v>5.6208205561295594E-3</v>
      </c>
      <c r="Y215" s="1138">
        <f>SUMIFS(INDEX(ArchetypeDemand!$I$106:$AH$150,,MATCH(Y$128,ArchetypeDemand!$I$4:$AH$4,0)),ArchetypeDemand!$F$106:$F$150,$F215)*'SHWLP-Det'!$R$23</f>
        <v>2.465263545633355E-2</v>
      </c>
      <c r="Z215" s="1138">
        <f>SUMIFS(INDEX(ArchetypeDemand!$I$106:$AH$150,,MATCH(Z$128,ArchetypeDemand!$I$4:$AH$4,0)),ArchetypeDemand!$F$106:$F$150,$F215)*'SHWLP-Det'!$R$23</f>
        <v>6.5830246683726166E-3</v>
      </c>
      <c r="AA215" s="1138">
        <f>SUMIFS(INDEX(ArchetypeDemand!$I$106:$AH$150,,MATCH(AA$128,ArchetypeDemand!$I$4:$AH$4,0)),ArchetypeDemand!$F$106:$F$150,$F215)*'SHWLP-Det'!$R$23</f>
        <v>1.9692310508976629E-2</v>
      </c>
      <c r="AB215" s="1138">
        <f>SUMIFS(INDEX(ArchetypeDemand!$I$106:$AH$150,,MATCH(AB$128,ArchetypeDemand!$I$4:$AH$4,0)),ArchetypeDemand!$F$106:$F$150,$F215)*'SHWLP-Det'!$R$23</f>
        <v>1.2957299548820512E-2</v>
      </c>
      <c r="AC215" s="1138">
        <f>SUMIFS(INDEX(ArchetypeDemand!$I$106:$AH$150,,MATCH(AC$128,ArchetypeDemand!$I$4:$AH$4,0)),ArchetypeDemand!$F$106:$F$150,$F215)*'SHWLP-Det'!$R$23</f>
        <v>8.3465199797464907E-3</v>
      </c>
      <c r="AD215" s="1138">
        <f>SUMIFS(INDEX(ArchetypeDemand!$I$106:$AH$150,,MATCH(AD$128,ArchetypeDemand!$I$4:$AH$4,0)),ArchetypeDemand!$F$106:$F$150,$F215)*'SHWLP-Det'!$R$23</f>
        <v>9.0784593299323008E-3</v>
      </c>
      <c r="AE215" s="1138">
        <f>SUMIFS(INDEX(ArchetypeDemand!$I$106:$AH$150,,MATCH(AE$128,ArchetypeDemand!$I$4:$AH$4,0)),ArchetypeDemand!$F$106:$F$150,$F215)*'SHWLP-Det'!$R$23</f>
        <v>1.8645718443624254E-2</v>
      </c>
      <c r="AF215" s="1138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1" t="s">
        <v>1250</v>
      </c>
      <c r="D216" s="1141" t="s">
        <v>1094</v>
      </c>
      <c r="E216" s="1141" t="s">
        <v>837</v>
      </c>
      <c r="F216" s="1141" t="s">
        <v>938</v>
      </c>
      <c r="G216" s="1141">
        <f>SUM(ArchetypeDemand!I106:I150)*'SHWLP-Det'!$R$49</f>
        <v>5.2476767234767324E-2</v>
      </c>
      <c r="H216" s="1141">
        <f>SUM(ArchetypeDemand!J106:J150)*'SHWLP-Det'!$R$49</f>
        <v>0.27244619748740778</v>
      </c>
      <c r="I216" s="1141">
        <f>SUM(ArchetypeDemand!K106:K150)*'SHWLP-Det'!$R$49</f>
        <v>0.14701695044436966</v>
      </c>
      <c r="J216" s="1141">
        <f>SUM(ArchetypeDemand!L106:L150)*'SHWLP-Det'!$R$49</f>
        <v>0.10135080594435721</v>
      </c>
      <c r="K216" s="1141">
        <f>SUM(ArchetypeDemand!M106:M150)*'SHWLP-Det'!$R$49</f>
        <v>7.9055259882625226E-2</v>
      </c>
      <c r="L216" s="1141">
        <f>SUM(ArchetypeDemand!N106:N150)*'SHWLP-Det'!$R$49</f>
        <v>4.7149548718083356E-2</v>
      </c>
      <c r="M216" s="1141">
        <f>SUM(ArchetypeDemand!O106:O150)*'SHWLP-Det'!$R$49</f>
        <v>9.1528632617246752E-2</v>
      </c>
      <c r="N216" s="1141">
        <f>SUM(ArchetypeDemand!P106:P150)*'SHWLP-Det'!$R$49</f>
        <v>0.16651722774343419</v>
      </c>
      <c r="O216" s="1141">
        <f>SUM(ArchetypeDemand!Q106:Q150)*'SHWLP-Det'!$R$49</f>
        <v>7.7457175516213742E-2</v>
      </c>
      <c r="P216" s="1141">
        <f>SUM(ArchetypeDemand!R106:R150)*'SHWLP-Det'!$R$49</f>
        <v>8.1613451108267066E-2</v>
      </c>
      <c r="Q216" s="1141">
        <f>SUM(ArchetypeDemand!S106:S150)*'SHWLP-Det'!$R$49</f>
        <v>0.16435445866346615</v>
      </c>
      <c r="R216" s="1141">
        <f>SUM(ArchetypeDemand!T106:T150)*'SHWLP-Det'!$R$49</f>
        <v>0.10929823440325179</v>
      </c>
      <c r="S216" s="1141">
        <f>SUM(ArchetypeDemand!U106:U150)*'SHWLP-Det'!$R$49</f>
        <v>0.12720891810100521</v>
      </c>
      <c r="T216" s="1141">
        <f>SUM(ArchetypeDemand!V106:V150)*'SHWLP-Det'!$R$49</f>
        <v>0.43034430607767982</v>
      </c>
      <c r="U216" s="1141">
        <f>SUM(ArchetypeDemand!W106:W150)*'SHWLP-Det'!$R$49</f>
        <v>0.17647448017615575</v>
      </c>
      <c r="V216" s="1141">
        <f>SUM(ArchetypeDemand!X106:X150)*'SHWLP-Det'!$R$49</f>
        <v>0.15888478544220647</v>
      </c>
      <c r="W216" s="1141">
        <f>SUM(ArchetypeDemand!Y106:Y150)*'SHWLP-Det'!$R$49</f>
        <v>0.1696266432119348</v>
      </c>
      <c r="X216" s="1141">
        <f>SUM(ArchetypeDemand!Z106:Z150)*'SHWLP-Det'!$R$49</f>
        <v>9.2867403491439682E-2</v>
      </c>
      <c r="Y216" s="1141">
        <f>SUM(ArchetypeDemand!AA106:AA150)*'SHWLP-Det'!$R$49</f>
        <v>0.26863019990172055</v>
      </c>
      <c r="Z216" s="1141">
        <f>SUM(ArchetypeDemand!AB106:AB150)*'SHWLP-Det'!$R$49</f>
        <v>4.4152655265335961E-2</v>
      </c>
      <c r="AA216" s="1141">
        <f>SUM(ArchetypeDemand!AC106:AC150)*'SHWLP-Det'!$R$49</f>
        <v>0.16833749558521027</v>
      </c>
      <c r="AB216" s="1141">
        <f>SUM(ArchetypeDemand!AD106:AD150)*'SHWLP-Det'!$R$49</f>
        <v>8.77167081935597E-2</v>
      </c>
      <c r="AC216" s="1141">
        <f>SUM(ArchetypeDemand!AE106:AE150)*'SHWLP-Det'!$R$49</f>
        <v>7.0316093610339137E-2</v>
      </c>
      <c r="AD216" s="1141">
        <f>SUM(ArchetypeDemand!AF106:AF150)*'SHWLP-Det'!$R$49</f>
        <v>8.7905336717350999E-2</v>
      </c>
      <c r="AE216" s="1141">
        <f>SUM(ArchetypeDemand!AG106:AG150)*'SHWLP-Det'!$R$49</f>
        <v>0.19763539593868443</v>
      </c>
      <c r="AF216" s="1141">
        <f>SUM(ArchetypeDemand!AH106:AH150)*'SHWLP-Det'!$R$49</f>
        <v>6.8670981594841293E-2</v>
      </c>
    </row>
    <row r="217" spans="3:32" ht="15">
      <c r="C217" s="1137" t="s">
        <v>1221</v>
      </c>
      <c r="D217" s="1137"/>
      <c r="E217" s="1137"/>
      <c r="F217" s="1137"/>
      <c r="G217" s="1137"/>
      <c r="H217" s="1137"/>
      <c r="I217" s="1137"/>
      <c r="J217" s="1137"/>
      <c r="K217" s="1137"/>
      <c r="L217" s="1137"/>
      <c r="M217" s="1137"/>
      <c r="N217" s="1137"/>
      <c r="O217" s="1137"/>
      <c r="P217" s="1137"/>
      <c r="Q217" s="1137"/>
      <c r="R217" s="1137"/>
      <c r="S217" s="1137"/>
      <c r="T217" s="1137"/>
      <c r="U217" s="1137"/>
      <c r="V217" s="1137"/>
      <c r="W217" s="1137"/>
      <c r="X217" s="1137"/>
      <c r="Y217" s="1137"/>
      <c r="Z217" s="1137"/>
      <c r="AA217" s="1137"/>
      <c r="AB217" s="1137"/>
      <c r="AC217" s="1137"/>
      <c r="AD217" s="1137"/>
      <c r="AE217" s="1137"/>
      <c r="AF217" s="1137"/>
    </row>
    <row r="218" spans="3:32">
      <c r="C218" s="1145" t="s">
        <v>1251</v>
      </c>
      <c r="D218" s="1134" t="s">
        <v>1094</v>
      </c>
      <c r="E218" s="1134" t="s">
        <v>1252</v>
      </c>
      <c r="F218" s="1134" t="s">
        <v>1224</v>
      </c>
      <c r="G218" s="1134">
        <f>SUMIFS(INDEX(ArchetypeDemand!$I$106:$AH$150,,MATCH(G$128,ArchetypeDemand!$I$4:$AH$4,0)),ArchetypeDemand!$F$106:$F$150,$F218)*'SHWLP-Det'!$R$24</f>
        <v>1.1203969756735507E-3</v>
      </c>
      <c r="H218" s="1134">
        <f>SUMIFS(INDEX(ArchetypeDemand!$I$106:$AH$150,,MATCH(H$128,ArchetypeDemand!$I$4:$AH$4,0)),ArchetypeDemand!$F$106:$F$150,$F218)*'SHWLP-Det'!$R$24</f>
        <v>8.7553113092305665E-3</v>
      </c>
      <c r="I218" s="1134">
        <f>SUMIFS(INDEX(ArchetypeDemand!$I$106:$AH$150,,MATCH(I$128,ArchetypeDemand!$I$4:$AH$4,0)),ArchetypeDemand!$F$106:$F$150,$F218)*'SHWLP-Det'!$R$24</f>
        <v>4.7582461931627877E-3</v>
      </c>
      <c r="J218" s="1134">
        <f>SUMIFS(INDEX(ArchetypeDemand!$I$106:$AH$150,,MATCH(J$128,ArchetypeDemand!$I$4:$AH$4,0)),ArchetypeDemand!$F$106:$F$150,$F218)*'SHWLP-Det'!$R$24</f>
        <v>2.1506278438454245E-3</v>
      </c>
      <c r="K218" s="1134">
        <f>SUMIFS(INDEX(ArchetypeDemand!$I$106:$AH$150,,MATCH(K$128,ArchetypeDemand!$I$4:$AH$4,0)),ArchetypeDemand!$F$106:$F$150,$F218)*'SHWLP-Det'!$R$24</f>
        <v>1.6380218451240082E-3</v>
      </c>
      <c r="L218" s="1134">
        <f>SUMIFS(INDEX(ArchetypeDemand!$I$106:$AH$150,,MATCH(L$128,ArchetypeDemand!$I$4:$AH$4,0)),ArchetypeDemand!$F$106:$F$150,$F218)*'SHWLP-Det'!$R$24</f>
        <v>8.7383588388647551E-4</v>
      </c>
      <c r="M218" s="1134">
        <f>SUMIFS(INDEX(ArchetypeDemand!$I$106:$AH$150,,MATCH(M$128,ArchetypeDemand!$I$4:$AH$4,0)),ArchetypeDemand!$F$106:$F$150,$F218)*'SHWLP-Det'!$R$24</f>
        <v>2.7351208138986327E-3</v>
      </c>
      <c r="N218" s="1134">
        <f>SUMIFS(INDEX(ArchetypeDemand!$I$106:$AH$150,,MATCH(N$128,ArchetypeDemand!$I$4:$AH$4,0)),ArchetypeDemand!$F$106:$F$150,$F218)*'SHWLP-Det'!$R$24</f>
        <v>5.0673979655612026E-3</v>
      </c>
      <c r="O218" s="1134">
        <f>SUMIFS(INDEX(ArchetypeDemand!$I$106:$AH$150,,MATCH(O$128,ArchetypeDemand!$I$4:$AH$4,0)),ArchetypeDemand!$F$106:$F$150,$F218)*'SHWLP-Det'!$R$24</f>
        <v>1.3332378176547346E-3</v>
      </c>
      <c r="P218" s="1134">
        <f>SUMIFS(INDEX(ArchetypeDemand!$I$106:$AH$150,,MATCH(P$128,ArchetypeDemand!$I$4:$AH$4,0)),ArchetypeDemand!$F$106:$F$150,$F218)*'SHWLP-Det'!$R$24</f>
        <v>1.5669066564095897E-3</v>
      </c>
      <c r="Q218" s="1134">
        <f>SUMIFS(INDEX(ArchetypeDemand!$I$106:$AH$150,,MATCH(Q$128,ArchetypeDemand!$I$4:$AH$4,0)),ArchetypeDemand!$F$106:$F$150,$F218)*'SHWLP-Det'!$R$24</f>
        <v>3.46646760286913E-3</v>
      </c>
      <c r="R218" s="1134">
        <f>SUMIFS(INDEX(ArchetypeDemand!$I$106:$AH$150,,MATCH(R$128,ArchetypeDemand!$I$4:$AH$4,0)),ArchetypeDemand!$F$106:$F$150,$F218)*'SHWLP-Det'!$R$24</f>
        <v>2.9190445947058583E-3</v>
      </c>
      <c r="S218" s="1134">
        <f>SUMIFS(INDEX(ArchetypeDemand!$I$106:$AH$150,,MATCH(S$128,ArchetypeDemand!$I$4:$AH$4,0)),ArchetypeDemand!$F$106:$F$150,$F218)*'SHWLP-Det'!$R$24</f>
        <v>2.3966585044914611E-3</v>
      </c>
      <c r="T218" s="1134">
        <f>SUMIFS(INDEX(ArchetypeDemand!$I$106:$AH$150,,MATCH(T$128,ArchetypeDemand!$I$4:$AH$4,0)),ArchetypeDemand!$F$106:$F$150,$F218)*'SHWLP-Det'!$R$24</f>
        <v>1.3452240806839962E-2</v>
      </c>
      <c r="U218" s="1134">
        <f>SUMIFS(INDEX(ArchetypeDemand!$I$106:$AH$150,,MATCH(U$128,ArchetypeDemand!$I$4:$AH$4,0)),ArchetypeDemand!$F$106:$F$150,$F218)*'SHWLP-Det'!$R$24</f>
        <v>4.3735401116226837E-3</v>
      </c>
      <c r="V218" s="1134">
        <f>SUMIFS(INDEX(ArchetypeDemand!$I$106:$AH$150,,MATCH(V$128,ArchetypeDemand!$I$4:$AH$4,0)),ArchetypeDemand!$F$106:$F$150,$F218)*'SHWLP-Det'!$R$24</f>
        <v>3.0085471090689668E-3</v>
      </c>
      <c r="W218" s="1134">
        <f>SUMIFS(INDEX(ArchetypeDemand!$I$106:$AH$150,,MATCH(W$128,ArchetypeDemand!$I$4:$AH$4,0)),ArchetypeDemand!$F$106:$F$150,$F218)*'SHWLP-Det'!$R$24</f>
        <v>2.9944169628389277E-3</v>
      </c>
      <c r="X218" s="1134">
        <f>SUMIFS(INDEX(ArchetypeDemand!$I$106:$AH$150,,MATCH(X$128,ArchetypeDemand!$I$4:$AH$4,0)),ArchetypeDemand!$F$106:$F$150,$F218)*'SHWLP-Det'!$R$24</f>
        <v>2.3611213771837338E-3</v>
      </c>
      <c r="Y218" s="1134">
        <f>SUMIFS(INDEX(ArchetypeDemand!$I$106:$AH$150,,MATCH(Y$128,ArchetypeDemand!$I$4:$AH$4,0)),ArchetypeDemand!$F$106:$F$150,$F218)*'SHWLP-Det'!$R$24</f>
        <v>6.555361963955844E-3</v>
      </c>
      <c r="Z218" s="1134">
        <f>SUMIFS(INDEX(ArchetypeDemand!$I$106:$AH$150,,MATCH(Z$128,ArchetypeDemand!$I$4:$AH$4,0)),ArchetypeDemand!$F$106:$F$150,$F218)*'SHWLP-Det'!$R$24</f>
        <v>6.540490261624346E-4</v>
      </c>
      <c r="AA218" s="1134">
        <f>SUMIFS(INDEX(ArchetypeDemand!$I$106:$AH$150,,MATCH(AA$128,ArchetypeDemand!$I$4:$AH$4,0)),ArchetypeDemand!$F$106:$F$150,$F218)*'SHWLP-Det'!$R$24</f>
        <v>2.9611082197413697E-3</v>
      </c>
      <c r="AB218" s="1134">
        <f>SUMIFS(INDEX(ArchetypeDemand!$I$106:$AH$150,,MATCH(AB$128,ArchetypeDemand!$I$4:$AH$4,0)),ArchetypeDemand!$F$106:$F$150,$F218)*'SHWLP-Det'!$R$24</f>
        <v>1.3523138214333234E-3</v>
      </c>
      <c r="AC218" s="1134">
        <f>SUMIFS(INDEX(ArchetypeDemand!$I$106:$AH$150,,MATCH(AC$128,ArchetypeDemand!$I$4:$AH$4,0)),ArchetypeDemand!$F$106:$F$150,$F218)*'SHWLP-Det'!$R$24</f>
        <v>1.4777874117555944E-3</v>
      </c>
      <c r="AD218" s="1134">
        <f>SUMIFS(INDEX(ArchetypeDemand!$I$106:$AH$150,,MATCH(AD$128,ArchetypeDemand!$I$4:$AH$4,0)),ArchetypeDemand!$F$106:$F$150,$F218)*'SHWLP-Det'!$R$24</f>
        <v>1.9579804050919077E-3</v>
      </c>
      <c r="AE218" s="1134">
        <f>SUMIFS(INDEX(ArchetypeDemand!$I$106:$AH$150,,MATCH(AE$128,ArchetypeDemand!$I$4:$AH$4,0)),ArchetypeDemand!$F$106:$F$150,$F218)*'SHWLP-Det'!$R$24</f>
        <v>3.6773280334168666E-3</v>
      </c>
      <c r="AF218" s="1134">
        <f>SUMIFS(INDEX(ArchetypeDemand!$I$106:$AH$150,,MATCH(AF$128,ArchetypeDemand!$I$4:$AH$4,0)),ArchetypeDemand!$F$106:$F$150,$F218)*'SHWLP-Det'!$R$24</f>
        <v>1.6137594871450929E-3</v>
      </c>
    </row>
    <row r="219" spans="3:32">
      <c r="C219" s="1136" t="s">
        <v>1251</v>
      </c>
      <c r="D219" s="1136" t="s">
        <v>1094</v>
      </c>
      <c r="E219" s="1136" t="s">
        <v>1252</v>
      </c>
      <c r="F219" s="1136" t="s">
        <v>1225</v>
      </c>
      <c r="G219" s="1136">
        <f>SUMIFS(INDEX(ArchetypeDemand!$I$106:$AH$150,,MATCH(G$128,ArchetypeDemand!$I$4:$AH$4,0)),ArchetypeDemand!$F$106:$F$150,$F219)*'SHWLP-Det'!$R$24</f>
        <v>2.7547776956553987E-3</v>
      </c>
      <c r="H219" s="1136">
        <f>SUMIFS(INDEX(ArchetypeDemand!$I$106:$AH$150,,MATCH(H$128,ArchetypeDemand!$I$4:$AH$4,0)),ArchetypeDemand!$F$106:$F$150,$F219)*'SHWLP-Det'!$R$24</f>
        <v>1.2823625507461609E-2</v>
      </c>
      <c r="I219" s="1136">
        <f>SUMIFS(INDEX(ArchetypeDemand!$I$106:$AH$150,,MATCH(I$128,ArchetypeDemand!$I$4:$AH$4,0)),ArchetypeDemand!$F$106:$F$150,$F219)*'SHWLP-Det'!$R$24</f>
        <v>8.7380175461011268E-3</v>
      </c>
      <c r="J219" s="1136">
        <f>SUMIFS(INDEX(ArchetypeDemand!$I$106:$AH$150,,MATCH(J$128,ArchetypeDemand!$I$4:$AH$4,0)),ArchetypeDemand!$F$106:$F$150,$F219)*'SHWLP-Det'!$R$24</f>
        <v>5.2393229153775934E-3</v>
      </c>
      <c r="K219" s="1136">
        <f>SUMIFS(INDEX(ArchetypeDemand!$I$106:$AH$150,,MATCH(K$128,ArchetypeDemand!$I$4:$AH$4,0)),ArchetypeDemand!$F$106:$F$150,$F219)*'SHWLP-Det'!$R$24</f>
        <v>4.4587043529022334E-3</v>
      </c>
      <c r="L219" s="1136">
        <f>SUMIFS(INDEX(ArchetypeDemand!$I$106:$AH$150,,MATCH(L$128,ArchetypeDemand!$I$4:$AH$4,0)),ArchetypeDemand!$F$106:$F$150,$F219)*'SHWLP-Det'!$R$24</f>
        <v>2.393000776903562E-3</v>
      </c>
      <c r="M219" s="1136">
        <f>SUMIFS(INDEX(ArchetypeDemand!$I$106:$AH$150,,MATCH(M$128,ArchetypeDemand!$I$4:$AH$4,0)),ArchetypeDemand!$F$106:$F$150,$F219)*'SHWLP-Det'!$R$24</f>
        <v>5.2066128324992425E-3</v>
      </c>
      <c r="N219" s="1136">
        <f>SUMIFS(INDEX(ArchetypeDemand!$I$106:$AH$150,,MATCH(N$128,ArchetypeDemand!$I$4:$AH$4,0)),ArchetypeDemand!$F$106:$F$150,$F219)*'SHWLP-Det'!$R$24</f>
        <v>9.5156797575842687E-3</v>
      </c>
      <c r="O219" s="1136">
        <f>SUMIFS(INDEX(ArchetypeDemand!$I$106:$AH$150,,MATCH(O$128,ArchetypeDemand!$I$4:$AH$4,0)),ArchetypeDemand!$F$106:$F$150,$F219)*'SHWLP-Det'!$R$24</f>
        <v>4.0365012148787134E-3</v>
      </c>
      <c r="P219" s="1136">
        <f>SUMIFS(INDEX(ArchetypeDemand!$I$106:$AH$150,,MATCH(P$128,ArchetypeDemand!$I$4:$AH$4,0)),ArchetypeDemand!$F$106:$F$150,$F219)*'SHWLP-Det'!$R$24</f>
        <v>4.2551423036574316E-3</v>
      </c>
      <c r="Q219" s="1136">
        <f>SUMIFS(INDEX(ArchetypeDemand!$I$106:$AH$150,,MATCH(Q$128,ArchetypeDemand!$I$4:$AH$4,0)),ArchetypeDemand!$F$106:$F$150,$F219)*'SHWLP-Det'!$R$24</f>
        <v>9.6624236322645791E-3</v>
      </c>
      <c r="R219" s="1136">
        <f>SUMIFS(INDEX(ArchetypeDemand!$I$106:$AH$150,,MATCH(R$128,ArchetypeDemand!$I$4:$AH$4,0)),ArchetypeDemand!$F$106:$F$150,$F219)*'SHWLP-Det'!$R$24</f>
        <v>5.4399539316256577E-3</v>
      </c>
      <c r="S219" s="1136">
        <f>SUMIFS(INDEX(ArchetypeDemand!$I$106:$AH$150,,MATCH(S$128,ArchetypeDemand!$I$4:$AH$4,0)),ArchetypeDemand!$F$106:$F$150,$F219)*'SHWLP-Det'!$R$24</f>
        <v>7.1548295262042656E-3</v>
      </c>
      <c r="T219" s="1136">
        <f>SUMIFS(INDEX(ArchetypeDemand!$I$106:$AH$150,,MATCH(T$128,ArchetypeDemand!$I$4:$AH$4,0)),ArchetypeDemand!$F$106:$F$150,$F219)*'SHWLP-Det'!$R$24</f>
        <v>2.3515009229774758E-2</v>
      </c>
      <c r="U219" s="1136">
        <f>SUMIFS(INDEX(ArchetypeDemand!$I$106:$AH$150,,MATCH(U$128,ArchetypeDemand!$I$4:$AH$4,0)),ArchetypeDemand!$F$106:$F$150,$F219)*'SHWLP-Det'!$R$24</f>
        <v>9.1892204928811054E-3</v>
      </c>
      <c r="V219" s="1136">
        <f>SUMIFS(INDEX(ArchetypeDemand!$I$106:$AH$150,,MATCH(V$128,ArchetypeDemand!$I$4:$AH$4,0)),ArchetypeDemand!$F$106:$F$150,$F219)*'SHWLP-Det'!$R$24</f>
        <v>8.1950474458397024E-3</v>
      </c>
      <c r="W219" s="1136">
        <f>SUMIFS(INDEX(ArchetypeDemand!$I$106:$AH$150,,MATCH(W$128,ArchetypeDemand!$I$4:$AH$4,0)),ArchetypeDemand!$F$106:$F$150,$F219)*'SHWLP-Det'!$R$24</f>
        <v>8.3804564587750627E-3</v>
      </c>
      <c r="X219" s="1136">
        <f>SUMIFS(INDEX(ArchetypeDemand!$I$106:$AH$150,,MATCH(X$128,ArchetypeDemand!$I$4:$AH$4,0)),ArchetypeDemand!$F$106:$F$150,$F219)*'SHWLP-Det'!$R$24</f>
        <v>5.3642702631150055E-3</v>
      </c>
      <c r="Y219" s="1136">
        <f>SUMIFS(INDEX(ArchetypeDemand!$I$106:$AH$150,,MATCH(Y$128,ArchetypeDemand!$I$4:$AH$4,0)),ArchetypeDemand!$F$106:$F$150,$F219)*'SHWLP-Det'!$R$24</f>
        <v>1.4781758737852863E-2</v>
      </c>
      <c r="Z219" s="1136">
        <f>SUMIFS(INDEX(ArchetypeDemand!$I$106:$AH$150,,MATCH(Z$128,ArchetypeDemand!$I$4:$AH$4,0)),ArchetypeDemand!$F$106:$F$150,$F219)*'SHWLP-Det'!$R$24</f>
        <v>2.3563684093249361E-3</v>
      </c>
      <c r="AA219" s="1136">
        <f>SUMIFS(INDEX(ArchetypeDemand!$I$106:$AH$150,,MATCH(AA$128,ArchetypeDemand!$I$4:$AH$4,0)),ArchetypeDemand!$F$106:$F$150,$F219)*'SHWLP-Det'!$R$24</f>
        <v>8.5112642418130446E-3</v>
      </c>
      <c r="AB219" s="1136">
        <f>SUMIFS(INDEX(ArchetypeDemand!$I$106:$AH$150,,MATCH(AB$128,ArchetypeDemand!$I$4:$AH$4,0)),ArchetypeDemand!$F$106:$F$150,$F219)*'SHWLP-Det'!$R$24</f>
        <v>4.5875565356160953E-3</v>
      </c>
      <c r="AC219" s="1136">
        <f>SUMIFS(INDEX(ArchetypeDemand!$I$106:$AH$150,,MATCH(AC$128,ArchetypeDemand!$I$4:$AH$4,0)),ArchetypeDemand!$F$106:$F$150,$F219)*'SHWLP-Det'!$R$24</f>
        <v>3.3588880708167344E-3</v>
      </c>
      <c r="AD219" s="1136">
        <f>SUMIFS(INDEX(ArchetypeDemand!$I$106:$AH$150,,MATCH(AD$128,ArchetypeDemand!$I$4:$AH$4,0)),ArchetypeDemand!$F$106:$F$150,$F219)*'SHWLP-Det'!$R$24</f>
        <v>5.0601228604680009E-3</v>
      </c>
      <c r="AE219" s="1136">
        <f>SUMIFS(INDEX(ArchetypeDemand!$I$106:$AH$150,,MATCH(AE$128,ArchetypeDemand!$I$4:$AH$4,0)),ArchetypeDemand!$F$106:$F$150,$F219)*'SHWLP-Det'!$R$24</f>
        <v>1.1088735330223577E-2</v>
      </c>
      <c r="AF219" s="1136">
        <f>SUMIFS(INDEX(ArchetypeDemand!$I$106:$AH$150,,MATCH(AF$128,ArchetypeDemand!$I$4:$AH$4,0)),ArchetypeDemand!$F$106:$F$150,$F219)*'SHWLP-Det'!$R$24</f>
        <v>3.4227104283330988E-3</v>
      </c>
    </row>
    <row r="220" spans="3:32">
      <c r="C220" s="1134" t="s">
        <v>1251</v>
      </c>
      <c r="D220" s="1134" t="s">
        <v>1094</v>
      </c>
      <c r="E220" s="1134" t="s">
        <v>1252</v>
      </c>
      <c r="F220" s="1134" t="s">
        <v>1226</v>
      </c>
      <c r="G220" s="1134">
        <f>SUMIFS(INDEX(ArchetypeDemand!$I$106:$AH$150,,MATCH(G$128,ArchetypeDemand!$I$4:$AH$4,0)),ArchetypeDemand!$F$106:$F$150,$F220)*'SHWLP-Det'!$R$24</f>
        <v>1.8690552082071407E-3</v>
      </c>
      <c r="H220" s="1134">
        <f>SUMIFS(INDEX(ArchetypeDemand!$I$106:$AH$150,,MATCH(H$128,ArchetypeDemand!$I$4:$AH$4,0)),ArchetypeDemand!$F$106:$F$150,$F220)*'SHWLP-Det'!$R$24</f>
        <v>9.0910345115397476E-3</v>
      </c>
      <c r="I220" s="1134">
        <f>SUMIFS(INDEX(ArchetypeDemand!$I$106:$AH$150,,MATCH(I$128,ArchetypeDemand!$I$4:$AH$4,0)),ArchetypeDemand!$F$106:$F$150,$F220)*'SHWLP-Det'!$R$24</f>
        <v>4.5162125726816464E-3</v>
      </c>
      <c r="J220" s="1134">
        <f>SUMIFS(INDEX(ArchetypeDemand!$I$106:$AH$150,,MATCH(J$128,ArchetypeDemand!$I$4:$AH$4,0)),ArchetypeDemand!$F$106:$F$150,$F220)*'SHWLP-Det'!$R$24</f>
        <v>3.6485466059898307E-3</v>
      </c>
      <c r="K220" s="1134">
        <f>SUMIFS(INDEX(ArchetypeDemand!$I$106:$AH$150,,MATCH(K$128,ArchetypeDemand!$I$4:$AH$4,0)),ArchetypeDemand!$F$106:$F$150,$F220)*'SHWLP-Det'!$R$24</f>
        <v>2.6383879744359038E-3</v>
      </c>
      <c r="L220" s="1134">
        <f>SUMIFS(INDEX(ArchetypeDemand!$I$106:$AH$150,,MATCH(L$128,ArchetypeDemand!$I$4:$AH$4,0)),ArchetypeDemand!$F$106:$F$150,$F220)*'SHWLP-Det'!$R$24</f>
        <v>1.5328966637992469E-3</v>
      </c>
      <c r="M220" s="1134">
        <f>SUMIFS(INDEX(ArchetypeDemand!$I$106:$AH$150,,MATCH(M$128,ArchetypeDemand!$I$4:$AH$4,0)),ArchetypeDemand!$F$106:$F$150,$F220)*'SHWLP-Det'!$R$24</f>
        <v>2.7993555598339517E-3</v>
      </c>
      <c r="N220" s="1134">
        <f>SUMIFS(INDEX(ArchetypeDemand!$I$106:$AH$150,,MATCH(N$128,ArchetypeDemand!$I$4:$AH$4,0)),ArchetypeDemand!$F$106:$F$150,$F220)*'SHWLP-Det'!$R$24</f>
        <v>5.1693516650095543E-3</v>
      </c>
      <c r="O220" s="1134">
        <f>SUMIFS(INDEX(ArchetypeDemand!$I$106:$AH$150,,MATCH(O$128,ArchetypeDemand!$I$4:$AH$4,0)),ArchetypeDemand!$F$106:$F$150,$F220)*'SHWLP-Det'!$R$24</f>
        <v>2.8075898379835546E-3</v>
      </c>
      <c r="P220" s="1134">
        <f>SUMIFS(INDEX(ArchetypeDemand!$I$106:$AH$150,,MATCH(P$128,ArchetypeDemand!$I$4:$AH$4,0)),ArchetypeDemand!$F$106:$F$150,$F220)*'SHWLP-Det'!$R$24</f>
        <v>2.7642152919074808E-3</v>
      </c>
      <c r="Q220" s="1134">
        <f>SUMIFS(INDEX(ArchetypeDemand!$I$106:$AH$150,,MATCH(Q$128,ArchetypeDemand!$I$4:$AH$4,0)),ArchetypeDemand!$F$106:$F$150,$F220)*'SHWLP-Det'!$R$24</f>
        <v>6.0106155305822877E-3</v>
      </c>
      <c r="R220" s="1134">
        <f>SUMIFS(INDEX(ArchetypeDemand!$I$106:$AH$150,,MATCH(R$128,ArchetypeDemand!$I$4:$AH$4,0)),ArchetypeDemand!$F$106:$F$150,$F220)*'SHWLP-Det'!$R$24</f>
        <v>3.7654007220628474E-3</v>
      </c>
      <c r="S220" s="1134">
        <f>SUMIFS(INDEX(ArchetypeDemand!$I$106:$AH$150,,MATCH(S$128,ArchetypeDemand!$I$4:$AH$4,0)),ArchetypeDemand!$F$106:$F$150,$F220)*'SHWLP-Det'!$R$24</f>
        <v>4.2723846108031404E-3</v>
      </c>
      <c r="T220" s="1134">
        <f>SUMIFS(INDEX(ArchetypeDemand!$I$106:$AH$150,,MATCH(T$128,ArchetypeDemand!$I$4:$AH$4,0)),ArchetypeDemand!$F$106:$F$150,$F220)*'SHWLP-Det'!$R$24</f>
        <v>1.3051980334384181E-2</v>
      </c>
      <c r="U220" s="1134">
        <f>SUMIFS(INDEX(ArchetypeDemand!$I$106:$AH$150,,MATCH(U$128,ArchetypeDemand!$I$4:$AH$4,0)),ArchetypeDemand!$F$106:$F$150,$F220)*'SHWLP-Det'!$R$24</f>
        <v>6.136389373196569E-3</v>
      </c>
      <c r="V220" s="1134">
        <f>SUMIFS(INDEX(ArchetypeDemand!$I$106:$AH$150,,MATCH(V$128,ArchetypeDemand!$I$4:$AH$4,0)),ArchetypeDemand!$F$106:$F$150,$F220)*'SHWLP-Det'!$R$24</f>
        <v>6.0885877563004766E-3</v>
      </c>
      <c r="W220" s="1134">
        <f>SUMIFS(INDEX(ArchetypeDemand!$I$106:$AH$150,,MATCH(W$128,ArchetypeDemand!$I$4:$AH$4,0)),ArchetypeDemand!$F$106:$F$150,$F220)*'SHWLP-Det'!$R$24</f>
        <v>6.1221238868545847E-3</v>
      </c>
      <c r="X220" s="1134">
        <f>SUMIFS(INDEX(ArchetypeDemand!$I$106:$AH$150,,MATCH(X$128,ArchetypeDemand!$I$4:$AH$4,0)),ArchetypeDemand!$F$106:$F$150,$F220)*'SHWLP-Det'!$R$24</f>
        <v>3.4188796111415203E-3</v>
      </c>
      <c r="Y220" s="1134">
        <f>SUMIFS(INDEX(ArchetypeDemand!$I$106:$AH$150,,MATCH(Y$128,ArchetypeDemand!$I$4:$AH$4,0)),ArchetypeDemand!$F$106:$F$150,$F220)*'SHWLP-Det'!$R$24</f>
        <v>8.8620887682972511E-3</v>
      </c>
      <c r="Z220" s="1134">
        <f>SUMIFS(INDEX(ArchetypeDemand!$I$106:$AH$150,,MATCH(Z$128,ArchetypeDemand!$I$4:$AH$4,0)),ArchetypeDemand!$F$106:$F$150,$F220)*'SHWLP-Det'!$R$24</f>
        <v>1.3493121005488035E-3</v>
      </c>
      <c r="AA220" s="1134">
        <f>SUMIFS(INDEX(ArchetypeDemand!$I$106:$AH$150,,MATCH(AA$128,ArchetypeDemand!$I$4:$AH$4,0)),ArchetypeDemand!$F$106:$F$150,$F220)*'SHWLP-Det'!$R$24</f>
        <v>6.1402553891743723E-3</v>
      </c>
      <c r="AB220" s="1134">
        <f>SUMIFS(INDEX(ArchetypeDemand!$I$106:$AH$150,,MATCH(AB$128,ArchetypeDemand!$I$4:$AH$4,0)),ArchetypeDemand!$F$106:$F$150,$F220)*'SHWLP-Det'!$R$24</f>
        <v>2.8520634068278732E-3</v>
      </c>
      <c r="AC220" s="1134">
        <f>SUMIFS(INDEX(ArchetypeDemand!$I$106:$AH$150,,MATCH(AC$128,ArchetypeDemand!$I$4:$AH$4,0)),ArchetypeDemand!$F$106:$F$150,$F220)*'SHWLP-Det'!$R$24</f>
        <v>2.4121002955665057E-3</v>
      </c>
      <c r="AD220" s="1134">
        <f>SUMIFS(INDEX(ArchetypeDemand!$I$106:$AH$150,,MATCH(AD$128,ArchetypeDemand!$I$4:$AH$4,0)),ArchetypeDemand!$F$106:$F$150,$F220)*'SHWLP-Det'!$R$24</f>
        <v>2.6816319306627655E-3</v>
      </c>
      <c r="AE220" s="1134">
        <f>SUMIFS(INDEX(ArchetypeDemand!$I$106:$AH$150,,MATCH(AE$128,ArchetypeDemand!$I$4:$AH$4,0)),ArchetypeDemand!$F$106:$F$150,$F220)*'SHWLP-Det'!$R$24</f>
        <v>6.9462705157959477E-3</v>
      </c>
      <c r="AF220" s="1134">
        <f>SUMIFS(INDEX(ArchetypeDemand!$I$106:$AH$150,,MATCH(AF$128,ArchetypeDemand!$I$4:$AH$4,0)),ArchetypeDemand!$F$106:$F$150,$F220)*'SHWLP-Det'!$R$24</f>
        <v>2.5622217824951394E-3</v>
      </c>
    </row>
    <row r="221" spans="3:32">
      <c r="C221" s="1136" t="s">
        <v>1251</v>
      </c>
      <c r="D221" s="1136" t="s">
        <v>1094</v>
      </c>
      <c r="E221" s="1136" t="s">
        <v>1252</v>
      </c>
      <c r="F221" s="1136" t="s">
        <v>1227</v>
      </c>
      <c r="G221" s="1136">
        <f>SUMIFS(INDEX(ArchetypeDemand!$I$106:$AH$150,,MATCH(G$128,ArchetypeDemand!$I$4:$AH$4,0)),ArchetypeDemand!$F$106:$F$150,$F221)*'SHWLP-Det'!$R$24</f>
        <v>7.8449706031131442E-4</v>
      </c>
      <c r="H221" s="1136">
        <f>SUMIFS(INDEX(ArchetypeDemand!$I$106:$AH$150,,MATCH(H$128,ArchetypeDemand!$I$4:$AH$4,0)),ArchetypeDemand!$F$106:$F$150,$F221)*'SHWLP-Det'!$R$24</f>
        <v>4.674986551758669E-3</v>
      </c>
      <c r="I221" s="1136">
        <f>SUMIFS(INDEX(ArchetypeDemand!$I$106:$AH$150,,MATCH(I$128,ArchetypeDemand!$I$4:$AH$4,0)),ArchetypeDemand!$F$106:$F$150,$F221)*'SHWLP-Det'!$R$24</f>
        <v>1.709526793048985E-3</v>
      </c>
      <c r="J221" s="1136">
        <f>SUMIFS(INDEX(ArchetypeDemand!$I$106:$AH$150,,MATCH(J$128,ArchetypeDemand!$I$4:$AH$4,0)),ArchetypeDemand!$F$106:$F$150,$F221)*'SHWLP-Det'!$R$24</f>
        <v>1.6057600736834093E-3</v>
      </c>
      <c r="K221" s="1136">
        <f>SUMIFS(INDEX(ArchetypeDemand!$I$106:$AH$150,,MATCH(K$128,ArchetypeDemand!$I$4:$AH$4,0)),ArchetypeDemand!$F$106:$F$150,$F221)*'SHWLP-Det'!$R$24</f>
        <v>1.096472924440895E-3</v>
      </c>
      <c r="L221" s="1136">
        <f>SUMIFS(INDEX(ArchetypeDemand!$I$106:$AH$150,,MATCH(L$128,ArchetypeDemand!$I$4:$AH$4,0)),ArchetypeDemand!$F$106:$F$150,$F221)*'SHWLP-Det'!$R$24</f>
        <v>7.6644833189962343E-4</v>
      </c>
      <c r="M221" s="1136">
        <f>SUMIFS(INDEX(ArchetypeDemand!$I$106:$AH$150,,MATCH(M$128,ArchetypeDemand!$I$4:$AH$4,0)),ArchetypeDemand!$F$106:$F$150,$F221)*'SHWLP-Det'!$R$24</f>
        <v>1.2328474990783869E-3</v>
      </c>
      <c r="N221" s="1136">
        <f>SUMIFS(INDEX(ArchetypeDemand!$I$106:$AH$150,,MATCH(N$128,ArchetypeDemand!$I$4:$AH$4,0)),ArchetypeDemand!$F$106:$F$150,$F221)*'SHWLP-Det'!$R$24</f>
        <v>2.0342257885696199E-3</v>
      </c>
      <c r="O221" s="1136">
        <f>SUMIFS(INDEX(ArchetypeDemand!$I$106:$AH$150,,MATCH(O$128,ArchetypeDemand!$I$4:$AH$4,0)),ArchetypeDemand!$F$106:$F$150,$F221)*'SHWLP-Det'!$R$24</f>
        <v>1.2478177057704686E-3</v>
      </c>
      <c r="P221" s="1136">
        <f>SUMIFS(INDEX(ArchetypeDemand!$I$106:$AH$150,,MATCH(P$128,ArchetypeDemand!$I$4:$AH$4,0)),ArchetypeDemand!$F$106:$F$150,$F221)*'SHWLP-Det'!$R$24</f>
        <v>1.2712542733202175E-3</v>
      </c>
      <c r="Q221" s="1136">
        <f>SUMIFS(INDEX(ArchetypeDemand!$I$106:$AH$150,,MATCH(Q$128,ArchetypeDemand!$I$4:$AH$4,0)),ArchetypeDemand!$F$106:$F$150,$F221)*'SHWLP-Det'!$R$24</f>
        <v>2.3705012334342044E-3</v>
      </c>
      <c r="R221" s="1136">
        <f>SUMIFS(INDEX(ArchetypeDemand!$I$106:$AH$150,,MATCH(R$128,ArchetypeDemand!$I$4:$AH$4,0)),ArchetypeDemand!$F$106:$F$150,$F221)*'SHWLP-Det'!$R$24</f>
        <v>1.6783036086883709E-3</v>
      </c>
      <c r="S221" s="1136">
        <f>SUMIFS(INDEX(ArchetypeDemand!$I$106:$AH$150,,MATCH(S$128,ArchetypeDemand!$I$4:$AH$4,0)),ArchetypeDemand!$F$106:$F$150,$F221)*'SHWLP-Det'!$R$24</f>
        <v>2.0760676875343077E-3</v>
      </c>
      <c r="T221" s="1136">
        <f>SUMIFS(INDEX(ArchetypeDemand!$I$106:$AH$150,,MATCH(T$128,ArchetypeDemand!$I$4:$AH$4,0)),ArchetypeDemand!$F$106:$F$150,$F221)*'SHWLP-Det'!$R$24</f>
        <v>5.5834012961428368E-3</v>
      </c>
      <c r="U221" s="1136">
        <f>SUMIFS(INDEX(ArchetypeDemand!$I$106:$AH$150,,MATCH(U$128,ArchetypeDemand!$I$4:$AH$4,0)),ArchetypeDemand!$F$106:$F$150,$F221)*'SHWLP-Det'!$R$24</f>
        <v>2.8287037905898762E-3</v>
      </c>
      <c r="V221" s="1136">
        <f>SUMIFS(INDEX(ArchetypeDemand!$I$106:$AH$150,,MATCH(V$128,ArchetypeDemand!$I$4:$AH$4,0)),ArchetypeDemand!$F$106:$F$150,$F221)*'SHWLP-Det'!$R$24</f>
        <v>2.4741611023835859E-3</v>
      </c>
      <c r="W221" s="1136">
        <f>SUMIFS(INDEX(ArchetypeDemand!$I$106:$AH$150,,MATCH(W$128,ArchetypeDemand!$I$4:$AH$4,0)),ArchetypeDemand!$F$106:$F$150,$F221)*'SHWLP-Det'!$R$24</f>
        <v>3.0085647788222094E-3</v>
      </c>
      <c r="X221" s="1136">
        <f>SUMIFS(INDEX(ArchetypeDemand!$I$106:$AH$150,,MATCH(X$128,ArchetypeDemand!$I$4:$AH$4,0)),ArchetypeDemand!$F$106:$F$150,$F221)*'SHWLP-Det'!$R$24</f>
        <v>1.1325640627330782E-3</v>
      </c>
      <c r="Y221" s="1136">
        <f>SUMIFS(INDEX(ArchetypeDemand!$I$106:$AH$150,,MATCH(Y$128,ArchetypeDemand!$I$4:$AH$4,0)),ArchetypeDemand!$F$106:$F$150,$F221)*'SHWLP-Det'!$R$24</f>
        <v>3.994723091874164E-3</v>
      </c>
      <c r="Z221" s="1136">
        <f>SUMIFS(INDEX(ArchetypeDemand!$I$106:$AH$150,,MATCH(Z$128,ArchetypeDemand!$I$4:$AH$4,0)),ArchetypeDemand!$F$106:$F$150,$F221)*'SHWLP-Det'!$R$24</f>
        <v>7.7948308597440845E-4</v>
      </c>
      <c r="AA221" s="1136">
        <f>SUMIFS(INDEX(ArchetypeDemand!$I$106:$AH$150,,MATCH(AA$128,ArchetypeDemand!$I$4:$AH$4,0)),ArchetypeDemand!$F$106:$F$150,$F221)*'SHWLP-Det'!$R$24</f>
        <v>2.8970401804671525E-3</v>
      </c>
      <c r="AB221" s="1136">
        <f>SUMIFS(INDEX(ArchetypeDemand!$I$106:$AH$150,,MATCH(AB$128,ArchetypeDemand!$I$4:$AH$4,0)),ArchetypeDemand!$F$106:$F$150,$F221)*'SHWLP-Det'!$R$24</f>
        <v>1.444850303605616E-3</v>
      </c>
      <c r="AC221" s="1136">
        <f>SUMIFS(INDEX(ArchetypeDemand!$I$106:$AH$150,,MATCH(AC$128,ArchetypeDemand!$I$4:$AH$4,0)),ArchetypeDemand!$F$106:$F$150,$F221)*'SHWLP-Det'!$R$24</f>
        <v>1.1906864516331478E-3</v>
      </c>
      <c r="AD221" s="1136">
        <f>SUMIFS(INDEX(ArchetypeDemand!$I$106:$AH$150,,MATCH(AD$128,ArchetypeDemand!$I$4:$AH$4,0)),ArchetypeDemand!$F$106:$F$150,$F221)*'SHWLP-Det'!$R$24</f>
        <v>1.2980653113642952E-3</v>
      </c>
      <c r="AE221" s="1136">
        <f>SUMIFS(INDEX(ArchetypeDemand!$I$106:$AH$150,,MATCH(AE$128,ArchetypeDemand!$I$4:$AH$4,0)),ArchetypeDemand!$F$106:$F$150,$F221)*'SHWLP-Det'!$R$24</f>
        <v>3.2106737467548492E-3</v>
      </c>
      <c r="AF221" s="1136">
        <f>SUMIFS(INDEX(ArchetypeDemand!$I$106:$AH$150,,MATCH(AF$128,ArchetypeDemand!$I$4:$AH$4,0)),ArchetypeDemand!$F$106:$F$150,$F221)*'SHWLP-Det'!$R$24</f>
        <v>1.1683951261378049E-3</v>
      </c>
    </row>
    <row r="222" spans="3:32">
      <c r="C222" s="1134" t="s">
        <v>1251</v>
      </c>
      <c r="D222" s="1134" t="s">
        <v>1094</v>
      </c>
      <c r="E222" s="1134" t="s">
        <v>1252</v>
      </c>
      <c r="F222" s="1134" t="s">
        <v>1228</v>
      </c>
      <c r="G222" s="1134">
        <f>SUMIFS(INDEX(ArchetypeDemand!$I$106:$AH$150,,MATCH(G$128,ArchetypeDemand!$I$4:$AH$4,0)),ArchetypeDemand!$F$106:$F$150,$F222)*'SHWLP-Det'!$R$24</f>
        <v>4.2117008076621257E-4</v>
      </c>
      <c r="H222" s="1134">
        <f>SUMIFS(INDEX(ArchetypeDemand!$I$106:$AH$150,,MATCH(H$128,ArchetypeDemand!$I$4:$AH$4,0)),ArchetypeDemand!$F$106:$F$150,$F222)*'SHWLP-Det'!$R$24</f>
        <v>2.2776027171906399E-3</v>
      </c>
      <c r="I222" s="1134">
        <f>SUMIFS(INDEX(ArchetypeDemand!$I$106:$AH$150,,MATCH(I$128,ArchetypeDemand!$I$4:$AH$4,0)),ArchetypeDemand!$F$106:$F$150,$F222)*'SHWLP-Det'!$R$24</f>
        <v>7.1246639021444499E-4</v>
      </c>
      <c r="J222" s="1134">
        <f>SUMIFS(INDEX(ArchetypeDemand!$I$106:$AH$150,,MATCH(J$128,ArchetypeDemand!$I$4:$AH$4,0)),ArchetypeDemand!$F$106:$F$150,$F222)*'SHWLP-Det'!$R$24</f>
        <v>7.6417197907795219E-4</v>
      </c>
      <c r="K222" s="1134">
        <f>SUMIFS(INDEX(ArchetypeDemand!$I$106:$AH$150,,MATCH(K$128,ArchetypeDemand!$I$4:$AH$4,0)),ArchetypeDemand!$F$106:$F$150,$F222)*'SHWLP-Det'!$R$24</f>
        <v>6.5959699360897594E-4</v>
      </c>
      <c r="L222" s="1134">
        <f>SUMIFS(INDEX(ArchetypeDemand!$I$106:$AH$150,,MATCH(L$128,ArchetypeDemand!$I$4:$AH$4,0)),ArchetypeDemand!$F$106:$F$150,$F222)*'SHWLP-Det'!$R$24</f>
        <v>5.3708723507180588E-4</v>
      </c>
      <c r="M222" s="1134">
        <f>SUMIFS(INDEX(ArchetypeDemand!$I$106:$AH$150,,MATCH(M$128,ArchetypeDemand!$I$4:$AH$4,0)),ArchetypeDemand!$F$106:$F$150,$F222)*'SHWLP-Det'!$R$24</f>
        <v>5.5233076029046998E-4</v>
      </c>
      <c r="N222" s="1134">
        <f>SUMIFS(INDEX(ArchetypeDemand!$I$106:$AH$150,,MATCH(N$128,ArchetypeDemand!$I$4:$AH$4,0)),ArchetypeDemand!$F$106:$F$150,$F222)*'SHWLP-Det'!$R$24</f>
        <v>1.0033251282517519E-3</v>
      </c>
      <c r="O222" s="1134">
        <f>SUMIFS(INDEX(ArchetypeDemand!$I$106:$AH$150,,MATCH(O$128,ArchetypeDemand!$I$4:$AH$4,0)),ArchetypeDemand!$F$106:$F$150,$F222)*'SHWLP-Det'!$R$24</f>
        <v>7.4679999057475019E-4</v>
      </c>
      <c r="P222" s="1134">
        <f>SUMIFS(INDEX(ArchetypeDemand!$I$106:$AH$150,,MATCH(P$128,ArchetypeDemand!$I$4:$AH$4,0)),ArchetypeDemand!$F$106:$F$150,$F222)*'SHWLP-Det'!$R$24</f>
        <v>7.2003842040857123E-4</v>
      </c>
      <c r="Q222" s="1134">
        <f>SUMIFS(INDEX(ArchetypeDemand!$I$106:$AH$150,,MATCH(Q$128,ArchetypeDemand!$I$4:$AH$4,0)),ArchetypeDemand!$F$106:$F$150,$F222)*'SHWLP-Det'!$R$24</f>
        <v>1.0390780600395173E-3</v>
      </c>
      <c r="R222" s="1134">
        <f>SUMIFS(INDEX(ArchetypeDemand!$I$106:$AH$150,,MATCH(R$128,ArchetypeDemand!$I$4:$AH$4,0)),ArchetypeDemand!$F$106:$F$150,$F222)*'SHWLP-Det'!$R$24</f>
        <v>8.9447019144620434E-4</v>
      </c>
      <c r="S222" s="1134">
        <f>SUMIFS(INDEX(ArchetypeDemand!$I$106:$AH$150,,MATCH(S$128,ArchetypeDemand!$I$4:$AH$4,0)),ArchetypeDemand!$F$106:$F$150,$F222)*'SHWLP-Det'!$R$24</f>
        <v>9.3193157694257238E-4</v>
      </c>
      <c r="T222" s="1134">
        <f>SUMIFS(INDEX(ArchetypeDemand!$I$106:$AH$150,,MATCH(T$128,ArchetypeDemand!$I$4:$AH$4,0)),ArchetypeDemand!$F$106:$F$150,$F222)*'SHWLP-Det'!$R$24</f>
        <v>2.60649704362534E-3</v>
      </c>
      <c r="U222" s="1134">
        <f>SUMIFS(INDEX(ArchetypeDemand!$I$106:$AH$150,,MATCH(U$128,ArchetypeDemand!$I$4:$AH$4,0)),ArchetypeDemand!$F$106:$F$150,$F222)*'SHWLP-Det'!$R$24</f>
        <v>1.2363152669415179E-3</v>
      </c>
      <c r="V222" s="1134">
        <f>SUMIFS(INDEX(ArchetypeDemand!$I$106:$AH$150,,MATCH(V$128,ArchetypeDemand!$I$4:$AH$4,0)),ArchetypeDemand!$F$106:$F$150,$F222)*'SHWLP-Det'!$R$24</f>
        <v>1.30651353074485E-3</v>
      </c>
      <c r="W222" s="1134">
        <f>SUMIFS(INDEX(ArchetypeDemand!$I$106:$AH$150,,MATCH(W$128,ArchetypeDemand!$I$4:$AH$4,0)),ArchetypeDemand!$F$106:$F$150,$F222)*'SHWLP-Det'!$R$24</f>
        <v>1.6589104015206216E-3</v>
      </c>
      <c r="X222" s="1134">
        <f>SUMIFS(INDEX(ArchetypeDemand!$I$106:$AH$150,,MATCH(X$128,ArchetypeDemand!$I$4:$AH$4,0)),ArchetypeDemand!$F$106:$F$150,$F222)*'SHWLP-Det'!$R$24</f>
        <v>6.125091359678893E-4</v>
      </c>
      <c r="Y222" s="1134">
        <f>SUMIFS(INDEX(ArchetypeDemand!$I$106:$AH$150,,MATCH(Y$128,ArchetypeDemand!$I$4:$AH$4,0)),ArchetypeDemand!$F$106:$F$150,$F222)*'SHWLP-Det'!$R$24</f>
        <v>1.8791148091652219E-3</v>
      </c>
      <c r="Z222" s="1134">
        <f>SUMIFS(INDEX(ArchetypeDemand!$I$106:$AH$150,,MATCH(Z$128,ArchetypeDemand!$I$4:$AH$4,0)),ArchetypeDemand!$F$106:$F$150,$F222)*'SHWLP-Det'!$R$24</f>
        <v>4.2468388822053979E-4</v>
      </c>
      <c r="AA222" s="1134">
        <f>SUMIFS(INDEX(ArchetypeDemand!$I$106:$AH$150,,MATCH(AA$128,ArchetypeDemand!$I$4:$AH$4,0)),ArchetypeDemand!$F$106:$F$150,$F222)*'SHWLP-Det'!$R$24</f>
        <v>1.4833309869281084E-3</v>
      </c>
      <c r="AB222" s="1134">
        <f>SUMIFS(INDEX(ArchetypeDemand!$I$106:$AH$150,,MATCH(AB$128,ArchetypeDemand!$I$4:$AH$4,0)),ArchetypeDemand!$F$106:$F$150,$F222)*'SHWLP-Det'!$R$24</f>
        <v>8.3429127516445841E-4</v>
      </c>
      <c r="AC222" s="1134">
        <f>SUMIFS(INDEX(ArchetypeDemand!$I$106:$AH$150,,MATCH(AC$128,ArchetypeDemand!$I$4:$AH$4,0)),ArchetypeDemand!$F$106:$F$150,$F222)*'SHWLP-Det'!$R$24</f>
        <v>7.2977556712999379E-4</v>
      </c>
      <c r="AD222" s="1134">
        <f>SUMIFS(INDEX(ArchetypeDemand!$I$106:$AH$150,,MATCH(AD$128,ArchetypeDemand!$I$4:$AH$4,0)),ArchetypeDemand!$F$106:$F$150,$F222)*'SHWLP-Det'!$R$24</f>
        <v>6.6069192494589877E-4</v>
      </c>
      <c r="AE222" s="1134">
        <f>SUMIFS(INDEX(ArchetypeDemand!$I$106:$AH$150,,MATCH(AE$128,ArchetypeDemand!$I$4:$AH$4,0)),ArchetypeDemand!$F$106:$F$150,$F222)*'SHWLP-Det'!$R$24</f>
        <v>1.5431471980463225E-3</v>
      </c>
      <c r="AF222" s="1134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38" t="s">
        <v>1251</v>
      </c>
      <c r="D223" s="1138" t="s">
        <v>1094</v>
      </c>
      <c r="E223" s="1138" t="s">
        <v>1252</v>
      </c>
      <c r="F223" s="1138" t="s">
        <v>1229</v>
      </c>
      <c r="G223" s="1138">
        <f>SUMIFS(INDEX(ArchetypeDemand!$I$106:$AH$150,,MATCH(G$128,ArchetypeDemand!$I$4:$AH$4,0)),ArchetypeDemand!$F$106:$F$150,$F223)*'SHWLP-Det'!$R$24</f>
        <v>7.9172744796395325E-4</v>
      </c>
      <c r="H223" s="1138">
        <f>SUMIFS(INDEX(ArchetypeDemand!$I$106:$AH$150,,MATCH(H$128,ArchetypeDemand!$I$4:$AH$4,0)),ArchetypeDemand!$F$106:$F$150,$F223)*'SHWLP-Det'!$R$24</f>
        <v>2.570009562553089E-3</v>
      </c>
      <c r="I223" s="1138">
        <f>SUMIFS(INDEX(ArchetypeDemand!$I$106:$AH$150,,MATCH(I$128,ArchetypeDemand!$I$4:$AH$4,0)),ArchetypeDemand!$F$106:$F$150,$F223)*'SHWLP-Det'!$R$24</f>
        <v>1.2541763728568327E-3</v>
      </c>
      <c r="J223" s="1138">
        <f>SUMIFS(INDEX(ArchetypeDemand!$I$106:$AH$150,,MATCH(J$128,ArchetypeDemand!$I$4:$AH$4,0)),ArchetypeDemand!$F$106:$F$150,$F223)*'SHWLP-Det'!$R$24</f>
        <v>1.5433277224515503E-3</v>
      </c>
      <c r="K223" s="1138">
        <f>SUMIFS(INDEX(ArchetypeDemand!$I$106:$AH$150,,MATCH(K$128,ArchetypeDemand!$I$4:$AH$4,0)),ArchetypeDemand!$F$106:$F$150,$F223)*'SHWLP-Det'!$R$24</f>
        <v>1.1714271282600968E-3</v>
      </c>
      <c r="L223" s="1138">
        <f>SUMIFS(INDEX(ArchetypeDemand!$I$106:$AH$150,,MATCH(L$128,ArchetypeDemand!$I$4:$AH$4,0)),ArchetypeDemand!$F$106:$F$150,$F223)*'SHWLP-Det'!$R$24</f>
        <v>8.5245874321005497E-4</v>
      </c>
      <c r="M223" s="1138">
        <f>SUMIFS(INDEX(ArchetypeDemand!$I$106:$AH$150,,MATCH(M$128,ArchetypeDemand!$I$4:$AH$4,0)),ArchetypeDemand!$F$106:$F$150,$F223)*'SHWLP-Det'!$R$24</f>
        <v>9.7647554208349309E-4</v>
      </c>
      <c r="N223" s="1138">
        <f>SUMIFS(INDEX(ArchetypeDemand!$I$106:$AH$150,,MATCH(N$128,ArchetypeDemand!$I$4:$AH$4,0)),ArchetypeDemand!$F$106:$F$150,$F223)*'SHWLP-Det'!$R$24</f>
        <v>1.7754400261029944E-3</v>
      </c>
      <c r="O223" s="1138">
        <f>SUMIFS(INDEX(ArchetypeDemand!$I$106:$AH$150,,MATCH(O$128,ArchetypeDemand!$I$4:$AH$4,0)),ArchetypeDemand!$F$106:$F$150,$F223)*'SHWLP-Det'!$R$24</f>
        <v>1.2549075790987102E-3</v>
      </c>
      <c r="P223" s="1138">
        <f>SUMIFS(INDEX(ArchetypeDemand!$I$106:$AH$150,,MATCH(P$128,ArchetypeDemand!$I$4:$AH$4,0)),ArchetypeDemand!$F$106:$F$150,$F223)*'SHWLP-Det'!$R$24</f>
        <v>1.4624509160275783E-3</v>
      </c>
      <c r="Q223" s="1138">
        <f>SUMIFS(INDEX(ArchetypeDemand!$I$106:$AH$150,,MATCH(Q$128,ArchetypeDemand!$I$4:$AH$4,0)),ArchetypeDemand!$F$106:$F$150,$F223)*'SHWLP-Det'!$R$24</f>
        <v>1.6972722009648705E-3</v>
      </c>
      <c r="R223" s="1138">
        <f>SUMIFS(INDEX(ArchetypeDemand!$I$106:$AH$150,,MATCH(R$128,ArchetypeDemand!$I$4:$AH$4,0)),ArchetypeDemand!$F$106:$F$150,$F223)*'SHWLP-Det'!$R$24</f>
        <v>1.4270268672758103E-3</v>
      </c>
      <c r="S223" s="1138">
        <f>SUMIFS(INDEX(ArchetypeDemand!$I$106:$AH$150,,MATCH(S$128,ArchetypeDemand!$I$4:$AH$4,0)),ArchetypeDemand!$F$106:$F$150,$F223)*'SHWLP-Det'!$R$24</f>
        <v>1.9345979984348657E-3</v>
      </c>
      <c r="T223" s="1138">
        <f>SUMIFS(INDEX(ArchetypeDemand!$I$106:$AH$150,,MATCH(T$128,ArchetypeDemand!$I$4:$AH$4,0)),ArchetypeDemand!$F$106:$F$150,$F223)*'SHWLP-Det'!$R$24</f>
        <v>5.2773279709003697E-3</v>
      </c>
      <c r="U223" s="1138">
        <f>SUMIFS(INDEX(ArchetypeDemand!$I$106:$AH$150,,MATCH(U$128,ArchetypeDemand!$I$4:$AH$4,0)),ArchetypeDemand!$F$106:$F$150,$F223)*'SHWLP-Det'!$R$24</f>
        <v>2.2701929463136645E-3</v>
      </c>
      <c r="V223" s="1138">
        <f>SUMIFS(INDEX(ArchetypeDemand!$I$106:$AH$150,,MATCH(V$128,ArchetypeDemand!$I$4:$AH$4,0)),ArchetypeDemand!$F$106:$F$150,$F223)*'SHWLP-Det'!$R$24</f>
        <v>2.3665888805408206E-3</v>
      </c>
      <c r="W223" s="1138">
        <f>SUMIFS(INDEX(ArchetypeDemand!$I$106:$AH$150,,MATCH(W$128,ArchetypeDemand!$I$4:$AH$4,0)),ArchetypeDemand!$F$106:$F$150,$F223)*'SHWLP-Det'!$R$24</f>
        <v>2.8596637301241557E-3</v>
      </c>
      <c r="X223" s="1138">
        <f>SUMIFS(INDEX(ArchetypeDemand!$I$106:$AH$150,,MATCH(X$128,ArchetypeDemand!$I$4:$AH$4,0)),ArchetypeDemand!$F$106:$F$150,$F223)*'SHWLP-Det'!$R$24</f>
        <v>8.1090045988201694E-4</v>
      </c>
      <c r="Y223" s="1138">
        <f>SUMIFS(INDEX(ArchetypeDemand!$I$106:$AH$150,,MATCH(Y$128,ArchetypeDemand!$I$4:$AH$4,0)),ArchetypeDemand!$F$106:$F$150,$F223)*'SHWLP-Det'!$R$24</f>
        <v>3.5565685168590542E-3</v>
      </c>
      <c r="Z223" s="1138">
        <f>SUMIFS(INDEX(ArchetypeDemand!$I$106:$AH$150,,MATCH(Z$128,ArchetypeDemand!$I$4:$AH$4,0)),ArchetypeDemand!$F$106:$F$150,$F223)*'SHWLP-Det'!$R$24</f>
        <v>9.4971502429065842E-4</v>
      </c>
      <c r="AA223" s="1138">
        <f>SUMIFS(INDEX(ArchetypeDemand!$I$106:$AH$150,,MATCH(AA$128,ArchetypeDemand!$I$4:$AH$4,0)),ArchetypeDemand!$F$106:$F$150,$F223)*'SHWLP-Det'!$R$24</f>
        <v>2.8409559580148515E-3</v>
      </c>
      <c r="AB223" s="1138">
        <f>SUMIFS(INDEX(ArchetypeDemand!$I$106:$AH$150,,MATCH(AB$128,ArchetypeDemand!$I$4:$AH$4,0)),ArchetypeDemand!$F$106:$F$150,$F223)*'SHWLP-Det'!$R$24</f>
        <v>1.8693142857068316E-3</v>
      </c>
      <c r="AC223" s="1138">
        <f>SUMIFS(INDEX(ArchetypeDemand!$I$106:$AH$150,,MATCH(AC$128,ArchetypeDemand!$I$4:$AH$4,0)),ArchetypeDemand!$F$106:$F$150,$F223)*'SHWLP-Det'!$R$24</f>
        <v>1.2041296857644899E-3</v>
      </c>
      <c r="AD223" s="1138">
        <f>SUMIFS(INDEX(ArchetypeDemand!$I$106:$AH$150,,MATCH(AD$128,ArchetypeDemand!$I$4:$AH$4,0)),ArchetypeDemand!$F$106:$F$150,$F223)*'SHWLP-Det'!$R$24</f>
        <v>1.3097245806280465E-3</v>
      </c>
      <c r="AE223" s="1138">
        <f>SUMIFS(INDEX(ArchetypeDemand!$I$106:$AH$150,,MATCH(AE$128,ArchetypeDemand!$I$4:$AH$4,0)),ArchetypeDemand!$F$106:$F$150,$F223)*'SHWLP-Det'!$R$24</f>
        <v>2.68996697364359E-3</v>
      </c>
      <c r="AF223" s="1138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1" t="s">
        <v>1253</v>
      </c>
      <c r="D224" s="1141" t="s">
        <v>1094</v>
      </c>
      <c r="E224" s="1141" t="s">
        <v>1252</v>
      </c>
      <c r="F224" s="1141" t="s">
        <v>938</v>
      </c>
      <c r="G224" s="1141">
        <f>SUM(ArchetypeDemand!I106:I150)*'SHWLP-Det'!$R$50</f>
        <v>7.8200672742006205E-3</v>
      </c>
      <c r="H224" s="1141">
        <f>SUM(ArchetypeDemand!J106:J150)*'SHWLP-Det'!$R$50</f>
        <v>4.0599825507927435E-2</v>
      </c>
      <c r="I224" s="1141">
        <f>SUM(ArchetypeDemand!K106:K150)*'SHWLP-Det'!$R$50</f>
        <v>2.1908408301513912E-2</v>
      </c>
      <c r="J224" s="1141">
        <f>SUM(ArchetypeDemand!L106:L150)*'SHWLP-Det'!$R$50</f>
        <v>1.5103257356414016E-2</v>
      </c>
      <c r="K224" s="1141">
        <f>SUM(ArchetypeDemand!M106:M150)*'SHWLP-Det'!$R$50</f>
        <v>1.1780783825646112E-2</v>
      </c>
      <c r="L224" s="1141">
        <f>SUM(ArchetypeDemand!N106:N150)*'SHWLP-Det'!$R$50</f>
        <v>7.0262072599496768E-3</v>
      </c>
      <c r="M224" s="1141">
        <f>SUM(ArchetypeDemand!O106:O150)*'SHWLP-Det'!$R$50</f>
        <v>1.3639560939040693E-2</v>
      </c>
      <c r="N224" s="1141">
        <f>SUM(ArchetypeDemand!P106:P150)*'SHWLP-Det'!$R$50</f>
        <v>2.481433197745294E-2</v>
      </c>
      <c r="O224" s="1141">
        <f>SUM(ArchetypeDemand!Q106:Q150)*'SHWLP-Det'!$R$50</f>
        <v>1.1542637920063225E-2</v>
      </c>
      <c r="P224" s="1141">
        <f>SUM(ArchetypeDemand!R106:R150)*'SHWLP-Det'!$R$50</f>
        <v>1.2162004478879015E-2</v>
      </c>
      <c r="Q224" s="1141">
        <f>SUM(ArchetypeDemand!S106:S150)*'SHWLP-Det'!$R$50</f>
        <v>2.4492036977300839E-2</v>
      </c>
      <c r="R224" s="1141">
        <f>SUM(ArchetypeDemand!T106:T150)*'SHWLP-Det'!$R$50</f>
        <v>1.6287580028719873E-2</v>
      </c>
      <c r="S224" s="1141">
        <f>SUM(ArchetypeDemand!U106:U150)*'SHWLP-Det'!$R$50</f>
        <v>1.8956623089561558E-2</v>
      </c>
      <c r="T224" s="1141">
        <f>SUM(ArchetypeDemand!V106:V150)*'SHWLP-Det'!$R$50</f>
        <v>6.4129739729222882E-2</v>
      </c>
      <c r="U224" s="1141">
        <f>SUM(ArchetypeDemand!W106:W150)*'SHWLP-Det'!$R$50</f>
        <v>2.6298157830172229E-2</v>
      </c>
      <c r="V224" s="1141">
        <f>SUM(ArchetypeDemand!X106:X150)*'SHWLP-Det'!$R$50</f>
        <v>2.3676948418838613E-2</v>
      </c>
      <c r="W224" s="1141">
        <f>SUM(ArchetypeDemand!Y106:Y150)*'SHWLP-Det'!$R$50</f>
        <v>2.5277695851190284E-2</v>
      </c>
      <c r="X224" s="1141">
        <f>SUM(ArchetypeDemand!Z106:Z150)*'SHWLP-Det'!$R$50</f>
        <v>1.3839064049704737E-2</v>
      </c>
      <c r="Y224" s="1141">
        <f>SUM(ArchetypeDemand!AA106:AA150)*'SHWLP-Det'!$R$50</f>
        <v>4.0031167044177966E-2</v>
      </c>
      <c r="Z224" s="1141">
        <f>SUM(ArchetypeDemand!AB106:AB150)*'SHWLP-Det'!$R$50</f>
        <v>6.5796113728735939E-3</v>
      </c>
      <c r="AA224" s="1141">
        <f>SUM(ArchetypeDemand!AC106:AC150)*'SHWLP-Det'!$R$50</f>
        <v>2.5085587577403885E-2</v>
      </c>
      <c r="AB224" s="1141">
        <f>SUM(ArchetypeDemand!AD106:AD150)*'SHWLP-Det'!$R$50</f>
        <v>1.3071509456295172E-2</v>
      </c>
      <c r="AC224" s="1141">
        <f>SUM(ArchetypeDemand!AE106:AE150)*'SHWLP-Det'!$R$50</f>
        <v>1.0478476694874067E-2</v>
      </c>
      <c r="AD224" s="1141">
        <f>SUM(ArchetypeDemand!AF106:AF150)*'SHWLP-Det'!$R$50</f>
        <v>1.309961880493858E-2</v>
      </c>
      <c r="AE224" s="1141">
        <f>SUM(ArchetypeDemand!AG106:AG150)*'SHWLP-Det'!$R$50</f>
        <v>2.9451549198705913E-2</v>
      </c>
      <c r="AF224" s="1141">
        <f>SUM(ArchetypeDemand!AH106:AH150)*'SHWLP-Det'!$R$50</f>
        <v>1.0233322747466547E-2</v>
      </c>
    </row>
    <row r="225" spans="3:32" ht="15.75" thickBot="1">
      <c r="C225" s="1137" t="s">
        <v>1222</v>
      </c>
      <c r="D225" s="1137"/>
      <c r="E225" s="1137"/>
      <c r="F225" s="1137"/>
      <c r="G225" s="1137"/>
      <c r="H225" s="1137"/>
      <c r="I225" s="1137"/>
      <c r="J225" s="1137"/>
      <c r="K225" s="1137"/>
      <c r="L225" s="1137"/>
      <c r="M225" s="1137"/>
      <c r="N225" s="1137"/>
      <c r="O225" s="1137"/>
      <c r="P225" s="1137"/>
      <c r="Q225" s="1137"/>
      <c r="R225" s="1137"/>
      <c r="S225" s="1137"/>
      <c r="T225" s="1137"/>
      <c r="U225" s="1137"/>
      <c r="V225" s="1137"/>
      <c r="W225" s="1137"/>
      <c r="X225" s="1137"/>
      <c r="Y225" s="1137"/>
      <c r="Z225" s="1137"/>
      <c r="AA225" s="1137"/>
      <c r="AB225" s="1137"/>
      <c r="AC225" s="1137"/>
      <c r="AD225" s="1137"/>
      <c r="AE225" s="1137"/>
      <c r="AF225" s="1137"/>
    </row>
    <row r="226" spans="3:32" ht="13.5" thickBot="1">
      <c r="C226" s="1141" t="s">
        <v>1254</v>
      </c>
      <c r="D226" s="1141" t="s">
        <v>1094</v>
      </c>
      <c r="E226" s="1141" t="s">
        <v>836</v>
      </c>
      <c r="F226" s="1141" t="s">
        <v>938</v>
      </c>
      <c r="G226" s="1141">
        <f>SUM(ArchetypeDemand!I106:I150)*'SHWLP-Det'!$R$51</f>
        <v>0.1081700516141598</v>
      </c>
      <c r="H226" s="1141">
        <f>SUM(ArchetypeDemand!J106:J150)*'SHWLP-Det'!$R$51</f>
        <v>0.56159174425610259</v>
      </c>
      <c r="I226" s="1141">
        <f>SUM(ArchetypeDemand!K106:K150)*'SHWLP-Det'!$R$51</f>
        <v>0.30304517514538837</v>
      </c>
      <c r="J226" s="1141">
        <f>SUM(ArchetypeDemand!L106:L150)*'SHWLP-Det'!$R$51</f>
        <v>0.20891382011189208</v>
      </c>
      <c r="K226" s="1141">
        <f>SUM(ArchetypeDemand!M106:M150)*'SHWLP-Det'!$R$51</f>
        <v>0.16295614216511489</v>
      </c>
      <c r="L226" s="1141">
        <f>SUM(ArchetypeDemand!N106:N150)*'SHWLP-Det'!$R$51</f>
        <v>9.7189087422298648E-2</v>
      </c>
      <c r="M226" s="1141">
        <f>SUM(ArchetypeDemand!O106:O150)*'SHWLP-Det'!$R$51</f>
        <v>0.18866743201020947</v>
      </c>
      <c r="N226" s="1141">
        <f>SUM(ArchetypeDemand!P106:P150)*'SHWLP-Det'!$R$51</f>
        <v>0.34324098203443654</v>
      </c>
      <c r="O226" s="1141">
        <f>SUM(ArchetypeDemand!Q106:Q150)*'SHWLP-Det'!$R$51</f>
        <v>0.15966202026112719</v>
      </c>
      <c r="P226" s="1141">
        <f>SUM(ArchetypeDemand!R106:R150)*'SHWLP-Det'!$R$51</f>
        <v>0.16822932669034674</v>
      </c>
      <c r="Q226" s="1141">
        <f>SUM(ArchetypeDemand!S106:S150)*'SHWLP-Det'!$R$51</f>
        <v>0.33878287885206942</v>
      </c>
      <c r="R226" s="1141">
        <f>SUM(ArchetypeDemand!T106:T150)*'SHWLP-Det'!$R$51</f>
        <v>0.22529580764463231</v>
      </c>
      <c r="S226" s="1141">
        <f>SUM(ArchetypeDemand!U106:U150)*'SHWLP-Det'!$R$51</f>
        <v>0.2622149945938485</v>
      </c>
      <c r="T226" s="1141">
        <f>SUM(ArchetypeDemand!V106:V150)*'SHWLP-Det'!$R$51</f>
        <v>0.88706618668082682</v>
      </c>
      <c r="U226" s="1141">
        <f>SUM(ArchetypeDemand!W106:W150)*'SHWLP-Det'!$R$51</f>
        <v>0.3637658079019323</v>
      </c>
      <c r="V226" s="1141">
        <f>SUM(ArchetypeDemand!X106:X150)*'SHWLP-Det'!$R$51</f>
        <v>0.32750827361563523</v>
      </c>
      <c r="W226" s="1141">
        <f>SUM(ArchetypeDemand!Y106:Y150)*'SHWLP-Det'!$R$51</f>
        <v>0.34965040184897761</v>
      </c>
      <c r="X226" s="1141">
        <f>SUM(ArchetypeDemand!Z106:Z150)*'SHWLP-Det'!$R$51</f>
        <v>0.19142703253806054</v>
      </c>
      <c r="Y226" s="1141">
        <f>SUM(ArchetypeDemand!AA106:AA150)*'SHWLP-Det'!$R$51</f>
        <v>0.55372585087977011</v>
      </c>
      <c r="Z226" s="1141">
        <f>SUM(ArchetypeDemand!AB106:AB150)*'SHWLP-Det'!$R$51</f>
        <v>9.1011608576935452E-2</v>
      </c>
      <c r="AA226" s="1141">
        <f>SUM(ArchetypeDemand!AC106:AC150)*'SHWLP-Det'!$R$51</f>
        <v>0.34699308942923168</v>
      </c>
      <c r="AB226" s="1141">
        <f>SUM(ArchetypeDemand!AD106:AD150)*'SHWLP-Det'!$R$51</f>
        <v>0.1808099346187482</v>
      </c>
      <c r="AC226" s="1141">
        <f>SUM(ArchetypeDemand!AE106:AE150)*'SHWLP-Det'!$R$51</f>
        <v>0.14494215013491199</v>
      </c>
      <c r="AD226" s="1141">
        <f>SUM(ArchetypeDemand!AF106:AF150)*'SHWLP-Det'!$R$51</f>
        <v>0.18119875348525963</v>
      </c>
      <c r="AE226" s="1141">
        <f>SUM(ArchetypeDemand!AG106:AG150)*'SHWLP-Det'!$R$51</f>
        <v>0.40738467908725762</v>
      </c>
      <c r="AF226" s="1141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41" t="s">
        <v>407</v>
      </c>
      <c r="B1" s="1341"/>
      <c r="C1" s="1341"/>
      <c r="D1" s="1341"/>
      <c r="E1" s="1341"/>
      <c r="F1" s="1341"/>
      <c r="G1" s="1341"/>
      <c r="H1" s="1341"/>
      <c r="I1" s="1341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408</v>
      </c>
      <c r="X4" s="58" t="s">
        <v>408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410</v>
      </c>
      <c r="O6" t="s">
        <v>411</v>
      </c>
      <c r="P6" t="s">
        <v>412</v>
      </c>
      <c r="Q6" t="s">
        <v>413</v>
      </c>
      <c r="R6" s="58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s="58" t="s">
        <v>393</v>
      </c>
      <c r="AG6" t="s">
        <v>394</v>
      </c>
      <c r="AH6" t="s">
        <v>409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410</v>
      </c>
      <c r="AO6" t="s">
        <v>411</v>
      </c>
      <c r="AP6" t="s">
        <v>412</v>
      </c>
      <c r="AQ6" t="s">
        <v>413</v>
      </c>
      <c r="AR6" t="s">
        <v>414</v>
      </c>
      <c r="AS6" t="s">
        <v>415</v>
      </c>
      <c r="AT6" s="58" t="s">
        <v>416</v>
      </c>
      <c r="AU6" t="s">
        <v>417</v>
      </c>
      <c r="AV6" t="s">
        <v>418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560</v>
      </c>
      <c r="AE7" t="s">
        <v>560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560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560</v>
      </c>
      <c r="AD9" t="s">
        <v>136</v>
      </c>
      <c r="AE9" t="s">
        <v>560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560</v>
      </c>
      <c r="AD10" t="s">
        <v>400</v>
      </c>
      <c r="AE10" t="s">
        <v>560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419</v>
      </c>
      <c r="AD11" t="s">
        <v>136</v>
      </c>
      <c r="AE11" t="s">
        <v>560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560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560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560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560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572</v>
      </c>
      <c r="AD16" t="s">
        <v>136</v>
      </c>
      <c r="AE16" t="s">
        <v>560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572</v>
      </c>
      <c r="AD17" t="s">
        <v>402</v>
      </c>
      <c r="AE17" t="s">
        <v>560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420</v>
      </c>
      <c r="AD18" t="s">
        <v>136</v>
      </c>
      <c r="AE18" t="s">
        <v>560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419</v>
      </c>
      <c r="E19" t="s">
        <v>419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560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560</v>
      </c>
      <c r="AD20" t="s">
        <v>136</v>
      </c>
      <c r="AE20" t="s">
        <v>560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560</v>
      </c>
      <c r="AD21" t="s">
        <v>402</v>
      </c>
      <c r="AE21" t="s">
        <v>560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427</v>
      </c>
      <c r="AD22" t="s">
        <v>136</v>
      </c>
      <c r="AE22" t="s">
        <v>560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423</v>
      </c>
      <c r="AD23" t="s">
        <v>136</v>
      </c>
      <c r="AE23" t="s">
        <v>560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560</v>
      </c>
      <c r="AD24" t="s">
        <v>401</v>
      </c>
      <c r="AE24" t="s">
        <v>560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427</v>
      </c>
      <c r="AD25" t="s">
        <v>401</v>
      </c>
      <c r="AE25" t="s">
        <v>560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560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560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572</v>
      </c>
      <c r="AD29" t="s">
        <v>402</v>
      </c>
      <c r="AE29" t="s">
        <v>560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420</v>
      </c>
      <c r="AD30" t="s">
        <v>402</v>
      </c>
      <c r="AE30" t="s">
        <v>560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560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560</v>
      </c>
      <c r="AD32" t="s">
        <v>402</v>
      </c>
      <c r="AE32" t="s">
        <v>560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427</v>
      </c>
      <c r="AD33" t="s">
        <v>402</v>
      </c>
      <c r="AE33" t="s">
        <v>560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423</v>
      </c>
      <c r="AD34" t="s">
        <v>402</v>
      </c>
      <c r="AE34" t="s">
        <v>560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419</v>
      </c>
      <c r="E35" s="122" t="s">
        <v>419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560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560</v>
      </c>
      <c r="AE36" t="s">
        <v>560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560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560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420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421</v>
      </c>
      <c r="AD39" t="s">
        <v>400</v>
      </c>
      <c r="AE39" t="s">
        <v>560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420</v>
      </c>
      <c r="E40" s="122" t="s">
        <v>420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560</v>
      </c>
      <c r="AD40" t="s">
        <v>400</v>
      </c>
      <c r="AE40" t="s">
        <v>560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419</v>
      </c>
      <c r="E41" s="122" t="s">
        <v>419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560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560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572</v>
      </c>
      <c r="AD43" t="s">
        <v>136</v>
      </c>
      <c r="AE43" t="s">
        <v>560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420</v>
      </c>
      <c r="AD44" t="s">
        <v>136</v>
      </c>
      <c r="AE44" t="s">
        <v>560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421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560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560</v>
      </c>
      <c r="AD46" t="s">
        <v>136</v>
      </c>
      <c r="AE46" t="s">
        <v>560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422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427</v>
      </c>
      <c r="AD47" t="s">
        <v>136</v>
      </c>
      <c r="AE47" t="s">
        <v>560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420</v>
      </c>
      <c r="E48" s="122" t="s">
        <v>420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419</v>
      </c>
      <c r="AD48" t="s">
        <v>401</v>
      </c>
      <c r="AE48" t="s">
        <v>560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572</v>
      </c>
      <c r="AD49" t="s">
        <v>136</v>
      </c>
      <c r="AE49" t="s">
        <v>560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572</v>
      </c>
      <c r="AD50" t="s">
        <v>401</v>
      </c>
      <c r="AE50" t="s">
        <v>560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420</v>
      </c>
      <c r="AD51" t="s">
        <v>401</v>
      </c>
      <c r="AE51" t="s">
        <v>560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560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560</v>
      </c>
      <c r="AD53" t="s">
        <v>401</v>
      </c>
      <c r="AE53" t="s">
        <v>560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427</v>
      </c>
      <c r="AD54" t="s">
        <v>401</v>
      </c>
      <c r="AE54" t="s">
        <v>560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560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560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572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572</v>
      </c>
      <c r="AD60" t="s">
        <v>402</v>
      </c>
      <c r="AE60" t="s">
        <v>560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550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420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420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420</v>
      </c>
      <c r="AD62" t="s">
        <v>402</v>
      </c>
      <c r="AE62" t="s">
        <v>560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560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560</v>
      </c>
      <c r="AD64" t="s">
        <v>402</v>
      </c>
      <c r="AE64" t="s">
        <v>560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427</v>
      </c>
      <c r="AD65" t="s">
        <v>402</v>
      </c>
      <c r="AE65" t="s">
        <v>560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560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560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419</v>
      </c>
      <c r="E68" s="122" t="s">
        <v>419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560</v>
      </c>
      <c r="AE68" t="s">
        <v>560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419</v>
      </c>
      <c r="AC69" t="s">
        <v>560</v>
      </c>
      <c r="AD69" t="s">
        <v>419</v>
      </c>
      <c r="AE69" t="s">
        <v>560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419</v>
      </c>
      <c r="AC70" t="s">
        <v>560</v>
      </c>
      <c r="AD70" t="s">
        <v>402</v>
      </c>
      <c r="AE70" t="s">
        <v>560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419</v>
      </c>
      <c r="E72" s="122" t="s">
        <v>419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560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419</v>
      </c>
      <c r="AE73" t="s">
        <v>560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560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560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421</v>
      </c>
      <c r="AD76" t="s">
        <v>400</v>
      </c>
      <c r="AE76" t="s">
        <v>560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420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419</v>
      </c>
      <c r="E78" t="s">
        <v>419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420</v>
      </c>
      <c r="AD78" t="s">
        <v>400</v>
      </c>
      <c r="AE78" t="s">
        <v>560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560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560</v>
      </c>
      <c r="AD80" t="s">
        <v>400</v>
      </c>
      <c r="AE80" t="s">
        <v>560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560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420</v>
      </c>
      <c r="AE83" t="s">
        <v>560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419</v>
      </c>
      <c r="E84" s="122" t="s">
        <v>419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573</v>
      </c>
      <c r="AD84" t="s">
        <v>136</v>
      </c>
      <c r="AE84" t="s">
        <v>560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560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572</v>
      </c>
      <c r="AD86" t="s">
        <v>136</v>
      </c>
      <c r="AE86" t="s">
        <v>560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420</v>
      </c>
      <c r="AD87" t="s">
        <v>136</v>
      </c>
      <c r="AE87" t="s">
        <v>560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560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420</v>
      </c>
      <c r="E89" t="s">
        <v>420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560</v>
      </c>
      <c r="AD89" t="s">
        <v>136</v>
      </c>
      <c r="AE89" t="s">
        <v>560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427</v>
      </c>
      <c r="AD90" t="s">
        <v>136</v>
      </c>
      <c r="AE90" t="s">
        <v>560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560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550</v>
      </c>
      <c r="E93" s="122" t="s">
        <v>550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573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420</v>
      </c>
      <c r="E94" s="122" t="s">
        <v>420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573</v>
      </c>
      <c r="AD94" t="s">
        <v>401</v>
      </c>
      <c r="AE94" t="s">
        <v>560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421</v>
      </c>
      <c r="AD95" t="s">
        <v>401</v>
      </c>
      <c r="AE95" t="s">
        <v>560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572</v>
      </c>
      <c r="AD96" t="s">
        <v>401</v>
      </c>
      <c r="AE96" t="s">
        <v>560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425</v>
      </c>
      <c r="AD97" t="s">
        <v>401</v>
      </c>
      <c r="AE97" t="s">
        <v>560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420</v>
      </c>
      <c r="E98" t="s">
        <v>420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420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420</v>
      </c>
      <c r="AD99" t="s">
        <v>401</v>
      </c>
      <c r="AE99" t="s">
        <v>560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560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560</v>
      </c>
      <c r="AD101" t="s">
        <v>401</v>
      </c>
      <c r="AE101" t="s">
        <v>560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427</v>
      </c>
      <c r="AD102" t="s">
        <v>401</v>
      </c>
      <c r="AE102" t="s">
        <v>560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421</v>
      </c>
      <c r="E103" s="122" t="s">
        <v>421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571</v>
      </c>
      <c r="AD103" t="s">
        <v>402</v>
      </c>
      <c r="AE103" t="s">
        <v>560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420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560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420</v>
      </c>
      <c r="E106" s="122" t="s">
        <v>420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421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426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421</v>
      </c>
      <c r="AD107" t="s">
        <v>402</v>
      </c>
      <c r="AE107" t="s">
        <v>560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426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560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426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426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560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426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572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426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572</v>
      </c>
      <c r="AD112" t="s">
        <v>402</v>
      </c>
      <c r="AE112" t="s">
        <v>560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426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420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426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420</v>
      </c>
      <c r="AD114" t="s">
        <v>402</v>
      </c>
      <c r="AE114" t="s">
        <v>560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426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560</v>
      </c>
      <c r="AD115" t="s">
        <v>400</v>
      </c>
      <c r="AE115" t="s">
        <v>560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426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560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426</v>
      </c>
      <c r="C117" t="s">
        <v>56</v>
      </c>
      <c r="D117" t="s">
        <v>419</v>
      </c>
      <c r="E117" t="s">
        <v>419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560</v>
      </c>
      <c r="AD117" t="s">
        <v>402</v>
      </c>
      <c r="AE117" t="s">
        <v>560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426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427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426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427</v>
      </c>
      <c r="AD119" t="s">
        <v>402</v>
      </c>
      <c r="AE119" t="s">
        <v>560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426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560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426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560</v>
      </c>
      <c r="AE121" t="s">
        <v>560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426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419</v>
      </c>
      <c r="AC122" t="s">
        <v>136</v>
      </c>
      <c r="AD122" t="s">
        <v>400</v>
      </c>
      <c r="AE122" t="s">
        <v>560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426</v>
      </c>
      <c r="C123" t="s">
        <v>56</v>
      </c>
      <c r="D123" t="s">
        <v>425</v>
      </c>
      <c r="E123" t="s">
        <v>425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419</v>
      </c>
      <c r="AC123" t="s">
        <v>560</v>
      </c>
      <c r="AD123" t="s">
        <v>419</v>
      </c>
      <c r="AE123" t="s">
        <v>560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426</v>
      </c>
      <c r="C124" t="s">
        <v>56</v>
      </c>
      <c r="D124" t="s">
        <v>420</v>
      </c>
      <c r="E124" t="s">
        <v>420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419</v>
      </c>
      <c r="AC124" t="s">
        <v>560</v>
      </c>
      <c r="AD124" t="s">
        <v>402</v>
      </c>
      <c r="AE124" t="s">
        <v>560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426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419</v>
      </c>
      <c r="AD125" t="s">
        <v>419</v>
      </c>
      <c r="AE125" t="s">
        <v>560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426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419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426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419</v>
      </c>
      <c r="AD127" t="s">
        <v>400</v>
      </c>
      <c r="AE127" t="s">
        <v>560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426</v>
      </c>
      <c r="C128" t="s">
        <v>58</v>
      </c>
      <c r="D128" t="s">
        <v>136</v>
      </c>
      <c r="E128" t="s">
        <v>550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426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560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426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426</v>
      </c>
      <c r="C131" t="s">
        <v>58</v>
      </c>
      <c r="D131" t="s">
        <v>421</v>
      </c>
      <c r="E131" t="s">
        <v>421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560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426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421</v>
      </c>
      <c r="AD132" t="s">
        <v>400</v>
      </c>
      <c r="AE132" t="s">
        <v>560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426</v>
      </c>
      <c r="C133" t="s">
        <v>58</v>
      </c>
      <c r="D133" t="s">
        <v>550</v>
      </c>
      <c r="E133" t="s">
        <v>550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572</v>
      </c>
      <c r="AD133" t="s">
        <v>400</v>
      </c>
      <c r="AE133" t="s">
        <v>560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426</v>
      </c>
      <c r="C134" t="s">
        <v>58</v>
      </c>
      <c r="D134" t="s">
        <v>420</v>
      </c>
      <c r="E134" t="s">
        <v>420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425</v>
      </c>
      <c r="AD134" t="s">
        <v>400</v>
      </c>
      <c r="AE134" t="s">
        <v>560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426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420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426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420</v>
      </c>
      <c r="AD136" t="s">
        <v>400</v>
      </c>
      <c r="AE136" t="s">
        <v>560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426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560</v>
      </c>
      <c r="AD137" t="s">
        <v>419</v>
      </c>
      <c r="AE137" t="s">
        <v>560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426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560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426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560</v>
      </c>
      <c r="AD139" t="s">
        <v>400</v>
      </c>
      <c r="AE139" t="s">
        <v>560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426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560</v>
      </c>
      <c r="AD140" t="s">
        <v>402</v>
      </c>
      <c r="AE140" t="s">
        <v>560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426</v>
      </c>
      <c r="C141" t="s">
        <v>60</v>
      </c>
      <c r="D141" t="s">
        <v>550</v>
      </c>
      <c r="E141" t="s">
        <v>550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419</v>
      </c>
      <c r="AD141" t="s">
        <v>136</v>
      </c>
      <c r="AE141" t="s">
        <v>560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426</v>
      </c>
      <c r="C142" t="s">
        <v>60</v>
      </c>
      <c r="D142" t="s">
        <v>420</v>
      </c>
      <c r="E142" t="s">
        <v>420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426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560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426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420</v>
      </c>
      <c r="AE144" t="s">
        <v>560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426</v>
      </c>
      <c r="C145" t="s">
        <v>62</v>
      </c>
      <c r="D145" t="s">
        <v>136</v>
      </c>
      <c r="E145" t="s">
        <v>420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573</v>
      </c>
      <c r="AD145" t="s">
        <v>136</v>
      </c>
      <c r="AE145" t="s">
        <v>560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426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573</v>
      </c>
      <c r="AD146" t="s">
        <v>401</v>
      </c>
      <c r="AE146" t="s">
        <v>560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426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560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426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572</v>
      </c>
      <c r="AD148" t="s">
        <v>136</v>
      </c>
      <c r="AE148" t="s">
        <v>560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426</v>
      </c>
      <c r="C149" t="s">
        <v>62</v>
      </c>
      <c r="D149" t="s">
        <v>550</v>
      </c>
      <c r="E149" t="s">
        <v>550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420</v>
      </c>
      <c r="AD149" t="s">
        <v>136</v>
      </c>
      <c r="AE149" t="s">
        <v>560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426</v>
      </c>
      <c r="C150" t="s">
        <v>62</v>
      </c>
      <c r="D150" t="s">
        <v>420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560</v>
      </c>
      <c r="AD150" t="s">
        <v>419</v>
      </c>
      <c r="AE150" t="s">
        <v>560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426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560</v>
      </c>
      <c r="AD151" t="s">
        <v>400</v>
      </c>
      <c r="AE151" t="s">
        <v>560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426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560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426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560</v>
      </c>
      <c r="AD153" t="s">
        <v>136</v>
      </c>
      <c r="AE153" t="s">
        <v>560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426</v>
      </c>
      <c r="C154" t="s">
        <v>64</v>
      </c>
      <c r="D154" t="s">
        <v>136</v>
      </c>
      <c r="E154" t="s">
        <v>550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560</v>
      </c>
      <c r="AD154" t="s">
        <v>401</v>
      </c>
      <c r="AE154" t="s">
        <v>560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426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427</v>
      </c>
      <c r="AD155" t="s">
        <v>136</v>
      </c>
      <c r="AE155" t="s">
        <v>560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426</v>
      </c>
      <c r="C156" t="s">
        <v>64</v>
      </c>
      <c r="D156" t="s">
        <v>421</v>
      </c>
      <c r="E156" t="s">
        <v>421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419</v>
      </c>
      <c r="AD156" t="s">
        <v>401</v>
      </c>
      <c r="AE156" t="s">
        <v>560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426</v>
      </c>
      <c r="C157" t="s">
        <v>64</v>
      </c>
      <c r="D157" t="s">
        <v>550</v>
      </c>
      <c r="E157" t="s">
        <v>550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426</v>
      </c>
      <c r="C158" t="s">
        <v>64</v>
      </c>
      <c r="D158" t="s">
        <v>420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560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426</v>
      </c>
      <c r="C159" t="s">
        <v>64</v>
      </c>
      <c r="D159" t="s">
        <v>420</v>
      </c>
      <c r="E159" t="s">
        <v>420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573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428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573</v>
      </c>
      <c r="AD160" t="s">
        <v>401</v>
      </c>
      <c r="AE160" t="s">
        <v>560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428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573</v>
      </c>
      <c r="AD161" t="s">
        <v>420</v>
      </c>
      <c r="AE161" t="s">
        <v>560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428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421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428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421</v>
      </c>
      <c r="AD163" t="s">
        <v>401</v>
      </c>
      <c r="AE163" t="s">
        <v>560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428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572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428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572</v>
      </c>
      <c r="AD165" t="s">
        <v>401</v>
      </c>
      <c r="AE165" t="s">
        <v>560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428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422</v>
      </c>
      <c r="AD166" t="s">
        <v>401</v>
      </c>
      <c r="AE166" t="s">
        <v>560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428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420</v>
      </c>
      <c r="AD167" t="s">
        <v>136</v>
      </c>
      <c r="AE167" t="s">
        <v>560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428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420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428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420</v>
      </c>
      <c r="AD169" t="s">
        <v>401</v>
      </c>
      <c r="AE169" t="s">
        <v>560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428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560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428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560</v>
      </c>
      <c r="AD171" t="s">
        <v>401</v>
      </c>
      <c r="AE171" t="s">
        <v>560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428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427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428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427</v>
      </c>
      <c r="AD173" t="s">
        <v>401</v>
      </c>
      <c r="AE173" t="s">
        <v>560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428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428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560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428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421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428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421</v>
      </c>
      <c r="AD177" t="s">
        <v>402</v>
      </c>
      <c r="AE177" t="s">
        <v>560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428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419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428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428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560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428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423</v>
      </c>
      <c r="AE181" t="s">
        <v>560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428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572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428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572</v>
      </c>
      <c r="AD183" t="s">
        <v>402</v>
      </c>
      <c r="AE183" t="s">
        <v>560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428</v>
      </c>
      <c r="C184" t="s">
        <v>56</v>
      </c>
      <c r="D184" t="s">
        <v>136</v>
      </c>
      <c r="E184" t="s">
        <v>420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420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428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420</v>
      </c>
      <c r="AD185" t="s">
        <v>402</v>
      </c>
      <c r="AE185" t="s">
        <v>560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428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560</v>
      </c>
      <c r="AD186" t="s">
        <v>400</v>
      </c>
      <c r="AE186" t="s">
        <v>560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428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560</v>
      </c>
      <c r="AD187" t="s">
        <v>136</v>
      </c>
      <c r="AE187" t="s">
        <v>560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428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560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428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560</v>
      </c>
      <c r="AD189" t="s">
        <v>402</v>
      </c>
      <c r="AE189" t="s">
        <v>560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428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475</v>
      </c>
      <c r="AD190" t="s">
        <v>402</v>
      </c>
      <c r="AE190" t="s">
        <v>560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428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427</v>
      </c>
      <c r="AD191" t="s">
        <v>402</v>
      </c>
      <c r="AE191" t="s">
        <v>560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428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423</v>
      </c>
      <c r="AD192" t="s">
        <v>402</v>
      </c>
      <c r="AE192" t="s">
        <v>560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428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420</v>
      </c>
      <c r="AC193" t="s">
        <v>560</v>
      </c>
      <c r="AD193" t="s">
        <v>420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428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560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428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560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428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560</v>
      </c>
      <c r="AD196" t="s">
        <v>402</v>
      </c>
      <c r="AE196" t="s">
        <v>560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428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560</v>
      </c>
      <c r="AD197" t="s">
        <v>403</v>
      </c>
      <c r="AE197" t="s">
        <v>560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428</v>
      </c>
      <c r="C198" t="s">
        <v>60</v>
      </c>
      <c r="D198" t="s">
        <v>136</v>
      </c>
      <c r="E198" t="s">
        <v>550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560</v>
      </c>
      <c r="AE198" t="s">
        <v>560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428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560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428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419</v>
      </c>
      <c r="AC200" t="s">
        <v>571</v>
      </c>
      <c r="AD200" t="s">
        <v>419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428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419</v>
      </c>
      <c r="AC201" t="s">
        <v>419</v>
      </c>
      <c r="AD201" t="s">
        <v>419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428</v>
      </c>
      <c r="C202" t="s">
        <v>60</v>
      </c>
      <c r="D202" t="s">
        <v>550</v>
      </c>
      <c r="E202" t="s">
        <v>550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419</v>
      </c>
      <c r="AC202" t="s">
        <v>419</v>
      </c>
      <c r="AD202" t="s">
        <v>419</v>
      </c>
      <c r="AE202" t="s">
        <v>560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428</v>
      </c>
      <c r="C203" t="s">
        <v>60</v>
      </c>
      <c r="D203" t="s">
        <v>420</v>
      </c>
      <c r="E203" t="s">
        <v>420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419</v>
      </c>
      <c r="AC203" t="s">
        <v>136</v>
      </c>
      <c r="AD203" t="s">
        <v>419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428</v>
      </c>
      <c r="C204" t="s">
        <v>60</v>
      </c>
      <c r="D204" t="s">
        <v>427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419</v>
      </c>
      <c r="AC204" t="s">
        <v>136</v>
      </c>
      <c r="AD204" t="s">
        <v>419</v>
      </c>
      <c r="AE204" t="s">
        <v>560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428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419</v>
      </c>
      <c r="AC205" t="s">
        <v>421</v>
      </c>
      <c r="AD205" t="s">
        <v>419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428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419</v>
      </c>
      <c r="AC206" t="s">
        <v>572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428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419</v>
      </c>
      <c r="AC207" t="s">
        <v>420</v>
      </c>
      <c r="AD207" t="s">
        <v>419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428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419</v>
      </c>
      <c r="AC208" t="s">
        <v>420</v>
      </c>
      <c r="AD208" t="s">
        <v>419</v>
      </c>
      <c r="AE208" t="s">
        <v>560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428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419</v>
      </c>
      <c r="AC209" t="s">
        <v>560</v>
      </c>
      <c r="AD209" t="s">
        <v>419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428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419</v>
      </c>
      <c r="AC210" t="s">
        <v>560</v>
      </c>
      <c r="AD210" t="s">
        <v>419</v>
      </c>
      <c r="AE210" t="s">
        <v>560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428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419</v>
      </c>
      <c r="AC211" t="s">
        <v>560</v>
      </c>
      <c r="AD211" t="s">
        <v>402</v>
      </c>
      <c r="AE211" t="s">
        <v>560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428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419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428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419</v>
      </c>
      <c r="AD213" t="s">
        <v>400</v>
      </c>
      <c r="AE213" t="s">
        <v>560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428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419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428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428</v>
      </c>
      <c r="C216" t="s">
        <v>64</v>
      </c>
      <c r="D216" t="s">
        <v>550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560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428</v>
      </c>
      <c r="C217" t="s">
        <v>64</v>
      </c>
      <c r="D217" t="s">
        <v>550</v>
      </c>
      <c r="E217" t="s">
        <v>550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560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428</v>
      </c>
      <c r="C218" t="s">
        <v>64</v>
      </c>
      <c r="D218" t="s">
        <v>420</v>
      </c>
      <c r="E218" t="s">
        <v>420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429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560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429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421</v>
      </c>
      <c r="AD220" t="s">
        <v>400</v>
      </c>
      <c r="AE220" t="s">
        <v>560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429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572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429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572</v>
      </c>
      <c r="AD222" t="s">
        <v>400</v>
      </c>
      <c r="AE222" t="s">
        <v>560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429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572</v>
      </c>
      <c r="AD223" t="s">
        <v>136</v>
      </c>
      <c r="AE223" t="s">
        <v>560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429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422</v>
      </c>
      <c r="AD224" t="s">
        <v>400</v>
      </c>
      <c r="AE224" t="s">
        <v>560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429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420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429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420</v>
      </c>
      <c r="AD226" t="s">
        <v>400</v>
      </c>
      <c r="AE226" t="s">
        <v>560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429</v>
      </c>
      <c r="C227" t="s">
        <v>52</v>
      </c>
      <c r="D227" t="s">
        <v>419</v>
      </c>
      <c r="E227" t="s">
        <v>419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560</v>
      </c>
      <c r="AD227" t="s">
        <v>419</v>
      </c>
      <c r="AE227" t="s">
        <v>560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429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560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429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560</v>
      </c>
      <c r="AD229" t="s">
        <v>400</v>
      </c>
      <c r="AE229" t="s">
        <v>560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429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560</v>
      </c>
      <c r="AD230" t="s">
        <v>136</v>
      </c>
      <c r="AE230" t="s">
        <v>560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429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427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429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427</v>
      </c>
      <c r="AD232" t="s">
        <v>400</v>
      </c>
      <c r="AE232" t="s">
        <v>560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429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419</v>
      </c>
      <c r="AD233" t="s">
        <v>136</v>
      </c>
      <c r="AE233" t="s">
        <v>560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429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560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429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560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429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560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429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429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560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429</v>
      </c>
      <c r="C239" t="s">
        <v>54</v>
      </c>
      <c r="D239" t="s">
        <v>420</v>
      </c>
      <c r="E239" t="s">
        <v>420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560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429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420</v>
      </c>
      <c r="AE240" t="s">
        <v>560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429</v>
      </c>
      <c r="C241" t="s">
        <v>56</v>
      </c>
      <c r="D241" t="s">
        <v>419</v>
      </c>
      <c r="E241" s="122" t="s">
        <v>419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421</v>
      </c>
      <c r="AD241" t="s">
        <v>136</v>
      </c>
      <c r="AE241" t="s">
        <v>560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429</v>
      </c>
      <c r="C242" t="s">
        <v>56</v>
      </c>
      <c r="D242" t="s">
        <v>400</v>
      </c>
      <c r="E242" t="s">
        <v>419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560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429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560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429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572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429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572</v>
      </c>
      <c r="AD245" t="s">
        <v>136</v>
      </c>
      <c r="AE245" t="s">
        <v>560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429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572</v>
      </c>
      <c r="AD246" t="s">
        <v>572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429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422</v>
      </c>
      <c r="AD247" t="s">
        <v>136</v>
      </c>
      <c r="AE247" t="s">
        <v>560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429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425</v>
      </c>
      <c r="AD248" t="s">
        <v>136</v>
      </c>
      <c r="AE248" t="s">
        <v>560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429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420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429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420</v>
      </c>
      <c r="AD250" t="s">
        <v>136</v>
      </c>
      <c r="AE250" t="s">
        <v>560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429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560</v>
      </c>
      <c r="AD251" t="s">
        <v>419</v>
      </c>
      <c r="AE251" t="s">
        <v>560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429</v>
      </c>
      <c r="C252" t="s">
        <v>58</v>
      </c>
      <c r="D252" t="s">
        <v>419</v>
      </c>
      <c r="E252" t="s">
        <v>419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560</v>
      </c>
      <c r="AD252" t="s">
        <v>400</v>
      </c>
      <c r="AE252" t="s">
        <v>560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429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560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429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560</v>
      </c>
      <c r="AD254" t="s">
        <v>136</v>
      </c>
      <c r="AE254" t="s">
        <v>560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429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560</v>
      </c>
      <c r="AD255" t="s">
        <v>401</v>
      </c>
      <c r="AE255" t="s">
        <v>560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429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560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429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560</v>
      </c>
      <c r="AD257" t="s">
        <v>402</v>
      </c>
      <c r="AE257" t="s">
        <v>560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429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560</v>
      </c>
      <c r="AD258" t="s">
        <v>420</v>
      </c>
      <c r="AE258" t="s">
        <v>560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429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475</v>
      </c>
      <c r="AD259" t="s">
        <v>136</v>
      </c>
      <c r="AE259" t="s">
        <v>560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429</v>
      </c>
      <c r="C260" t="s">
        <v>58</v>
      </c>
      <c r="D260" t="s">
        <v>402</v>
      </c>
      <c r="E260" t="s">
        <v>427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427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429</v>
      </c>
      <c r="C261" t="s">
        <v>58</v>
      </c>
      <c r="D261" t="s">
        <v>420</v>
      </c>
      <c r="E261" t="s">
        <v>420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427</v>
      </c>
      <c r="AD261" t="s">
        <v>136</v>
      </c>
      <c r="AE261" t="s">
        <v>560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429</v>
      </c>
      <c r="C262" t="s">
        <v>58</v>
      </c>
      <c r="D262" t="s">
        <v>427</v>
      </c>
      <c r="E262" s="122" t="s">
        <v>427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424</v>
      </c>
      <c r="AC262" t="s">
        <v>136</v>
      </c>
      <c r="AD262" t="s">
        <v>136</v>
      </c>
      <c r="AE262" t="s">
        <v>560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429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571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429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419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429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419</v>
      </c>
      <c r="AD265" t="s">
        <v>401</v>
      </c>
      <c r="AE265" t="s">
        <v>560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429</v>
      </c>
      <c r="C266" t="s">
        <v>60</v>
      </c>
      <c r="D266" t="s">
        <v>136</v>
      </c>
      <c r="E266" s="122" t="s">
        <v>421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560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429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560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429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429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560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429</v>
      </c>
      <c r="C270" t="s">
        <v>60</v>
      </c>
      <c r="D270" t="s">
        <v>421</v>
      </c>
      <c r="E270" t="s">
        <v>421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573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429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573</v>
      </c>
      <c r="AD271" t="s">
        <v>401</v>
      </c>
      <c r="AE271" t="s">
        <v>560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429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573</v>
      </c>
      <c r="AD272" t="s">
        <v>572</v>
      </c>
      <c r="AE272" t="s">
        <v>560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429</v>
      </c>
      <c r="C273" t="s">
        <v>60</v>
      </c>
      <c r="D273" t="s">
        <v>420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421</v>
      </c>
      <c r="AD273" t="s">
        <v>136</v>
      </c>
      <c r="AE273" t="s">
        <v>560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429</v>
      </c>
      <c r="C274" t="s">
        <v>60</v>
      </c>
      <c r="D274" t="s">
        <v>420</v>
      </c>
      <c r="E274" t="s">
        <v>420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421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429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421</v>
      </c>
      <c r="AD275" t="s">
        <v>401</v>
      </c>
      <c r="AE275" t="s">
        <v>560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429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560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429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572</v>
      </c>
      <c r="AD277" t="s">
        <v>136</v>
      </c>
      <c r="AE277" t="s">
        <v>560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429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572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429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572</v>
      </c>
      <c r="AD279" t="s">
        <v>401</v>
      </c>
      <c r="AE279" t="s">
        <v>560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429</v>
      </c>
      <c r="C280" t="s">
        <v>62</v>
      </c>
      <c r="D280" t="s">
        <v>420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422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429</v>
      </c>
      <c r="C281" t="s">
        <v>62</v>
      </c>
      <c r="D281" t="s">
        <v>420</v>
      </c>
      <c r="E281" t="s">
        <v>420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422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429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425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429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425</v>
      </c>
      <c r="AD283" t="s">
        <v>421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429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420</v>
      </c>
      <c r="AD284" t="s">
        <v>136</v>
      </c>
      <c r="AE284" t="s">
        <v>560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429</v>
      </c>
      <c r="C285" t="s">
        <v>64</v>
      </c>
      <c r="D285" t="s">
        <v>136</v>
      </c>
      <c r="E285" t="s">
        <v>420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420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429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420</v>
      </c>
      <c r="AD286" t="s">
        <v>401</v>
      </c>
      <c r="AE286" t="s">
        <v>560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429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420</v>
      </c>
      <c r="AD287" t="s">
        <v>420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429</v>
      </c>
      <c r="C288" t="s">
        <v>64</v>
      </c>
      <c r="D288" t="s">
        <v>401</v>
      </c>
      <c r="E288" s="122" t="s">
        <v>420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560</v>
      </c>
      <c r="AD288" t="s">
        <v>136</v>
      </c>
      <c r="AE288" t="s">
        <v>560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429</v>
      </c>
      <c r="C289" t="s">
        <v>64</v>
      </c>
      <c r="D289" t="s">
        <v>421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560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429</v>
      </c>
      <c r="C290" t="s">
        <v>64</v>
      </c>
      <c r="D290" t="s">
        <v>421</v>
      </c>
      <c r="E290" t="s">
        <v>421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560</v>
      </c>
      <c r="AD290" t="s">
        <v>401</v>
      </c>
      <c r="AE290" t="s">
        <v>560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429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475</v>
      </c>
      <c r="AD291" t="s">
        <v>401</v>
      </c>
      <c r="AE291" t="s">
        <v>560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429</v>
      </c>
      <c r="C292" t="s">
        <v>64</v>
      </c>
      <c r="D292" t="s">
        <v>550</v>
      </c>
      <c r="E292" t="s">
        <v>550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427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429</v>
      </c>
      <c r="C293" t="s">
        <v>64</v>
      </c>
      <c r="D293" t="s">
        <v>420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427</v>
      </c>
      <c r="AD293" t="s">
        <v>401</v>
      </c>
      <c r="AE293" t="s">
        <v>560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429</v>
      </c>
      <c r="C294" t="s">
        <v>64</v>
      </c>
      <c r="D294" t="s">
        <v>420</v>
      </c>
      <c r="E294" s="122" t="s">
        <v>420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423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429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423</v>
      </c>
      <c r="AD295" t="s">
        <v>401</v>
      </c>
      <c r="AE295" t="s">
        <v>560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430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571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430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571</v>
      </c>
      <c r="AD297" t="s">
        <v>402</v>
      </c>
      <c r="AE297" t="s">
        <v>560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430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419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430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419</v>
      </c>
      <c r="AD299" t="s">
        <v>402</v>
      </c>
      <c r="AE299" t="s">
        <v>560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430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430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560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430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560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430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430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560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430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573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430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421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430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421</v>
      </c>
      <c r="AD307" t="s">
        <v>402</v>
      </c>
      <c r="AE307" t="s">
        <v>560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430</v>
      </c>
      <c r="C308" t="s">
        <v>54</v>
      </c>
      <c r="D308" t="s">
        <v>419</v>
      </c>
      <c r="E308" t="s">
        <v>419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430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560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430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430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560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430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430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560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430</v>
      </c>
      <c r="C314" t="s">
        <v>56</v>
      </c>
      <c r="D314" t="s">
        <v>419</v>
      </c>
      <c r="E314" t="s">
        <v>419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572</v>
      </c>
      <c r="AE314" t="s">
        <v>560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430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572</v>
      </c>
      <c r="AD315" t="s">
        <v>400</v>
      </c>
      <c r="AE315" t="s">
        <v>560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430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572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430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572</v>
      </c>
      <c r="AD317" t="s">
        <v>402</v>
      </c>
      <c r="AE317" t="s">
        <v>560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430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422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430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422</v>
      </c>
      <c r="AD319" t="s">
        <v>402</v>
      </c>
      <c r="AE319" t="s">
        <v>560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430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425</v>
      </c>
      <c r="AD320" t="s">
        <v>402</v>
      </c>
      <c r="AE320" t="s">
        <v>560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430</v>
      </c>
      <c r="C321" t="s">
        <v>56</v>
      </c>
      <c r="D321" t="s">
        <v>550</v>
      </c>
      <c r="E321" t="s">
        <v>550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420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430</v>
      </c>
      <c r="C322" t="s">
        <v>56</v>
      </c>
      <c r="D322" t="s">
        <v>420</v>
      </c>
      <c r="E322" t="s">
        <v>420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420</v>
      </c>
      <c r="AD322" t="s">
        <v>402</v>
      </c>
      <c r="AE322" t="s">
        <v>560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430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560</v>
      </c>
      <c r="AD323" t="s">
        <v>419</v>
      </c>
      <c r="AE323" t="s">
        <v>560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430</v>
      </c>
      <c r="C324" t="s">
        <v>58</v>
      </c>
      <c r="D324" t="s">
        <v>419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560</v>
      </c>
      <c r="AD324" t="s">
        <v>400</v>
      </c>
      <c r="AE324" t="s">
        <v>560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430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560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430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560</v>
      </c>
      <c r="AD326" t="s">
        <v>136</v>
      </c>
      <c r="AE326" t="s">
        <v>560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430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560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430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560</v>
      </c>
      <c r="AD328" t="s">
        <v>402</v>
      </c>
      <c r="AE328" t="s">
        <v>560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430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560</v>
      </c>
      <c r="AD329" t="s">
        <v>420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430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475</v>
      </c>
      <c r="AD330" t="s">
        <v>402</v>
      </c>
      <c r="AE330" t="s">
        <v>560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430</v>
      </c>
      <c r="C331" t="s">
        <v>58</v>
      </c>
      <c r="D331" t="s">
        <v>420</v>
      </c>
      <c r="E331" t="s">
        <v>420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427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430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427</v>
      </c>
      <c r="AD332" t="s">
        <v>402</v>
      </c>
      <c r="AE332" t="s">
        <v>560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430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423</v>
      </c>
      <c r="AD333" t="s">
        <v>402</v>
      </c>
      <c r="AE333" t="s">
        <v>560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430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572</v>
      </c>
      <c r="AC334" t="s">
        <v>560</v>
      </c>
      <c r="AD334" t="s">
        <v>572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430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425</v>
      </c>
      <c r="AC335" t="s">
        <v>560</v>
      </c>
      <c r="AD335" t="s">
        <v>425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430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420</v>
      </c>
      <c r="AC336" t="s">
        <v>136</v>
      </c>
      <c r="AD336" t="s">
        <v>136</v>
      </c>
      <c r="AE336" t="s">
        <v>560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430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420</v>
      </c>
      <c r="AC337" t="s">
        <v>136</v>
      </c>
      <c r="AD337" t="s">
        <v>420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430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420</v>
      </c>
      <c r="AC338" t="s">
        <v>573</v>
      </c>
      <c r="AD338" t="s">
        <v>420</v>
      </c>
      <c r="AE338" t="s">
        <v>560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430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420</v>
      </c>
      <c r="AC339" t="s">
        <v>560</v>
      </c>
      <c r="AD339" t="s">
        <v>136</v>
      </c>
      <c r="AE339" t="s">
        <v>560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430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420</v>
      </c>
      <c r="AC340" t="s">
        <v>560</v>
      </c>
      <c r="AD340" t="s">
        <v>420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430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421</v>
      </c>
      <c r="AD341" t="s">
        <v>136</v>
      </c>
      <c r="AE341" t="s">
        <v>560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430</v>
      </c>
      <c r="C342" t="s">
        <v>62</v>
      </c>
      <c r="D342" t="s">
        <v>421</v>
      </c>
      <c r="E342" t="s">
        <v>421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560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430</v>
      </c>
      <c r="C343" t="s">
        <v>62</v>
      </c>
      <c r="D343" t="s">
        <v>550</v>
      </c>
      <c r="E343" t="s">
        <v>550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572</v>
      </c>
      <c r="AD343" t="s">
        <v>403</v>
      </c>
      <c r="AE343" t="s">
        <v>560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430</v>
      </c>
      <c r="C344" t="s">
        <v>62</v>
      </c>
      <c r="D344" t="s">
        <v>420</v>
      </c>
      <c r="E344" s="122" t="s">
        <v>420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560</v>
      </c>
      <c r="AD344" t="s">
        <v>136</v>
      </c>
      <c r="AE344" t="s">
        <v>560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430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560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430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560</v>
      </c>
      <c r="AD346" t="s">
        <v>403</v>
      </c>
      <c r="AE346" t="s">
        <v>560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430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560</v>
      </c>
      <c r="AE347" t="s">
        <v>560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430</v>
      </c>
      <c r="C348" t="s">
        <v>64</v>
      </c>
      <c r="D348" t="s">
        <v>136</v>
      </c>
      <c r="E348" s="122" t="s">
        <v>420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560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430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419</v>
      </c>
      <c r="AC349" t="s">
        <v>419</v>
      </c>
      <c r="AD349" t="s">
        <v>419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430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419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430</v>
      </c>
      <c r="C351" t="s">
        <v>64</v>
      </c>
      <c r="D351" t="s">
        <v>421</v>
      </c>
      <c r="E351" t="s">
        <v>421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419</v>
      </c>
      <c r="AC351" t="s">
        <v>136</v>
      </c>
      <c r="AD351" t="s">
        <v>419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430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419</v>
      </c>
      <c r="AC352" t="s">
        <v>136</v>
      </c>
      <c r="AD352" t="s">
        <v>419</v>
      </c>
      <c r="AE352" t="s">
        <v>560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430</v>
      </c>
      <c r="C353" t="s">
        <v>64</v>
      </c>
      <c r="D353" t="s">
        <v>550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419</v>
      </c>
      <c r="AC353" t="s">
        <v>421</v>
      </c>
      <c r="AD353" t="s">
        <v>419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430</v>
      </c>
      <c r="C354" t="s">
        <v>64</v>
      </c>
      <c r="D354" t="s">
        <v>550</v>
      </c>
      <c r="E354" t="s">
        <v>550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419</v>
      </c>
      <c r="AC354" t="s">
        <v>572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430</v>
      </c>
      <c r="C355" t="s">
        <v>64</v>
      </c>
      <c r="D355" t="s">
        <v>420</v>
      </c>
      <c r="E355" t="s">
        <v>420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419</v>
      </c>
      <c r="AC355" t="s">
        <v>420</v>
      </c>
      <c r="AD355" t="s">
        <v>419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431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419</v>
      </c>
      <c r="AC356" t="s">
        <v>420</v>
      </c>
      <c r="AD356" t="s">
        <v>419</v>
      </c>
      <c r="AE356" t="s">
        <v>560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431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419</v>
      </c>
      <c r="AC357" t="s">
        <v>420</v>
      </c>
      <c r="AD357" t="s">
        <v>136</v>
      </c>
      <c r="AE357" t="s">
        <v>560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431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419</v>
      </c>
      <c r="AC358" t="s">
        <v>420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431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419</v>
      </c>
      <c r="AC359" t="s">
        <v>560</v>
      </c>
      <c r="AD359" t="s">
        <v>419</v>
      </c>
      <c r="AE359" t="s">
        <v>560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431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431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560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431</v>
      </c>
      <c r="C362" t="s">
        <v>52</v>
      </c>
      <c r="D362" t="s">
        <v>136</v>
      </c>
      <c r="E362" t="s">
        <v>420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431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560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431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421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431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421</v>
      </c>
      <c r="AD365" t="s">
        <v>400</v>
      </c>
      <c r="AE365" t="s">
        <v>560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431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572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431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572</v>
      </c>
      <c r="AD367" t="s">
        <v>400</v>
      </c>
      <c r="AE367" t="s">
        <v>560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431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572</v>
      </c>
      <c r="AD368" t="s">
        <v>401</v>
      </c>
      <c r="AE368" t="s">
        <v>560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431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420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431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420</v>
      </c>
      <c r="AD370" t="s">
        <v>400</v>
      </c>
      <c r="AE370" t="s">
        <v>560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431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560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431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560</v>
      </c>
      <c r="AD372" t="s">
        <v>400</v>
      </c>
      <c r="AE372" t="s">
        <v>560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431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571</v>
      </c>
      <c r="AD373" t="s">
        <v>136</v>
      </c>
      <c r="AE373" t="s">
        <v>560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431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419</v>
      </c>
      <c r="AD374" t="s">
        <v>136</v>
      </c>
      <c r="AE374" t="s">
        <v>560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431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431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560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431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560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431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560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431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431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560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431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560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431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420</v>
      </c>
      <c r="AE382" t="s">
        <v>560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431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573</v>
      </c>
      <c r="AD383" t="s">
        <v>136</v>
      </c>
      <c r="AE383" t="s">
        <v>560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431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421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431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421</v>
      </c>
      <c r="AD385" t="s">
        <v>136</v>
      </c>
      <c r="AE385" t="s">
        <v>560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431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431</v>
      </c>
      <c r="C387" t="s">
        <v>62</v>
      </c>
      <c r="D387" t="s">
        <v>550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560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431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560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431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572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431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572</v>
      </c>
      <c r="AD390" t="s">
        <v>136</v>
      </c>
      <c r="AE390" t="s">
        <v>560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431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572</v>
      </c>
      <c r="AD391" t="s">
        <v>572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431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422</v>
      </c>
      <c r="AD392" t="s">
        <v>136</v>
      </c>
      <c r="AE392" t="s">
        <v>560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431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420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431</v>
      </c>
      <c r="C394" t="s">
        <v>64</v>
      </c>
      <c r="D394" t="s">
        <v>550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420</v>
      </c>
      <c r="AD394" t="s">
        <v>136</v>
      </c>
      <c r="AE394" t="s">
        <v>560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432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420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432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420</v>
      </c>
      <c r="AD396" t="s">
        <v>420</v>
      </c>
      <c r="AE396" t="s">
        <v>560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432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560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432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560</v>
      </c>
      <c r="AD398" t="s">
        <v>399</v>
      </c>
      <c r="AE398" t="s">
        <v>560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432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560</v>
      </c>
      <c r="AD399" t="s">
        <v>419</v>
      </c>
      <c r="AE399" t="s">
        <v>560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432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560</v>
      </c>
      <c r="AD400" t="s">
        <v>400</v>
      </c>
      <c r="AE400" t="s">
        <v>560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432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560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432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560</v>
      </c>
      <c r="AD402" t="s">
        <v>136</v>
      </c>
      <c r="AE402" t="s">
        <v>560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432</v>
      </c>
      <c r="C403" t="s">
        <v>52</v>
      </c>
      <c r="D403" t="s">
        <v>419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560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432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560</v>
      </c>
      <c r="AD404" t="s">
        <v>401</v>
      </c>
      <c r="AE404" t="s">
        <v>560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432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560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432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560</v>
      </c>
      <c r="AD406" t="s">
        <v>402</v>
      </c>
      <c r="AE406" t="s">
        <v>560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432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560</v>
      </c>
      <c r="AD407" t="s">
        <v>420</v>
      </c>
      <c r="AE407" t="s">
        <v>560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432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427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432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427</v>
      </c>
      <c r="AD409" t="s">
        <v>136</v>
      </c>
      <c r="AE409" t="s">
        <v>560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432</v>
      </c>
      <c r="C410" t="s">
        <v>56</v>
      </c>
      <c r="D410" t="s">
        <v>419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423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432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423</v>
      </c>
      <c r="AD411" t="s">
        <v>136</v>
      </c>
      <c r="AE411" t="s">
        <v>560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432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571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432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419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432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419</v>
      </c>
      <c r="AD414" t="s">
        <v>401</v>
      </c>
      <c r="AE414" t="s">
        <v>560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432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432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560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432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432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560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432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573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432</v>
      </c>
      <c r="C420" t="s">
        <v>58</v>
      </c>
      <c r="D420" t="s">
        <v>550</v>
      </c>
      <c r="E420" t="s">
        <v>550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573</v>
      </c>
      <c r="AD420" t="s">
        <v>401</v>
      </c>
      <c r="AE420" t="s">
        <v>560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432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421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432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421</v>
      </c>
      <c r="AD422" t="s">
        <v>401</v>
      </c>
      <c r="AE422" t="s">
        <v>560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432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432</v>
      </c>
      <c r="C424" t="s">
        <v>60</v>
      </c>
      <c r="D424" t="s">
        <v>136</v>
      </c>
      <c r="E424" t="s">
        <v>420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560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432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572</v>
      </c>
      <c r="AD425" t="s">
        <v>136</v>
      </c>
      <c r="AE425" t="s">
        <v>560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432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572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432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572</v>
      </c>
      <c r="AD427" t="s">
        <v>401</v>
      </c>
      <c r="AE427" t="s">
        <v>560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432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422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432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422</v>
      </c>
      <c r="AD429" t="s">
        <v>401</v>
      </c>
      <c r="AE429" t="s">
        <v>560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432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425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432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425</v>
      </c>
      <c r="AD431" t="s">
        <v>401</v>
      </c>
      <c r="AE431" t="s">
        <v>560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432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420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432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420</v>
      </c>
      <c r="AD433" t="s">
        <v>136</v>
      </c>
      <c r="AE433" t="s">
        <v>560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432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420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433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420</v>
      </c>
      <c r="AD435" t="s">
        <v>401</v>
      </c>
      <c r="AE435" t="s">
        <v>560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433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420</v>
      </c>
      <c r="AD436" t="s">
        <v>421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433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420</v>
      </c>
      <c r="AD437" t="s">
        <v>420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433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560</v>
      </c>
      <c r="AD438" t="s">
        <v>136</v>
      </c>
      <c r="AE438" t="s">
        <v>560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433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560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433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560</v>
      </c>
      <c r="AD440" t="s">
        <v>401</v>
      </c>
      <c r="AE440" t="s">
        <v>560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433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475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433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475</v>
      </c>
      <c r="AD442" t="s">
        <v>401</v>
      </c>
      <c r="AE442" t="s">
        <v>560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433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427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433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427</v>
      </c>
      <c r="AD444" t="s">
        <v>401</v>
      </c>
      <c r="AE444" t="s">
        <v>560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433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423</v>
      </c>
      <c r="AD445" t="s">
        <v>401</v>
      </c>
      <c r="AE445" t="s">
        <v>560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433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421</v>
      </c>
      <c r="AC446" t="s">
        <v>136</v>
      </c>
      <c r="AD446" t="s">
        <v>136</v>
      </c>
      <c r="AE446" t="s">
        <v>560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433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421</v>
      </c>
      <c r="AC447" t="s">
        <v>136</v>
      </c>
      <c r="AD447" t="s">
        <v>421</v>
      </c>
      <c r="AE447" t="s">
        <v>560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433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421</v>
      </c>
      <c r="AC448" t="s">
        <v>421</v>
      </c>
      <c r="AD448" t="s">
        <v>421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433</v>
      </c>
      <c r="C449" t="s">
        <v>56</v>
      </c>
      <c r="D449" t="s">
        <v>136</v>
      </c>
      <c r="E449" t="s">
        <v>420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421</v>
      </c>
      <c r="AC449" t="s">
        <v>425</v>
      </c>
      <c r="AD449" t="s">
        <v>421</v>
      </c>
      <c r="AE449" t="s">
        <v>560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433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419</v>
      </c>
      <c r="AD450" t="s">
        <v>402</v>
      </c>
      <c r="AE450" t="s">
        <v>560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433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560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433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433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560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433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573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433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421</v>
      </c>
      <c r="AD455" t="s">
        <v>136</v>
      </c>
      <c r="AE455" t="s">
        <v>560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433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421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433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421</v>
      </c>
      <c r="AD457" t="s">
        <v>402</v>
      </c>
      <c r="AE457" t="s">
        <v>560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433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560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433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560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433</v>
      </c>
      <c r="C460" t="s">
        <v>58</v>
      </c>
      <c r="D460" t="s">
        <v>550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433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560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433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572</v>
      </c>
      <c r="AD462" t="s">
        <v>136</v>
      </c>
      <c r="AE462" t="s">
        <v>560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433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572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433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572</v>
      </c>
      <c r="AD464" t="s">
        <v>402</v>
      </c>
      <c r="AE464" t="s">
        <v>560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433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572</v>
      </c>
      <c r="AD465" t="s">
        <v>572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433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422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433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422</v>
      </c>
      <c r="AD467" t="s">
        <v>402</v>
      </c>
      <c r="AE467" t="s">
        <v>560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433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420</v>
      </c>
      <c r="AD468" t="s">
        <v>136</v>
      </c>
      <c r="AE468" t="s">
        <v>560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433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420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433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420</v>
      </c>
      <c r="AD470" t="s">
        <v>402</v>
      </c>
      <c r="AE470" t="s">
        <v>560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433</v>
      </c>
      <c r="C471" t="s">
        <v>62</v>
      </c>
      <c r="D471" t="s">
        <v>420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560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433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560</v>
      </c>
      <c r="AD472" t="s">
        <v>136</v>
      </c>
      <c r="AE472" t="s">
        <v>560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433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560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433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560</v>
      </c>
      <c r="AD474" t="s">
        <v>402</v>
      </c>
      <c r="AE474" t="s">
        <v>560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433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427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433</v>
      </c>
      <c r="C476" t="s">
        <v>64</v>
      </c>
      <c r="D476" t="s">
        <v>550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427</v>
      </c>
      <c r="AD476" t="s">
        <v>402</v>
      </c>
      <c r="AE476" t="s">
        <v>560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433</v>
      </c>
      <c r="C477" t="s">
        <v>64</v>
      </c>
      <c r="D477" t="s">
        <v>420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427</v>
      </c>
      <c r="AD477" t="s">
        <v>427</v>
      </c>
      <c r="AE477" t="s">
        <v>560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434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572</v>
      </c>
      <c r="AC478" t="s">
        <v>136</v>
      </c>
      <c r="AD478" t="s">
        <v>136</v>
      </c>
      <c r="AE478" t="s">
        <v>560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434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572</v>
      </c>
      <c r="AC479" t="s">
        <v>136</v>
      </c>
      <c r="AD479" t="s">
        <v>572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434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572</v>
      </c>
      <c r="AC480" t="s">
        <v>136</v>
      </c>
      <c r="AD480" t="s">
        <v>572</v>
      </c>
      <c r="AE480" t="s">
        <v>560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434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572</v>
      </c>
      <c r="AC481" t="s">
        <v>572</v>
      </c>
      <c r="AD481" t="s">
        <v>572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434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572</v>
      </c>
      <c r="AC482" t="s">
        <v>560</v>
      </c>
      <c r="AD482" t="s">
        <v>572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434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422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434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422</v>
      </c>
      <c r="AC484" t="s">
        <v>560</v>
      </c>
      <c r="AD484" t="s">
        <v>136</v>
      </c>
      <c r="AE484" t="s">
        <v>560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434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420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434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420</v>
      </c>
      <c r="AC486" t="s">
        <v>136</v>
      </c>
      <c r="AD486" t="s">
        <v>136</v>
      </c>
      <c r="AE486" t="s">
        <v>560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434</v>
      </c>
      <c r="C487" t="s">
        <v>54</v>
      </c>
      <c r="D487" t="s">
        <v>419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420</v>
      </c>
      <c r="AC487" t="s">
        <v>136</v>
      </c>
      <c r="AD487" t="s">
        <v>420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434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420</v>
      </c>
      <c r="AC488" t="s">
        <v>136</v>
      </c>
      <c r="AD488" t="s">
        <v>420</v>
      </c>
      <c r="AE488" t="s">
        <v>560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434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420</v>
      </c>
      <c r="AC489" t="s">
        <v>573</v>
      </c>
      <c r="AD489" t="s">
        <v>420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434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420</v>
      </c>
      <c r="AC490" t="s">
        <v>420</v>
      </c>
      <c r="AD490" t="s">
        <v>420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434</v>
      </c>
      <c r="C491" t="s">
        <v>54</v>
      </c>
      <c r="D491" t="s">
        <v>402</v>
      </c>
      <c r="E491" t="s">
        <v>423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420</v>
      </c>
      <c r="AC491" t="s">
        <v>420</v>
      </c>
      <c r="AD491" t="s">
        <v>420</v>
      </c>
      <c r="AE491" t="s">
        <v>560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434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420</v>
      </c>
      <c r="AC492" t="s">
        <v>560</v>
      </c>
      <c r="AD492" t="s">
        <v>420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434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420</v>
      </c>
      <c r="AC493" t="s">
        <v>560</v>
      </c>
      <c r="AD493" t="s">
        <v>420</v>
      </c>
      <c r="AE493" t="s">
        <v>560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434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427</v>
      </c>
      <c r="AC494" t="s">
        <v>136</v>
      </c>
      <c r="AD494" t="s">
        <v>427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434</v>
      </c>
      <c r="C495" t="s">
        <v>56</v>
      </c>
      <c r="D495" t="s">
        <v>419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573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434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420</v>
      </c>
      <c r="AD496" t="s">
        <v>136</v>
      </c>
      <c r="AE496" t="s">
        <v>560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434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427</v>
      </c>
      <c r="AD497" t="s">
        <v>136</v>
      </c>
      <c r="AE497" t="s">
        <v>560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434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427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434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560</v>
      </c>
      <c r="AE499" t="s">
        <v>560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434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571</v>
      </c>
      <c r="AC500" t="s">
        <v>136</v>
      </c>
      <c r="AD500" t="s">
        <v>136</v>
      </c>
      <c r="AE500" t="s">
        <v>560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434</v>
      </c>
      <c r="C501" t="s">
        <v>56</v>
      </c>
      <c r="D501" t="s">
        <v>402</v>
      </c>
      <c r="E501" t="s">
        <v>420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419</v>
      </c>
      <c r="AC501" t="s">
        <v>419</v>
      </c>
      <c r="AD501" t="s">
        <v>419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434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419</v>
      </c>
      <c r="AC502" t="s">
        <v>421</v>
      </c>
      <c r="AD502" t="s">
        <v>419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434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419</v>
      </c>
      <c r="AC503" t="s">
        <v>421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434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419</v>
      </c>
      <c r="AC504" t="s">
        <v>572</v>
      </c>
      <c r="AD504" t="s">
        <v>419</v>
      </c>
      <c r="AE504" t="s">
        <v>560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434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419</v>
      </c>
      <c r="AC505" t="s">
        <v>420</v>
      </c>
      <c r="AD505" t="s">
        <v>419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434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419</v>
      </c>
      <c r="AC506" t="s">
        <v>420</v>
      </c>
      <c r="AD506" t="s">
        <v>419</v>
      </c>
      <c r="AE506" t="s">
        <v>560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434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419</v>
      </c>
      <c r="AC507" t="s">
        <v>560</v>
      </c>
      <c r="AD507" t="s">
        <v>419</v>
      </c>
      <c r="AE507" t="s">
        <v>560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434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419</v>
      </c>
      <c r="AC508" t="s">
        <v>560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434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421</v>
      </c>
      <c r="AD509" t="s">
        <v>136</v>
      </c>
      <c r="AE509" t="s">
        <v>560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434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572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434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572</v>
      </c>
      <c r="AD511" t="s">
        <v>400</v>
      </c>
      <c r="AE511" t="s">
        <v>560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434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420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434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420</v>
      </c>
      <c r="AD513" t="s">
        <v>400</v>
      </c>
      <c r="AE513" t="s">
        <v>560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434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560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434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560</v>
      </c>
      <c r="AD515" t="s">
        <v>400</v>
      </c>
      <c r="AE515" t="s">
        <v>560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434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571</v>
      </c>
      <c r="AD516" t="s">
        <v>136</v>
      </c>
      <c r="AE516" t="s">
        <v>560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434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419</v>
      </c>
      <c r="AD517" t="s">
        <v>419</v>
      </c>
      <c r="AE517" t="s">
        <v>560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434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419</v>
      </c>
      <c r="AD518" t="s">
        <v>136</v>
      </c>
      <c r="AE518" t="s">
        <v>560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434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560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434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434</v>
      </c>
      <c r="C521" t="s">
        <v>62</v>
      </c>
      <c r="D521" t="s">
        <v>550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560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434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560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434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420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434</v>
      </c>
      <c r="C524" t="s">
        <v>64</v>
      </c>
      <c r="D524" t="s">
        <v>421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573</v>
      </c>
      <c r="AD524" t="s">
        <v>136</v>
      </c>
      <c r="AE524" t="s">
        <v>560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434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421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434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421</v>
      </c>
      <c r="AD526" t="s">
        <v>136</v>
      </c>
      <c r="AE526" t="s">
        <v>560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434</v>
      </c>
      <c r="C527" t="s">
        <v>64</v>
      </c>
      <c r="D527" t="s">
        <v>420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421</v>
      </c>
      <c r="AD527" t="s">
        <v>421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435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435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560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435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560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435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572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435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572</v>
      </c>
      <c r="AD532" t="s">
        <v>136</v>
      </c>
      <c r="AE532" t="s">
        <v>560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435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572</v>
      </c>
      <c r="AD533" t="s">
        <v>402</v>
      </c>
      <c r="AE533" t="s">
        <v>560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435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572</v>
      </c>
      <c r="AD534" t="s">
        <v>572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435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422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435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422</v>
      </c>
      <c r="AD536" t="s">
        <v>136</v>
      </c>
      <c r="AE536" t="s">
        <v>560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435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420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435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420</v>
      </c>
      <c r="AD538" t="s">
        <v>136</v>
      </c>
      <c r="AE538" t="s">
        <v>560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435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420</v>
      </c>
      <c r="AD539" t="s">
        <v>420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435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420</v>
      </c>
      <c r="AD540" t="s">
        <v>420</v>
      </c>
      <c r="AE540" t="s">
        <v>560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435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560</v>
      </c>
      <c r="AD541" t="s">
        <v>400</v>
      </c>
      <c r="AE541" t="s">
        <v>560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435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560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435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560</v>
      </c>
      <c r="AD543" t="s">
        <v>136</v>
      </c>
      <c r="AE543" t="s">
        <v>560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435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560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435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560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435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560</v>
      </c>
      <c r="AD546" t="s">
        <v>402</v>
      </c>
      <c r="AE546" t="s">
        <v>560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435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560</v>
      </c>
      <c r="AD547" t="s">
        <v>420</v>
      </c>
      <c r="AE547" t="s">
        <v>560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435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427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435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427</v>
      </c>
      <c r="AD549" t="s">
        <v>136</v>
      </c>
      <c r="AE549" t="s">
        <v>560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435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423</v>
      </c>
      <c r="AD550" t="s">
        <v>136</v>
      </c>
      <c r="AE550" t="s">
        <v>560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435</v>
      </c>
      <c r="C551" t="s">
        <v>58</v>
      </c>
      <c r="D551" t="s">
        <v>420</v>
      </c>
      <c r="E551" t="s">
        <v>420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419</v>
      </c>
      <c r="AD551" t="s">
        <v>136</v>
      </c>
      <c r="AE551" t="s">
        <v>560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435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419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435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419</v>
      </c>
      <c r="AD553" t="s">
        <v>401</v>
      </c>
      <c r="AE553" t="s">
        <v>560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435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560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435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435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560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435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573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435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573</v>
      </c>
      <c r="AD558" t="s">
        <v>401</v>
      </c>
      <c r="AE558" t="s">
        <v>560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435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421</v>
      </c>
      <c r="AD559" t="s">
        <v>400</v>
      </c>
      <c r="AE559" t="s">
        <v>560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435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421</v>
      </c>
      <c r="AD560" t="s">
        <v>136</v>
      </c>
      <c r="AE560" t="s">
        <v>560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435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421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435</v>
      </c>
      <c r="C562" t="s">
        <v>64</v>
      </c>
      <c r="D562" t="s">
        <v>421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421</v>
      </c>
      <c r="AD562" t="s">
        <v>401</v>
      </c>
      <c r="AE562" t="s">
        <v>560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435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435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572</v>
      </c>
      <c r="AD564" t="s">
        <v>136</v>
      </c>
      <c r="AE564" t="s">
        <v>560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435</v>
      </c>
      <c r="C565" t="s">
        <v>64</v>
      </c>
      <c r="D565" t="s">
        <v>420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572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436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572</v>
      </c>
      <c r="AD566" t="s">
        <v>401</v>
      </c>
      <c r="AE566" t="s">
        <v>560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436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422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436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422</v>
      </c>
      <c r="AD568" t="s">
        <v>401</v>
      </c>
      <c r="AE568" t="s">
        <v>560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436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425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436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420</v>
      </c>
      <c r="AD570" t="s">
        <v>136</v>
      </c>
      <c r="AE570" t="s">
        <v>560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436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420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436</v>
      </c>
      <c r="C572" t="s">
        <v>52</v>
      </c>
      <c r="D572" t="s">
        <v>419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420</v>
      </c>
      <c r="AD572" t="s">
        <v>401</v>
      </c>
      <c r="AE572" t="s">
        <v>560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436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420</v>
      </c>
      <c r="AD573" t="s">
        <v>420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436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560</v>
      </c>
      <c r="AD574" t="s">
        <v>136</v>
      </c>
      <c r="AE574" t="s">
        <v>560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436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560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436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560</v>
      </c>
      <c r="AD576" t="s">
        <v>401</v>
      </c>
      <c r="AE576" t="s">
        <v>560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436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560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436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427</v>
      </c>
      <c r="AD578" t="s">
        <v>136</v>
      </c>
      <c r="AE578" t="s">
        <v>560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436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427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436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427</v>
      </c>
      <c r="AD580" t="s">
        <v>401</v>
      </c>
      <c r="AE580" t="s">
        <v>560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436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421</v>
      </c>
      <c r="AC581" t="s">
        <v>136</v>
      </c>
      <c r="AD581" t="s">
        <v>136</v>
      </c>
      <c r="AE581" t="s">
        <v>560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436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421</v>
      </c>
      <c r="AC582" t="s">
        <v>136</v>
      </c>
      <c r="AD582" t="s">
        <v>421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436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421</v>
      </c>
      <c r="AC583" t="s">
        <v>421</v>
      </c>
      <c r="AD583" t="s">
        <v>421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436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421</v>
      </c>
      <c r="AC584" t="s">
        <v>560</v>
      </c>
      <c r="AD584" t="s">
        <v>421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436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560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436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560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436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436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560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436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573</v>
      </c>
      <c r="AD589" t="s">
        <v>402</v>
      </c>
      <c r="AE589" t="s">
        <v>560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436</v>
      </c>
      <c r="C590" t="s">
        <v>58</v>
      </c>
      <c r="D590" t="s">
        <v>420</v>
      </c>
      <c r="E590" t="s">
        <v>420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421</v>
      </c>
      <c r="AD590" t="s">
        <v>136</v>
      </c>
      <c r="AE590" t="s">
        <v>560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436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421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436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421</v>
      </c>
      <c r="AD592" t="s">
        <v>402</v>
      </c>
      <c r="AE592" t="s">
        <v>560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436</v>
      </c>
      <c r="C593" t="s">
        <v>60</v>
      </c>
      <c r="D593" t="s">
        <v>136</v>
      </c>
      <c r="E593" t="s">
        <v>420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560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436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436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560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436</v>
      </c>
      <c r="C596" t="s">
        <v>60</v>
      </c>
      <c r="D596" t="s">
        <v>421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572</v>
      </c>
      <c r="AD596" t="s">
        <v>136</v>
      </c>
      <c r="AE596" t="s">
        <v>560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436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572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436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572</v>
      </c>
      <c r="AD598" t="s">
        <v>402</v>
      </c>
      <c r="AE598" t="s">
        <v>560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436</v>
      </c>
      <c r="C599" t="s">
        <v>60</v>
      </c>
      <c r="D599" t="s">
        <v>550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422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436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422</v>
      </c>
      <c r="AD600" t="s">
        <v>402</v>
      </c>
      <c r="AE600" t="s">
        <v>560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436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420</v>
      </c>
      <c r="AD601" t="s">
        <v>136</v>
      </c>
      <c r="AE601" t="s">
        <v>560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436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420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436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420</v>
      </c>
      <c r="AD603" t="s">
        <v>402</v>
      </c>
      <c r="AE603" t="s">
        <v>560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436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560</v>
      </c>
      <c r="AD604" t="s">
        <v>136</v>
      </c>
      <c r="AE604" t="s">
        <v>560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436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560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436</v>
      </c>
      <c r="C606" t="s">
        <v>62</v>
      </c>
      <c r="D606" t="s">
        <v>550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560</v>
      </c>
      <c r="AD606" t="s">
        <v>402</v>
      </c>
      <c r="AE606" t="s">
        <v>560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436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427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436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427</v>
      </c>
      <c r="AD608" t="s">
        <v>402</v>
      </c>
      <c r="AE608" t="s">
        <v>560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436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572</v>
      </c>
      <c r="AC609" t="s">
        <v>136</v>
      </c>
      <c r="AD609" t="s">
        <v>136</v>
      </c>
      <c r="AE609" t="s">
        <v>560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436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572</v>
      </c>
      <c r="AC610" t="s">
        <v>136</v>
      </c>
      <c r="AD610" t="s">
        <v>572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436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572</v>
      </c>
      <c r="AC611" t="s">
        <v>136</v>
      </c>
      <c r="AD611" t="s">
        <v>572</v>
      </c>
      <c r="AE611" t="s">
        <v>560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436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572</v>
      </c>
      <c r="AC612" t="s">
        <v>572</v>
      </c>
      <c r="AD612" t="s">
        <v>572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436</v>
      </c>
      <c r="C613" t="s">
        <v>64</v>
      </c>
      <c r="D613" t="s">
        <v>550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572</v>
      </c>
      <c r="AC613" t="s">
        <v>560</v>
      </c>
      <c r="AD613" t="s">
        <v>136</v>
      </c>
      <c r="AE613" t="s">
        <v>560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437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572</v>
      </c>
      <c r="AC614" t="s">
        <v>560</v>
      </c>
      <c r="AD614" t="s">
        <v>572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437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422</v>
      </c>
      <c r="AC615" t="s">
        <v>560</v>
      </c>
      <c r="AD615" t="s">
        <v>422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437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425</v>
      </c>
      <c r="AC616" t="s">
        <v>425</v>
      </c>
      <c r="AD616" t="s">
        <v>425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437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420</v>
      </c>
      <c r="AC617" t="s">
        <v>136</v>
      </c>
      <c r="AD617" t="s">
        <v>136</v>
      </c>
      <c r="AE617" t="s">
        <v>560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437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420</v>
      </c>
      <c r="AC618" t="s">
        <v>136</v>
      </c>
      <c r="AD618" t="s">
        <v>420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437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420</v>
      </c>
      <c r="AC619" t="s">
        <v>136</v>
      </c>
      <c r="AD619" t="s">
        <v>420</v>
      </c>
      <c r="AE619" t="s">
        <v>560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437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420</v>
      </c>
      <c r="AC620" t="s">
        <v>573</v>
      </c>
      <c r="AD620" t="s">
        <v>420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437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420</v>
      </c>
      <c r="AC621" t="s">
        <v>420</v>
      </c>
      <c r="AD621" t="s">
        <v>136</v>
      </c>
      <c r="AE621" t="s">
        <v>560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437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420</v>
      </c>
      <c r="AC622" t="s">
        <v>420</v>
      </c>
      <c r="AD622" t="s">
        <v>420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437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420</v>
      </c>
      <c r="AC623" t="s">
        <v>560</v>
      </c>
      <c r="AD623" t="s">
        <v>136</v>
      </c>
      <c r="AE623" t="s">
        <v>560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437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420</v>
      </c>
      <c r="AC624" t="s">
        <v>560</v>
      </c>
      <c r="AD624" t="s">
        <v>420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437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420</v>
      </c>
      <c r="AC625" t="s">
        <v>560</v>
      </c>
      <c r="AD625" t="s">
        <v>420</v>
      </c>
      <c r="AE625" t="s">
        <v>560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437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427</v>
      </c>
      <c r="AC626" t="s">
        <v>136</v>
      </c>
      <c r="AD626" t="s">
        <v>136</v>
      </c>
      <c r="AE626" t="s">
        <v>560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437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427</v>
      </c>
      <c r="AC627" t="s">
        <v>572</v>
      </c>
      <c r="AD627" t="s">
        <v>136</v>
      </c>
      <c r="AE627" t="s">
        <v>560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437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427</v>
      </c>
      <c r="AC628" t="s">
        <v>427</v>
      </c>
      <c r="AD628" t="s">
        <v>136</v>
      </c>
      <c r="AE628" t="s">
        <v>560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437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560</v>
      </c>
      <c r="AE629" t="s">
        <v>560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437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419</v>
      </c>
      <c r="AC630" t="s">
        <v>420</v>
      </c>
      <c r="AD630" t="s">
        <v>419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437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437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560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437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437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421</v>
      </c>
      <c r="AD634" t="s">
        <v>136</v>
      </c>
      <c r="AE634" t="s">
        <v>560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437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572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437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420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437</v>
      </c>
      <c r="C637" t="s">
        <v>60</v>
      </c>
      <c r="D637" t="s">
        <v>550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560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437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560</v>
      </c>
      <c r="AD638" t="s">
        <v>400</v>
      </c>
      <c r="AE638" t="s">
        <v>560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437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419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437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419</v>
      </c>
      <c r="AD640" t="s">
        <v>136</v>
      </c>
      <c r="AE640" t="s">
        <v>560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437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560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437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437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560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437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573</v>
      </c>
      <c r="AD644" t="s">
        <v>136</v>
      </c>
      <c r="AE644" t="s">
        <v>560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437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421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437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421</v>
      </c>
      <c r="AD646" t="s">
        <v>136</v>
      </c>
      <c r="AE646" t="s">
        <v>560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437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560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437</v>
      </c>
      <c r="C648" t="s">
        <v>64</v>
      </c>
      <c r="D648" t="s">
        <v>550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437</v>
      </c>
      <c r="C649" t="s">
        <v>64</v>
      </c>
      <c r="D649" t="s">
        <v>550</v>
      </c>
      <c r="E649" t="s">
        <v>550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572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437</v>
      </c>
      <c r="C650" t="s">
        <v>64</v>
      </c>
      <c r="D650" t="s">
        <v>420</v>
      </c>
      <c r="E650" t="s">
        <v>420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572</v>
      </c>
      <c r="AD650" t="s">
        <v>136</v>
      </c>
      <c r="AE650" t="s">
        <v>560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438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422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438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422</v>
      </c>
      <c r="AD652" t="s">
        <v>136</v>
      </c>
      <c r="AE652" t="s">
        <v>560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438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420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438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420</v>
      </c>
      <c r="AD654" t="s">
        <v>136</v>
      </c>
      <c r="AE654" t="s">
        <v>560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438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420</v>
      </c>
      <c r="AD655" t="s">
        <v>420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438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560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438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560</v>
      </c>
      <c r="AD657" t="s">
        <v>136</v>
      </c>
      <c r="AE657" t="s">
        <v>560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438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560</v>
      </c>
      <c r="AD658" t="s">
        <v>401</v>
      </c>
      <c r="AE658" t="s">
        <v>560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438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560</v>
      </c>
      <c r="AD659" t="s">
        <v>402</v>
      </c>
      <c r="AE659" t="s">
        <v>560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438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427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438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427</v>
      </c>
      <c r="AD661" t="s">
        <v>136</v>
      </c>
      <c r="AE661" t="s">
        <v>560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438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423</v>
      </c>
      <c r="AD662" t="s">
        <v>136</v>
      </c>
      <c r="AE662" t="s">
        <v>560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438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419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438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560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438</v>
      </c>
      <c r="C665" t="s">
        <v>56</v>
      </c>
      <c r="D665" t="s">
        <v>402</v>
      </c>
      <c r="E665" t="s">
        <v>419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560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438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438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560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438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573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438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421</v>
      </c>
      <c r="AD669" t="s">
        <v>136</v>
      </c>
      <c r="AE669" t="s">
        <v>560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438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421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438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421</v>
      </c>
      <c r="AD671" t="s">
        <v>401</v>
      </c>
      <c r="AE671" t="s">
        <v>560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438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438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572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438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572</v>
      </c>
      <c r="AD674" t="s">
        <v>136</v>
      </c>
      <c r="AE674" t="s">
        <v>560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438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572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438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572</v>
      </c>
      <c r="AD676" t="s">
        <v>401</v>
      </c>
      <c r="AE676" t="s">
        <v>560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438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425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438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420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438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420</v>
      </c>
      <c r="AD679" t="s">
        <v>136</v>
      </c>
      <c r="AE679" t="s">
        <v>560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438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420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438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420</v>
      </c>
      <c r="AD681" t="s">
        <v>401</v>
      </c>
      <c r="AE681" t="s">
        <v>560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438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560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438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560</v>
      </c>
      <c r="AD683" t="s">
        <v>136</v>
      </c>
      <c r="AE683" t="s">
        <v>560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438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560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438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560</v>
      </c>
      <c r="AD685" t="s">
        <v>401</v>
      </c>
      <c r="AE685" t="s">
        <v>560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438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427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438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427</v>
      </c>
      <c r="AD687" t="s">
        <v>401</v>
      </c>
      <c r="AE687" t="s">
        <v>560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438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421</v>
      </c>
      <c r="AC688" t="s">
        <v>136</v>
      </c>
      <c r="AD688" t="s">
        <v>136</v>
      </c>
      <c r="AE688" t="s">
        <v>560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438</v>
      </c>
      <c r="C689" t="s">
        <v>64</v>
      </c>
      <c r="D689" t="s">
        <v>421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421</v>
      </c>
      <c r="AC689" t="s">
        <v>136</v>
      </c>
      <c r="AD689" t="s">
        <v>421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438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421</v>
      </c>
      <c r="AC690" t="s">
        <v>421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438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421</v>
      </c>
      <c r="AC691" t="s">
        <v>421</v>
      </c>
      <c r="AD691" t="s">
        <v>421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438</v>
      </c>
      <c r="C692" t="s">
        <v>64</v>
      </c>
      <c r="D692" t="s">
        <v>550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421</v>
      </c>
      <c r="AC692" t="s">
        <v>421</v>
      </c>
      <c r="AD692" t="s">
        <v>421</v>
      </c>
      <c r="AE692" t="s">
        <v>560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438</v>
      </c>
      <c r="C693" t="s">
        <v>64</v>
      </c>
      <c r="D693" t="s">
        <v>420</v>
      </c>
      <c r="E693" t="s">
        <v>420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421</v>
      </c>
      <c r="AC693" t="s">
        <v>560</v>
      </c>
      <c r="AD693" t="s">
        <v>421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439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560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439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439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560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439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421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439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421</v>
      </c>
      <c r="AD698" t="s">
        <v>136</v>
      </c>
      <c r="AE698" t="s">
        <v>560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439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421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439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421</v>
      </c>
      <c r="AD700" t="s">
        <v>402</v>
      </c>
      <c r="AE700" t="s">
        <v>560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439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560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439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439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560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439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572</v>
      </c>
      <c r="AD704" t="s">
        <v>136</v>
      </c>
      <c r="AE704" t="s">
        <v>560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439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572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439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572</v>
      </c>
      <c r="AD706" t="s">
        <v>402</v>
      </c>
      <c r="AE706" t="s">
        <v>560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439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420</v>
      </c>
      <c r="AD707" t="s">
        <v>136</v>
      </c>
      <c r="AE707" t="s">
        <v>560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439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420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439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420</v>
      </c>
      <c r="AD709" t="s">
        <v>402</v>
      </c>
      <c r="AE709" t="s">
        <v>560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439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560</v>
      </c>
      <c r="AD710" t="s">
        <v>136</v>
      </c>
      <c r="AE710" t="s">
        <v>560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439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560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439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560</v>
      </c>
      <c r="AD712" t="s">
        <v>402</v>
      </c>
      <c r="AE712" t="s">
        <v>560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439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572</v>
      </c>
      <c r="AC713" t="s">
        <v>136</v>
      </c>
      <c r="AD713" t="s">
        <v>136</v>
      </c>
      <c r="AE713" t="s">
        <v>560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439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572</v>
      </c>
      <c r="AC714" t="s">
        <v>136</v>
      </c>
      <c r="AD714" t="s">
        <v>572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439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572</v>
      </c>
      <c r="AC715" t="s">
        <v>136</v>
      </c>
      <c r="AD715" t="s">
        <v>572</v>
      </c>
      <c r="AE715" t="s">
        <v>560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439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572</v>
      </c>
      <c r="AC716" t="s">
        <v>572</v>
      </c>
      <c r="AD716" t="s">
        <v>136</v>
      </c>
      <c r="AE716" t="s">
        <v>560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439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572</v>
      </c>
      <c r="AC717" t="s">
        <v>572</v>
      </c>
      <c r="AD717" t="s">
        <v>572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439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572</v>
      </c>
      <c r="AC718" t="s">
        <v>560</v>
      </c>
      <c r="AD718" t="s">
        <v>572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439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425</v>
      </c>
      <c r="AC719" t="s">
        <v>425</v>
      </c>
      <c r="AD719" t="s">
        <v>425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439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420</v>
      </c>
      <c r="AC720" t="s">
        <v>136</v>
      </c>
      <c r="AD720" t="s">
        <v>136</v>
      </c>
      <c r="AE720" t="s">
        <v>560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439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420</v>
      </c>
      <c r="AC721" t="s">
        <v>136</v>
      </c>
      <c r="AD721" t="s">
        <v>420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439</v>
      </c>
      <c r="C722" t="s">
        <v>60</v>
      </c>
      <c r="D722" t="s">
        <v>550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420</v>
      </c>
      <c r="AC722" t="s">
        <v>136</v>
      </c>
      <c r="AD722" t="s">
        <v>420</v>
      </c>
      <c r="AE722" t="s">
        <v>560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439</v>
      </c>
      <c r="C723" t="s">
        <v>60</v>
      </c>
      <c r="D723" t="s">
        <v>427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420</v>
      </c>
      <c r="AC723" t="s">
        <v>573</v>
      </c>
      <c r="AD723" t="s">
        <v>420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439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420</v>
      </c>
      <c r="AC724" t="s">
        <v>420</v>
      </c>
      <c r="AD724" t="s">
        <v>136</v>
      </c>
      <c r="AE724" t="s">
        <v>560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439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420</v>
      </c>
      <c r="AC725" t="s">
        <v>420</v>
      </c>
      <c r="AD725" t="s">
        <v>420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439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420</v>
      </c>
      <c r="AC726" t="s">
        <v>420</v>
      </c>
      <c r="AD726" t="s">
        <v>420</v>
      </c>
      <c r="AE726" t="s">
        <v>560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439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420</v>
      </c>
      <c r="AC727" t="s">
        <v>560</v>
      </c>
      <c r="AD727" t="s">
        <v>136</v>
      </c>
      <c r="AE727" t="s">
        <v>560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439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420</v>
      </c>
      <c r="AC728" t="s">
        <v>560</v>
      </c>
      <c r="AD728" t="s">
        <v>420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439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420</v>
      </c>
      <c r="AC729" t="s">
        <v>560</v>
      </c>
      <c r="AD729" t="s">
        <v>420</v>
      </c>
      <c r="AE729" t="s">
        <v>560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439</v>
      </c>
      <c r="C730" t="s">
        <v>62</v>
      </c>
      <c r="D730" t="s">
        <v>550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427</v>
      </c>
      <c r="AC730" t="s">
        <v>136</v>
      </c>
      <c r="AD730" t="s">
        <v>136</v>
      </c>
      <c r="AE730" t="s">
        <v>560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439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560</v>
      </c>
      <c r="AE731" t="s">
        <v>560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439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419</v>
      </c>
      <c r="AC732" t="s">
        <v>420</v>
      </c>
      <c r="AD732" t="s">
        <v>419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439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419</v>
      </c>
      <c r="AC733" t="s">
        <v>420</v>
      </c>
      <c r="AD733" t="s">
        <v>136</v>
      </c>
      <c r="AE733" t="s">
        <v>560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439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439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560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439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560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439</v>
      </c>
      <c r="C737" t="s">
        <v>64</v>
      </c>
      <c r="D737" t="s">
        <v>550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573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440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572</v>
      </c>
      <c r="AD738" t="s">
        <v>400</v>
      </c>
      <c r="AE738" t="s">
        <v>560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440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425</v>
      </c>
      <c r="AD739" t="s">
        <v>425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440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420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440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420</v>
      </c>
      <c r="AD741" t="s">
        <v>400</v>
      </c>
      <c r="AE741" t="s">
        <v>560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440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560</v>
      </c>
      <c r="AD742" t="s">
        <v>400</v>
      </c>
      <c r="AE742" t="s">
        <v>560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440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419</v>
      </c>
      <c r="AD743" t="s">
        <v>136</v>
      </c>
      <c r="AE743" t="s">
        <v>560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440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440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560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440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573</v>
      </c>
      <c r="AD746" t="s">
        <v>136</v>
      </c>
      <c r="AE746" t="s">
        <v>560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440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573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440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421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440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421</v>
      </c>
      <c r="AD749" t="s">
        <v>136</v>
      </c>
      <c r="AE749" t="s">
        <v>560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440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440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560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440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572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440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572</v>
      </c>
      <c r="AD753" t="s">
        <v>136</v>
      </c>
      <c r="AE753" t="s">
        <v>560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440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572</v>
      </c>
      <c r="AD754" t="s">
        <v>572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440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572</v>
      </c>
      <c r="AD755" t="s">
        <v>572</v>
      </c>
      <c r="AE755" t="s">
        <v>560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440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422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440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422</v>
      </c>
      <c r="AD757" t="s">
        <v>136</v>
      </c>
      <c r="AE757" t="s">
        <v>560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440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425</v>
      </c>
      <c r="AD758" t="s">
        <v>136</v>
      </c>
      <c r="AE758" t="s">
        <v>560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440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420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440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420</v>
      </c>
      <c r="AD760" t="s">
        <v>136</v>
      </c>
      <c r="AE760" t="s">
        <v>560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440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420</v>
      </c>
      <c r="AD761" t="s">
        <v>420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440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560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440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560</v>
      </c>
      <c r="AD763" t="s">
        <v>136</v>
      </c>
      <c r="AE763" t="s">
        <v>560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440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560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440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560</v>
      </c>
      <c r="AD765" t="s">
        <v>402</v>
      </c>
      <c r="AE765" t="s">
        <v>560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440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427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440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427</v>
      </c>
      <c r="AD767" t="s">
        <v>136</v>
      </c>
      <c r="AE767" t="s">
        <v>560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440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423</v>
      </c>
      <c r="AD768" t="s">
        <v>136</v>
      </c>
      <c r="AE768" t="s">
        <v>560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440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419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440</v>
      </c>
      <c r="C770" t="s">
        <v>62</v>
      </c>
      <c r="D770" t="s">
        <v>421</v>
      </c>
      <c r="E770" t="s">
        <v>421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560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440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440</v>
      </c>
      <c r="C772" t="s">
        <v>62</v>
      </c>
      <c r="D772" t="s">
        <v>420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560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440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573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440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573</v>
      </c>
      <c r="AD774" t="s">
        <v>401</v>
      </c>
      <c r="AE774" t="s">
        <v>560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440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573</v>
      </c>
      <c r="AD775" t="s">
        <v>420</v>
      </c>
      <c r="AE775" t="s">
        <v>560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440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421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440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421</v>
      </c>
      <c r="AD777" t="s">
        <v>401</v>
      </c>
      <c r="AE777" t="s">
        <v>560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440</v>
      </c>
      <c r="C778" t="s">
        <v>64</v>
      </c>
      <c r="D778" t="s">
        <v>550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440</v>
      </c>
      <c r="C779" t="s">
        <v>64</v>
      </c>
      <c r="D779" t="s">
        <v>550</v>
      </c>
      <c r="E779" t="s">
        <v>550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572</v>
      </c>
      <c r="AD779" t="s">
        <v>136</v>
      </c>
      <c r="AE779" t="s">
        <v>560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440</v>
      </c>
      <c r="C780" t="s">
        <v>64</v>
      </c>
      <c r="D780" t="s">
        <v>420</v>
      </c>
      <c r="E780" t="s">
        <v>420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572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441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572</v>
      </c>
      <c r="AD781" t="s">
        <v>401</v>
      </c>
      <c r="AE781" t="s">
        <v>560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441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425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441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420</v>
      </c>
      <c r="AD783" t="s">
        <v>419</v>
      </c>
      <c r="AE783" t="s">
        <v>560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441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420</v>
      </c>
      <c r="AD784" t="s">
        <v>136</v>
      </c>
      <c r="AE784" t="s">
        <v>560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441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420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441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420</v>
      </c>
      <c r="AD786" t="s">
        <v>401</v>
      </c>
      <c r="AE786" t="s">
        <v>560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441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420</v>
      </c>
      <c r="AD787" t="s">
        <v>420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441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560</v>
      </c>
      <c r="AD788" t="s">
        <v>136</v>
      </c>
      <c r="AE788" t="s">
        <v>560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441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560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441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560</v>
      </c>
      <c r="AD790" t="s">
        <v>401</v>
      </c>
      <c r="AE790" t="s">
        <v>560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441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475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441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427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441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421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441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421</v>
      </c>
      <c r="AC794" t="s">
        <v>136</v>
      </c>
      <c r="AD794" t="s">
        <v>136</v>
      </c>
      <c r="AE794" t="s">
        <v>560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441</v>
      </c>
      <c r="C795" t="s">
        <v>62</v>
      </c>
      <c r="D795" t="s">
        <v>550</v>
      </c>
      <c r="E795" t="s">
        <v>550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421</v>
      </c>
      <c r="AC795" t="s">
        <v>136</v>
      </c>
      <c r="AD795" t="s">
        <v>421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441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421</v>
      </c>
      <c r="AC796" t="s">
        <v>136</v>
      </c>
      <c r="AD796" t="s">
        <v>421</v>
      </c>
      <c r="AE796" t="s">
        <v>560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441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421</v>
      </c>
      <c r="AC797" t="s">
        <v>421</v>
      </c>
      <c r="AD797" t="s">
        <v>136</v>
      </c>
      <c r="AE797" t="s">
        <v>560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442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421</v>
      </c>
      <c r="AC798" t="s">
        <v>421</v>
      </c>
      <c r="AD798" t="s">
        <v>421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442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421</v>
      </c>
      <c r="AC799" t="s">
        <v>421</v>
      </c>
      <c r="AD799" t="s">
        <v>421</v>
      </c>
      <c r="AE799" t="s">
        <v>560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442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421</v>
      </c>
      <c r="AC800" t="s">
        <v>402</v>
      </c>
      <c r="AD800" t="s">
        <v>136</v>
      </c>
      <c r="AE800" t="s">
        <v>560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442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421</v>
      </c>
      <c r="AC801" t="s">
        <v>425</v>
      </c>
      <c r="AD801" t="s">
        <v>421</v>
      </c>
      <c r="AE801" t="s">
        <v>560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442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421</v>
      </c>
      <c r="AC802" t="s">
        <v>560</v>
      </c>
      <c r="AD802" t="s">
        <v>136</v>
      </c>
      <c r="AE802" t="s">
        <v>560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442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421</v>
      </c>
      <c r="AC803" t="s">
        <v>560</v>
      </c>
      <c r="AD803" t="s">
        <v>421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442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421</v>
      </c>
      <c r="AC804" t="s">
        <v>560</v>
      </c>
      <c r="AD804" t="s">
        <v>421</v>
      </c>
      <c r="AE804" t="s">
        <v>560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442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560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442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442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560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442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421</v>
      </c>
      <c r="AD808" t="s">
        <v>136</v>
      </c>
      <c r="AE808" t="s">
        <v>560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442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421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442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421</v>
      </c>
      <c r="AD810" t="s">
        <v>402</v>
      </c>
      <c r="AE810" t="s">
        <v>560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442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560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442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442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560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442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572</v>
      </c>
      <c r="AD814" t="s">
        <v>136</v>
      </c>
      <c r="AE814" t="s">
        <v>560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442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572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442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572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442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572</v>
      </c>
      <c r="AD817" t="s">
        <v>402</v>
      </c>
      <c r="AE817" t="s">
        <v>560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442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420</v>
      </c>
      <c r="AD818" t="s">
        <v>136</v>
      </c>
      <c r="AE818" t="s">
        <v>560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442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420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442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420</v>
      </c>
      <c r="AD820" t="s">
        <v>402</v>
      </c>
      <c r="AE820" t="s">
        <v>560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442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560</v>
      </c>
      <c r="AD821" t="s">
        <v>136</v>
      </c>
      <c r="AE821" t="s">
        <v>560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442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560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442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560</v>
      </c>
      <c r="AD823" t="s">
        <v>402</v>
      </c>
      <c r="AE823" t="s">
        <v>560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442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427</v>
      </c>
      <c r="AD824" t="s">
        <v>402</v>
      </c>
      <c r="AE824" t="s">
        <v>560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442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423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442</v>
      </c>
      <c r="C826" t="s">
        <v>60</v>
      </c>
      <c r="D826" t="s">
        <v>427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572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442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572</v>
      </c>
      <c r="AC827" t="s">
        <v>136</v>
      </c>
      <c r="AD827" t="s">
        <v>136</v>
      </c>
      <c r="AE827" t="s">
        <v>560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442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572</v>
      </c>
      <c r="AC828" t="s">
        <v>136</v>
      </c>
      <c r="AD828" t="s">
        <v>572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442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572</v>
      </c>
      <c r="AC829" t="s">
        <v>136</v>
      </c>
      <c r="AD829" t="s">
        <v>572</v>
      </c>
      <c r="AE829" t="s">
        <v>560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442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572</v>
      </c>
      <c r="AC830" t="s">
        <v>402</v>
      </c>
      <c r="AD830" t="s">
        <v>136</v>
      </c>
      <c r="AE830" t="s">
        <v>560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442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572</v>
      </c>
      <c r="AC831" t="s">
        <v>572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442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572</v>
      </c>
      <c r="AC832" t="s">
        <v>572</v>
      </c>
      <c r="AD832" t="s">
        <v>136</v>
      </c>
      <c r="AE832" t="s">
        <v>560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442</v>
      </c>
      <c r="C833" t="s">
        <v>64</v>
      </c>
      <c r="D833" t="s">
        <v>421</v>
      </c>
      <c r="E833" t="s">
        <v>421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572</v>
      </c>
      <c r="AC833" t="s">
        <v>572</v>
      </c>
      <c r="AD833" t="s">
        <v>572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442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572</v>
      </c>
      <c r="AC834" t="s">
        <v>572</v>
      </c>
      <c r="AD834" t="s">
        <v>572</v>
      </c>
      <c r="AE834" t="s">
        <v>560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442</v>
      </c>
      <c r="C835" t="s">
        <v>64</v>
      </c>
      <c r="D835" t="s">
        <v>420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572</v>
      </c>
      <c r="AC835" t="s">
        <v>560</v>
      </c>
      <c r="AD835" t="s">
        <v>136</v>
      </c>
      <c r="AE835" t="s">
        <v>560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443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572</v>
      </c>
      <c r="AC836" t="s">
        <v>560</v>
      </c>
      <c r="AD836" t="s">
        <v>572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443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572</v>
      </c>
      <c r="AC837" t="s">
        <v>560</v>
      </c>
      <c r="AD837" t="s">
        <v>572</v>
      </c>
      <c r="AE837" t="s">
        <v>560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443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422</v>
      </c>
      <c r="AC838" t="s">
        <v>136</v>
      </c>
      <c r="AD838" t="s">
        <v>422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443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422</v>
      </c>
      <c r="AC839" t="s">
        <v>422</v>
      </c>
      <c r="AD839" t="s">
        <v>422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443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422</v>
      </c>
      <c r="AC840" t="s">
        <v>560</v>
      </c>
      <c r="AD840" t="s">
        <v>422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443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425</v>
      </c>
      <c r="AC841" t="s">
        <v>425</v>
      </c>
      <c r="AD841" t="s">
        <v>425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443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425</v>
      </c>
      <c r="AC842" t="s">
        <v>425</v>
      </c>
      <c r="AD842" t="s">
        <v>425</v>
      </c>
      <c r="AE842" t="s">
        <v>560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443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420</v>
      </c>
      <c r="AC843" t="s">
        <v>419</v>
      </c>
      <c r="AD843" t="s">
        <v>420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443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420</v>
      </c>
      <c r="AC844" t="s">
        <v>136</v>
      </c>
      <c r="AD844" t="s">
        <v>136</v>
      </c>
      <c r="AE844" t="s">
        <v>560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443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420</v>
      </c>
      <c r="AC845" t="s">
        <v>136</v>
      </c>
      <c r="AD845" t="s">
        <v>420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443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420</v>
      </c>
      <c r="AC846" t="s">
        <v>136</v>
      </c>
      <c r="AD846" t="s">
        <v>420</v>
      </c>
      <c r="AE846" t="s">
        <v>560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443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420</v>
      </c>
      <c r="AC847" t="s">
        <v>573</v>
      </c>
      <c r="AD847" t="s">
        <v>420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443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420</v>
      </c>
      <c r="AC848" t="s">
        <v>420</v>
      </c>
      <c r="AD848" t="s">
        <v>136</v>
      </c>
      <c r="AE848" t="s">
        <v>560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443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420</v>
      </c>
      <c r="AC849" t="s">
        <v>420</v>
      </c>
      <c r="AD849" t="s">
        <v>420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443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420</v>
      </c>
      <c r="AC850" t="s">
        <v>420</v>
      </c>
      <c r="AD850" t="s">
        <v>420</v>
      </c>
      <c r="AE850" t="s">
        <v>560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443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420</v>
      </c>
      <c r="AC851" t="s">
        <v>560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443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420</v>
      </c>
      <c r="AC852" t="s">
        <v>560</v>
      </c>
      <c r="AD852" t="s">
        <v>136</v>
      </c>
      <c r="AE852" t="s">
        <v>560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443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420</v>
      </c>
      <c r="AC853" t="s">
        <v>560</v>
      </c>
      <c r="AD853" t="s">
        <v>420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443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427</v>
      </c>
      <c r="AC854" t="s">
        <v>560</v>
      </c>
      <c r="AD854" t="s">
        <v>427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443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427</v>
      </c>
      <c r="AC855" t="s">
        <v>427</v>
      </c>
      <c r="AD855" t="s">
        <v>136</v>
      </c>
      <c r="AE855" t="s">
        <v>560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443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420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443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423</v>
      </c>
      <c r="AC857" t="s">
        <v>560</v>
      </c>
      <c r="AD857" t="s">
        <v>136</v>
      </c>
      <c r="AE857" t="s">
        <v>560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443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443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443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443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443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443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443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443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443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443</v>
      </c>
      <c r="C867" t="s">
        <v>64</v>
      </c>
      <c r="D867" t="s">
        <v>550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444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444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444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444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444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444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444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444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444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444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444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444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444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444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444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444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444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444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444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444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444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444</v>
      </c>
      <c r="C889" t="s">
        <v>62</v>
      </c>
      <c r="D889" t="s">
        <v>550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444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444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444</v>
      </c>
      <c r="C892" t="s">
        <v>64</v>
      </c>
      <c r="D892" t="s">
        <v>550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444</v>
      </c>
      <c r="C893" t="s">
        <v>64</v>
      </c>
      <c r="D893" t="s">
        <v>420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445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445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445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445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445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445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445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445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445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445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445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445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445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445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445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445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445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445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445</v>
      </c>
      <c r="C912" t="s">
        <v>58</v>
      </c>
      <c r="D912" t="s">
        <v>550</v>
      </c>
      <c r="E912" t="s">
        <v>550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445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445</v>
      </c>
      <c r="C914" t="s">
        <v>60</v>
      </c>
      <c r="D914" t="s">
        <v>136</v>
      </c>
      <c r="E914" t="s">
        <v>421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445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445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445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445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445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445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445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445</v>
      </c>
      <c r="C922" t="s">
        <v>64</v>
      </c>
      <c r="D922" t="s">
        <v>550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445</v>
      </c>
      <c r="C923" t="s">
        <v>64</v>
      </c>
      <c r="D923" t="s">
        <v>550</v>
      </c>
      <c r="E923" t="s">
        <v>550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446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446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446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446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446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446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446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446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446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446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446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446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446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446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446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446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446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446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446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446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446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446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446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446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446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446</v>
      </c>
      <c r="C949" t="s">
        <v>60</v>
      </c>
      <c r="D949" t="s">
        <v>550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446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446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446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447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447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447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447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447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447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447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447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447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447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447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447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447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447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447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447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447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447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447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447</v>
      </c>
      <c r="C972" t="s">
        <v>58</v>
      </c>
      <c r="D972" t="s">
        <v>550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447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447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447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447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447</v>
      </c>
      <c r="C977" t="s">
        <v>60</v>
      </c>
      <c r="D977" t="s">
        <v>550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447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447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447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447</v>
      </c>
      <c r="C981" t="s">
        <v>62</v>
      </c>
      <c r="D981" t="s">
        <v>420</v>
      </c>
      <c r="E981" t="s">
        <v>420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447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447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447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447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447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448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448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448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448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448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448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448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448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448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448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448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448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448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448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448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448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448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448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449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449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449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449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449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449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449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449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449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449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449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449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449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449</v>
      </c>
      <c r="C1018" t="s">
        <v>56</v>
      </c>
      <c r="D1018" t="s">
        <v>401</v>
      </c>
      <c r="E1018" t="s">
        <v>420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449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449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449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449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449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449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449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449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449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449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449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449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450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450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451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451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451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451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451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451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451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451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451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451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451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451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451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451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451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451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451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451</v>
      </c>
      <c r="C1050" t="s">
        <v>64</v>
      </c>
      <c r="D1050" t="s">
        <v>550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452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452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453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453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453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453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453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453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453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453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453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453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453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453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453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453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453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453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453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453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453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453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453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453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453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454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454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454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454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454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454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454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454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454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454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454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454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454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454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454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454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454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454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454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454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454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454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454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454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455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455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455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455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455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455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455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455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455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455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455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455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455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455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455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455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455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455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455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455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455</v>
      </c>
      <c r="C1120" t="s">
        <v>56</v>
      </c>
      <c r="D1120" t="s">
        <v>136</v>
      </c>
      <c r="E1120" t="s">
        <v>420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455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455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455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455</v>
      </c>
      <c r="C1124" t="s">
        <v>56</v>
      </c>
      <c r="D1124" t="s">
        <v>420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455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455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455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455</v>
      </c>
      <c r="C1128" t="s">
        <v>58</v>
      </c>
      <c r="D1128" t="s">
        <v>136</v>
      </c>
      <c r="E1128" t="s">
        <v>420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455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455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455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455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455</v>
      </c>
      <c r="C1133" t="s">
        <v>58</v>
      </c>
      <c r="D1133" t="s">
        <v>402</v>
      </c>
      <c r="E1133" t="s">
        <v>550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455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455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455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455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455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455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455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455</v>
      </c>
      <c r="C1141" t="s">
        <v>60</v>
      </c>
      <c r="D1141" t="s">
        <v>550</v>
      </c>
      <c r="E1141" t="s">
        <v>550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455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455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455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455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455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455</v>
      </c>
      <c r="C1147" t="s">
        <v>62</v>
      </c>
      <c r="D1147" t="s">
        <v>420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455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455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455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455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455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455</v>
      </c>
      <c r="C1153" t="s">
        <v>64</v>
      </c>
      <c r="D1153" t="s">
        <v>421</v>
      </c>
      <c r="E1153" t="s">
        <v>421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455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455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455</v>
      </c>
      <c r="C1156" t="s">
        <v>64</v>
      </c>
      <c r="D1156" t="s">
        <v>550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455</v>
      </c>
      <c r="C1157" t="s">
        <v>64</v>
      </c>
      <c r="D1157" t="s">
        <v>550</v>
      </c>
      <c r="E1157" t="s">
        <v>550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455</v>
      </c>
      <c r="C1158" t="s">
        <v>64</v>
      </c>
      <c r="D1158" t="s">
        <v>420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456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456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456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456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456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456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456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456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456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456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456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456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456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456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456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456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456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456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456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456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456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456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456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456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456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456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456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456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456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456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456</v>
      </c>
      <c r="C1189" t="s">
        <v>58</v>
      </c>
      <c r="D1189" t="s">
        <v>550</v>
      </c>
      <c r="E1189" t="s">
        <v>550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456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456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456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456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456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456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456</v>
      </c>
      <c r="C1196" t="s">
        <v>60</v>
      </c>
      <c r="D1196" t="s">
        <v>550</v>
      </c>
      <c r="E1196" t="s">
        <v>550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456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456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456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456</v>
      </c>
      <c r="C1200" t="s">
        <v>62</v>
      </c>
      <c r="D1200" t="s">
        <v>550</v>
      </c>
      <c r="E1200" t="s">
        <v>550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456</v>
      </c>
      <c r="C1201" t="s">
        <v>62</v>
      </c>
      <c r="D1201" t="s">
        <v>420</v>
      </c>
      <c r="E1201" t="s">
        <v>420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456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456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456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456</v>
      </c>
      <c r="C1205" t="s">
        <v>64</v>
      </c>
      <c r="D1205" t="s">
        <v>550</v>
      </c>
      <c r="E1205" t="s">
        <v>550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457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457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457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457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457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457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457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457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457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457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457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457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457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457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457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457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457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457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457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457</v>
      </c>
      <c r="C1225" t="s">
        <v>56</v>
      </c>
      <c r="D1225" t="s">
        <v>419</v>
      </c>
      <c r="E1225" t="s">
        <v>419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457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457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457</v>
      </c>
      <c r="C1228" t="s">
        <v>56</v>
      </c>
      <c r="D1228" t="s">
        <v>424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457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457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457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457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457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457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457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457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457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457</v>
      </c>
      <c r="C1238" t="s">
        <v>58</v>
      </c>
      <c r="D1238" t="s">
        <v>421</v>
      </c>
      <c r="E1238" t="s">
        <v>421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457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457</v>
      </c>
      <c r="C1240" t="s">
        <v>58</v>
      </c>
      <c r="D1240" t="s">
        <v>550</v>
      </c>
      <c r="E1240" t="s">
        <v>550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457</v>
      </c>
      <c r="C1241" t="s">
        <v>58</v>
      </c>
      <c r="D1241" t="s">
        <v>422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457</v>
      </c>
      <c r="C1242" t="s">
        <v>58</v>
      </c>
      <c r="D1242" t="s">
        <v>420</v>
      </c>
      <c r="E1242" t="s">
        <v>420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457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457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457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457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457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457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457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457</v>
      </c>
      <c r="C1250" t="s">
        <v>60</v>
      </c>
      <c r="D1250" t="s">
        <v>550</v>
      </c>
      <c r="E1250" t="s">
        <v>550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457</v>
      </c>
      <c r="C1251" t="s">
        <v>60</v>
      </c>
      <c r="D1251" t="s">
        <v>420</v>
      </c>
      <c r="E1251" t="s">
        <v>420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457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457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457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457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457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457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457</v>
      </c>
      <c r="C1258" t="s">
        <v>62</v>
      </c>
      <c r="D1258" t="s">
        <v>421</v>
      </c>
      <c r="E1258" t="s">
        <v>421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457</v>
      </c>
      <c r="C1259" t="s">
        <v>62</v>
      </c>
      <c r="D1259" t="s">
        <v>420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457</v>
      </c>
      <c r="C1260" t="s">
        <v>62</v>
      </c>
      <c r="D1260" t="s">
        <v>420</v>
      </c>
      <c r="E1260" t="s">
        <v>420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457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457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457</v>
      </c>
      <c r="C1263" t="s">
        <v>64</v>
      </c>
      <c r="D1263" t="s">
        <v>136</v>
      </c>
      <c r="E1263" t="s">
        <v>420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457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457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457</v>
      </c>
      <c r="C1266" t="s">
        <v>64</v>
      </c>
      <c r="D1266" t="s">
        <v>422</v>
      </c>
      <c r="E1266" t="s">
        <v>422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457</v>
      </c>
      <c r="C1267" t="s">
        <v>64</v>
      </c>
      <c r="D1267" t="s">
        <v>425</v>
      </c>
      <c r="E1267" t="s">
        <v>425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457</v>
      </c>
      <c r="C1268" t="s">
        <v>64</v>
      </c>
      <c r="D1268" t="s">
        <v>420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457</v>
      </c>
      <c r="C1269" t="s">
        <v>64</v>
      </c>
      <c r="D1269" t="s">
        <v>420</v>
      </c>
      <c r="E1269" t="s">
        <v>420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458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458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458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458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458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458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458</v>
      </c>
      <c r="C1276" t="s">
        <v>52</v>
      </c>
      <c r="D1276" t="s">
        <v>419</v>
      </c>
      <c r="E1276" t="s">
        <v>419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458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458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458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458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458</v>
      </c>
      <c r="C1281" t="s">
        <v>54</v>
      </c>
      <c r="D1281" t="s">
        <v>419</v>
      </c>
      <c r="E1281" t="s">
        <v>419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458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458</v>
      </c>
      <c r="C1283" t="s">
        <v>54</v>
      </c>
      <c r="D1283" t="s">
        <v>136</v>
      </c>
      <c r="E1283" t="s">
        <v>419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458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458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458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458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458</v>
      </c>
      <c r="C1288" t="s">
        <v>56</v>
      </c>
      <c r="D1288" t="s">
        <v>419</v>
      </c>
      <c r="E1288" t="s">
        <v>419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458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458</v>
      </c>
      <c r="C1290" t="s">
        <v>56</v>
      </c>
      <c r="D1290" t="s">
        <v>136</v>
      </c>
      <c r="E1290" t="s">
        <v>419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458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458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458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458</v>
      </c>
      <c r="C1294" t="s">
        <v>56</v>
      </c>
      <c r="D1294" t="s">
        <v>136</v>
      </c>
      <c r="E1294" t="s">
        <v>550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458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458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458</v>
      </c>
      <c r="C1297" t="s">
        <v>56</v>
      </c>
      <c r="D1297" t="s">
        <v>420</v>
      </c>
      <c r="E1297" t="s">
        <v>420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458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458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458</v>
      </c>
      <c r="C1300" t="s">
        <v>58</v>
      </c>
      <c r="D1300" t="s">
        <v>419</v>
      </c>
      <c r="E1300" t="s">
        <v>419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458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458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458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458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458</v>
      </c>
      <c r="C1305" t="s">
        <v>58</v>
      </c>
      <c r="D1305" t="s">
        <v>136</v>
      </c>
      <c r="E1305" t="s">
        <v>550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458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458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458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458</v>
      </c>
      <c r="C1309" t="s">
        <v>58</v>
      </c>
      <c r="D1309" t="s">
        <v>550</v>
      </c>
      <c r="E1309" t="s">
        <v>550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458</v>
      </c>
      <c r="C1310" t="s">
        <v>58</v>
      </c>
      <c r="D1310" t="s">
        <v>420</v>
      </c>
      <c r="E1310" t="s">
        <v>420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458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458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458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458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458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458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458</v>
      </c>
      <c r="C1317" t="s">
        <v>60</v>
      </c>
      <c r="D1317" t="s">
        <v>420</v>
      </c>
      <c r="E1317" t="s">
        <v>420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458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458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458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458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458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458</v>
      </c>
      <c r="C1323" t="s">
        <v>62</v>
      </c>
      <c r="D1323" t="s">
        <v>550</v>
      </c>
      <c r="E1323" t="s">
        <v>550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458</v>
      </c>
      <c r="C1324" t="s">
        <v>62</v>
      </c>
      <c r="D1324" t="s">
        <v>420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458</v>
      </c>
      <c r="C1325" t="s">
        <v>62</v>
      </c>
      <c r="D1325" t="s">
        <v>420</v>
      </c>
      <c r="E1325" t="s">
        <v>420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458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458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458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458</v>
      </c>
      <c r="C1329" t="s">
        <v>64</v>
      </c>
      <c r="D1329" t="s">
        <v>136</v>
      </c>
      <c r="E1329" t="s">
        <v>550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458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458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458</v>
      </c>
      <c r="C1332" t="s">
        <v>64</v>
      </c>
      <c r="D1332" t="s">
        <v>420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458</v>
      </c>
      <c r="C1333" t="s">
        <v>64</v>
      </c>
      <c r="D1333" t="s">
        <v>420</v>
      </c>
      <c r="E1333" t="s">
        <v>420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459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459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459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459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459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459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459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459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459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459</v>
      </c>
      <c r="C1343" t="s">
        <v>54</v>
      </c>
      <c r="D1343" t="s">
        <v>400</v>
      </c>
      <c r="E1343" t="s">
        <v>419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459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459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459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459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459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459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459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459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459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459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459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459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459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459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459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459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459</v>
      </c>
      <c r="C1360" t="s">
        <v>58</v>
      </c>
      <c r="D1360" t="s">
        <v>550</v>
      </c>
      <c r="E1360" t="s">
        <v>550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459</v>
      </c>
      <c r="C1361" t="s">
        <v>58</v>
      </c>
      <c r="D1361" t="s">
        <v>420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459</v>
      </c>
      <c r="C1362" t="s">
        <v>58</v>
      </c>
      <c r="D1362" t="s">
        <v>420</v>
      </c>
      <c r="E1362" t="s">
        <v>420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459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459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459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459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459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459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459</v>
      </c>
      <c r="C1369" t="s">
        <v>60</v>
      </c>
      <c r="D1369" t="s">
        <v>420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459</v>
      </c>
      <c r="C1370" t="s">
        <v>60</v>
      </c>
      <c r="D1370" t="s">
        <v>420</v>
      </c>
      <c r="E1370" t="s">
        <v>420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459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459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459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459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459</v>
      </c>
      <c r="C1375" t="s">
        <v>62</v>
      </c>
      <c r="D1375" t="s">
        <v>420</v>
      </c>
      <c r="E1375" t="s">
        <v>420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459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459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459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459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459</v>
      </c>
      <c r="C1380" t="s">
        <v>64</v>
      </c>
      <c r="D1380" t="s">
        <v>421</v>
      </c>
      <c r="E1380" t="s">
        <v>421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459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459</v>
      </c>
      <c r="C1382" t="s">
        <v>64</v>
      </c>
      <c r="D1382" t="s">
        <v>550</v>
      </c>
      <c r="E1382" t="s">
        <v>550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459</v>
      </c>
      <c r="C1383" t="s">
        <v>64</v>
      </c>
      <c r="D1383" t="s">
        <v>420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460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460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460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460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460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460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460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460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460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460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460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460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460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460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460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460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460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460</v>
      </c>
      <c r="C1401" t="s">
        <v>56</v>
      </c>
      <c r="D1401" t="s">
        <v>420</v>
      </c>
      <c r="E1401" t="s">
        <v>420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460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460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460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460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460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460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460</v>
      </c>
      <c r="C1408" t="s">
        <v>58</v>
      </c>
      <c r="D1408" t="s">
        <v>550</v>
      </c>
      <c r="E1408" t="s">
        <v>550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460</v>
      </c>
      <c r="C1409" t="s">
        <v>58</v>
      </c>
      <c r="D1409" t="s">
        <v>420</v>
      </c>
      <c r="E1409" t="s">
        <v>420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460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460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460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460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460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460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460</v>
      </c>
      <c r="C1416" t="s">
        <v>60</v>
      </c>
      <c r="D1416" t="s">
        <v>420</v>
      </c>
      <c r="E1416" t="s">
        <v>420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460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460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460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460</v>
      </c>
      <c r="C1420" t="s">
        <v>62</v>
      </c>
      <c r="D1420" t="s">
        <v>420</v>
      </c>
      <c r="E1420" t="s">
        <v>420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460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460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460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460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550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550</v>
      </c>
      <c r="E1447" t="s">
        <v>550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420</v>
      </c>
      <c r="E1448" t="s">
        <v>420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420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550</v>
      </c>
      <c r="E1453" t="s">
        <v>550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420</v>
      </c>
      <c r="E1454" t="s">
        <v>420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420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550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550</v>
      </c>
      <c r="E1466" t="s">
        <v>550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420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420</v>
      </c>
      <c r="E1468" t="s">
        <v>420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461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461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461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461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461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461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461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461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461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461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461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461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461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461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461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461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461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461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461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461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461</v>
      </c>
      <c r="C1489" t="s">
        <v>64</v>
      </c>
      <c r="D1489" t="s">
        <v>421</v>
      </c>
      <c r="E1489" t="s">
        <v>421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461</v>
      </c>
      <c r="C1490" t="s">
        <v>64</v>
      </c>
      <c r="D1490" t="s">
        <v>420</v>
      </c>
      <c r="E1490" t="s">
        <v>420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462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462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462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462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462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462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462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462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462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462</v>
      </c>
      <c r="C1500" t="s">
        <v>54</v>
      </c>
      <c r="D1500" t="s">
        <v>402</v>
      </c>
      <c r="E1500" t="s">
        <v>419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462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462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462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462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462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462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462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462</v>
      </c>
      <c r="C1508" t="s">
        <v>58</v>
      </c>
      <c r="D1508" t="s">
        <v>419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462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462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462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462</v>
      </c>
      <c r="C1512" t="s">
        <v>58</v>
      </c>
      <c r="D1512" t="s">
        <v>550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462</v>
      </c>
      <c r="C1513" t="s">
        <v>58</v>
      </c>
      <c r="D1513" t="s">
        <v>420</v>
      </c>
      <c r="E1513" t="s">
        <v>420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462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462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462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462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462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462</v>
      </c>
      <c r="C1519" t="s">
        <v>60</v>
      </c>
      <c r="D1519" t="s">
        <v>550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462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462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462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462</v>
      </c>
      <c r="C1523" t="s">
        <v>62</v>
      </c>
      <c r="D1523" t="s">
        <v>550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462</v>
      </c>
      <c r="C1524" t="s">
        <v>62</v>
      </c>
      <c r="D1524" t="s">
        <v>550</v>
      </c>
      <c r="E1524" t="s">
        <v>550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462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462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462</v>
      </c>
      <c r="C1527" t="s">
        <v>64</v>
      </c>
      <c r="D1527" t="s">
        <v>421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462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462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462</v>
      </c>
      <c r="C1530" t="s">
        <v>64</v>
      </c>
      <c r="D1530" t="s">
        <v>550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462</v>
      </c>
      <c r="C1531" t="s">
        <v>64</v>
      </c>
      <c r="D1531" t="s">
        <v>550</v>
      </c>
      <c r="E1531" t="s">
        <v>550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462</v>
      </c>
      <c r="C1532" t="s">
        <v>64</v>
      </c>
      <c r="D1532" t="s">
        <v>420</v>
      </c>
      <c r="E1532" t="s">
        <v>420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463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463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463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463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463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463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463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463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463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463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463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463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463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463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463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463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463</v>
      </c>
      <c r="C1549" t="s">
        <v>56</v>
      </c>
      <c r="D1549" t="s">
        <v>402</v>
      </c>
      <c r="E1549" t="s">
        <v>550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463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463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463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463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463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463</v>
      </c>
      <c r="C1555" t="s">
        <v>58</v>
      </c>
      <c r="D1555" t="s">
        <v>420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463</v>
      </c>
      <c r="C1556" t="s">
        <v>58</v>
      </c>
      <c r="D1556" t="s">
        <v>420</v>
      </c>
      <c r="E1556" t="s">
        <v>420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463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463</v>
      </c>
      <c r="C1558" t="s">
        <v>60</v>
      </c>
      <c r="D1558" t="s">
        <v>419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463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463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463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463</v>
      </c>
      <c r="C1562" t="s">
        <v>60</v>
      </c>
      <c r="D1562" t="s">
        <v>550</v>
      </c>
      <c r="E1562" t="s">
        <v>550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463</v>
      </c>
      <c r="C1563" t="s">
        <v>60</v>
      </c>
      <c r="D1563" t="s">
        <v>420</v>
      </c>
      <c r="E1563" t="s">
        <v>420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463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463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463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463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463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463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463</v>
      </c>
      <c r="C1570" t="s">
        <v>62</v>
      </c>
      <c r="D1570" t="s">
        <v>420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463</v>
      </c>
      <c r="C1571" t="s">
        <v>62</v>
      </c>
      <c r="D1571" t="s">
        <v>420</v>
      </c>
      <c r="E1571" t="s">
        <v>420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463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463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463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463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463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463</v>
      </c>
      <c r="C1577" t="s">
        <v>64</v>
      </c>
      <c r="D1577" t="s">
        <v>420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463</v>
      </c>
      <c r="C1578" t="s">
        <v>64</v>
      </c>
      <c r="D1578" t="s">
        <v>420</v>
      </c>
      <c r="E1578" t="s">
        <v>420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463</v>
      </c>
      <c r="C1579" t="s">
        <v>64</v>
      </c>
      <c r="D1579" t="s">
        <v>427</v>
      </c>
      <c r="E1579" t="s">
        <v>427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463</v>
      </c>
      <c r="C1580" t="s">
        <v>64</v>
      </c>
      <c r="D1580" t="s">
        <v>423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464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464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464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464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464</v>
      </c>
      <c r="C1585" t="s">
        <v>52</v>
      </c>
      <c r="D1585" t="s">
        <v>419</v>
      </c>
      <c r="E1585" t="s">
        <v>419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464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464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464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464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464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464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464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464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464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464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464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464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464</v>
      </c>
      <c r="C1598" t="s">
        <v>56</v>
      </c>
      <c r="D1598" t="s">
        <v>420</v>
      </c>
      <c r="E1598" t="s">
        <v>420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464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464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464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464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464</v>
      </c>
      <c r="C1603" t="s">
        <v>58</v>
      </c>
      <c r="D1603" t="s">
        <v>420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464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464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464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464</v>
      </c>
      <c r="C1607" t="s">
        <v>60</v>
      </c>
      <c r="D1607" t="s">
        <v>420</v>
      </c>
      <c r="E1607" t="s">
        <v>420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464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464</v>
      </c>
      <c r="C1609" t="s">
        <v>62</v>
      </c>
      <c r="D1609" t="s">
        <v>419</v>
      </c>
      <c r="E1609" t="s">
        <v>419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464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464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464</v>
      </c>
      <c r="C1612" t="s">
        <v>62</v>
      </c>
      <c r="D1612" t="s">
        <v>421</v>
      </c>
      <c r="E1612" t="s">
        <v>421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464</v>
      </c>
      <c r="C1613" t="s">
        <v>62</v>
      </c>
      <c r="D1613" t="s">
        <v>420</v>
      </c>
      <c r="E1613" t="s">
        <v>420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464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464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464</v>
      </c>
      <c r="C1616" t="s">
        <v>64</v>
      </c>
      <c r="D1616" t="s">
        <v>420</v>
      </c>
      <c r="E1616" t="s">
        <v>420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465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465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465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465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465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465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465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465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465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465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465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465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465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465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465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465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465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465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465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465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465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465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465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465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465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465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465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465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465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465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465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465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465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465</v>
      </c>
      <c r="C1650" t="s">
        <v>60</v>
      </c>
      <c r="D1650" t="s">
        <v>420</v>
      </c>
      <c r="E1650" t="s">
        <v>420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465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465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465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465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465</v>
      </c>
      <c r="C1655" t="s">
        <v>62</v>
      </c>
      <c r="D1655" t="s">
        <v>550</v>
      </c>
      <c r="E1655" t="s">
        <v>550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465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465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465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465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465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465</v>
      </c>
      <c r="C1661" t="s">
        <v>64</v>
      </c>
      <c r="D1661" t="s">
        <v>550</v>
      </c>
      <c r="E1661" t="s">
        <v>550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465</v>
      </c>
      <c r="C1662" t="s">
        <v>64</v>
      </c>
      <c r="D1662" t="s">
        <v>420</v>
      </c>
      <c r="E1662" t="s">
        <v>420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466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466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466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466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466</v>
      </c>
      <c r="C1667" t="s">
        <v>52</v>
      </c>
      <c r="D1667" t="s">
        <v>419</v>
      </c>
      <c r="E1667" t="s">
        <v>419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466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466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466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466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466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466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466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466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466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466</v>
      </c>
      <c r="C1677" t="s">
        <v>56</v>
      </c>
      <c r="D1677" t="s">
        <v>419</v>
      </c>
      <c r="E1677" t="s">
        <v>419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466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466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466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466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466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466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466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466</v>
      </c>
      <c r="C1685" t="s">
        <v>58</v>
      </c>
      <c r="D1685" t="s">
        <v>419</v>
      </c>
      <c r="E1685" t="s">
        <v>419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466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466</v>
      </c>
      <c r="C1687" t="s">
        <v>58</v>
      </c>
      <c r="D1687" t="s">
        <v>136</v>
      </c>
      <c r="E1687" t="s">
        <v>419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466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466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466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466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466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466</v>
      </c>
      <c r="C1693" t="s">
        <v>58</v>
      </c>
      <c r="D1693" t="s">
        <v>420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466</v>
      </c>
      <c r="C1694" t="s">
        <v>58</v>
      </c>
      <c r="D1694" t="s">
        <v>420</v>
      </c>
      <c r="E1694" t="s">
        <v>420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466</v>
      </c>
      <c r="C1695" t="s">
        <v>60</v>
      </c>
      <c r="D1695" t="s">
        <v>419</v>
      </c>
      <c r="E1695" t="s">
        <v>419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466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466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466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466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466</v>
      </c>
      <c r="C1700" t="s">
        <v>60</v>
      </c>
      <c r="D1700" t="s">
        <v>425</v>
      </c>
      <c r="E1700" t="s">
        <v>425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466</v>
      </c>
      <c r="C1701" t="s">
        <v>60</v>
      </c>
      <c r="D1701" t="s">
        <v>420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466</v>
      </c>
      <c r="C1702" t="s">
        <v>60</v>
      </c>
      <c r="D1702" t="s">
        <v>420</v>
      </c>
      <c r="E1702" t="s">
        <v>420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466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466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466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466</v>
      </c>
      <c r="C1706" t="s">
        <v>62</v>
      </c>
      <c r="D1706" t="s">
        <v>425</v>
      </c>
      <c r="E1706" t="s">
        <v>425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466</v>
      </c>
      <c r="C1707" t="s">
        <v>62</v>
      </c>
      <c r="D1707" t="s">
        <v>420</v>
      </c>
      <c r="E1707" t="s">
        <v>420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466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466</v>
      </c>
      <c r="C1709" t="s">
        <v>64</v>
      </c>
      <c r="D1709" t="s">
        <v>419</v>
      </c>
      <c r="E1709" t="s">
        <v>419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466</v>
      </c>
      <c r="C1710" t="s">
        <v>64</v>
      </c>
      <c r="D1710" t="s">
        <v>400</v>
      </c>
      <c r="E1710" t="s">
        <v>425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466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466</v>
      </c>
      <c r="C1712" t="s">
        <v>64</v>
      </c>
      <c r="D1712" t="s">
        <v>136</v>
      </c>
      <c r="E1712" t="s">
        <v>420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466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466</v>
      </c>
      <c r="C1714" t="s">
        <v>64</v>
      </c>
      <c r="D1714" t="s">
        <v>425</v>
      </c>
      <c r="E1714" t="s">
        <v>425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466</v>
      </c>
      <c r="C1715" t="s">
        <v>64</v>
      </c>
      <c r="D1715" t="s">
        <v>420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466</v>
      </c>
      <c r="C1716" t="s">
        <v>64</v>
      </c>
      <c r="D1716" t="s">
        <v>420</v>
      </c>
      <c r="E1716" t="s">
        <v>420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420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421</v>
      </c>
      <c r="E1753" t="s">
        <v>421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420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420</v>
      </c>
      <c r="E1755" t="s">
        <v>420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419</v>
      </c>
      <c r="E1762" t="s">
        <v>419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419</v>
      </c>
      <c r="E1768" t="s">
        <v>419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419</v>
      </c>
      <c r="E1774" t="s">
        <v>419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419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420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421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419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419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420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421</v>
      </c>
      <c r="E1790" t="s">
        <v>421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420</v>
      </c>
      <c r="E1792" t="s">
        <v>420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421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421</v>
      </c>
      <c r="E1798" t="s">
        <v>421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421</v>
      </c>
      <c r="E1804" t="s">
        <v>421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420</v>
      </c>
      <c r="E1805" t="s">
        <v>420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467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467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467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467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467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467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467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467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467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467</v>
      </c>
      <c r="C1815" t="s">
        <v>56</v>
      </c>
      <c r="D1815" t="s">
        <v>419</v>
      </c>
      <c r="E1815" t="s">
        <v>419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467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467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467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467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467</v>
      </c>
      <c r="C1820" t="s">
        <v>56</v>
      </c>
      <c r="D1820" t="s">
        <v>420</v>
      </c>
      <c r="E1820" t="s">
        <v>420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467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467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467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467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467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467</v>
      </c>
      <c r="C1826" t="s">
        <v>58</v>
      </c>
      <c r="D1826" t="s">
        <v>420</v>
      </c>
      <c r="E1826" t="s">
        <v>420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467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467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467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467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467</v>
      </c>
      <c r="C1831" t="s">
        <v>60</v>
      </c>
      <c r="D1831" t="s">
        <v>421</v>
      </c>
      <c r="E1831" t="s">
        <v>421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467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467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467</v>
      </c>
      <c r="C1834" t="s">
        <v>60</v>
      </c>
      <c r="D1834" t="s">
        <v>420</v>
      </c>
      <c r="E1834" t="s">
        <v>420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467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467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467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467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467</v>
      </c>
      <c r="C1839" t="s">
        <v>62</v>
      </c>
      <c r="D1839" t="s">
        <v>421</v>
      </c>
      <c r="E1839" t="s">
        <v>421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467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467</v>
      </c>
      <c r="C1841" t="s">
        <v>62</v>
      </c>
      <c r="D1841" t="s">
        <v>420</v>
      </c>
      <c r="E1841" t="s">
        <v>420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467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467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467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467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467</v>
      </c>
      <c r="C1846" t="s">
        <v>64</v>
      </c>
      <c r="D1846" t="s">
        <v>401</v>
      </c>
      <c r="E1846" t="s">
        <v>420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467</v>
      </c>
      <c r="C1847" t="s">
        <v>64</v>
      </c>
      <c r="D1847" t="s">
        <v>421</v>
      </c>
      <c r="E1847" t="s">
        <v>421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467</v>
      </c>
      <c r="C1848" t="s">
        <v>64</v>
      </c>
      <c r="D1848" t="s">
        <v>420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467</v>
      </c>
      <c r="C1849" t="s">
        <v>64</v>
      </c>
      <c r="D1849" t="s">
        <v>420</v>
      </c>
      <c r="E1849" t="s">
        <v>420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421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420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420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420</v>
      </c>
      <c r="E1873" t="s">
        <v>420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421</v>
      </c>
      <c r="E1878" t="s">
        <v>421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420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420</v>
      </c>
      <c r="E1880" t="s">
        <v>420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419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419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420</v>
      </c>
      <c r="E1899" t="s">
        <v>420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550</v>
      </c>
      <c r="E1906" t="s">
        <v>550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420</v>
      </c>
      <c r="E1907" t="s">
        <v>420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421</v>
      </c>
      <c r="E1913" t="s">
        <v>421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550</v>
      </c>
      <c r="E1914" t="s">
        <v>550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421</v>
      </c>
      <c r="E1918" t="s">
        <v>421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550</v>
      </c>
      <c r="E1919" t="s">
        <v>550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420</v>
      </c>
      <c r="E1920" t="s">
        <v>420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419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420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550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550</v>
      </c>
      <c r="E1929" t="s">
        <v>550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420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420</v>
      </c>
      <c r="E1931" t="s">
        <v>420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468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468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468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468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468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468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468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468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468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468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468</v>
      </c>
      <c r="C1942" t="s">
        <v>54</v>
      </c>
      <c r="D1942" t="s">
        <v>401</v>
      </c>
      <c r="E1942" t="s">
        <v>420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468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468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468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468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468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468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468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468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468</v>
      </c>
      <c r="C1951" t="s">
        <v>58</v>
      </c>
      <c r="D1951" t="s">
        <v>419</v>
      </c>
      <c r="E1951" t="s">
        <v>419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468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468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468</v>
      </c>
      <c r="C1954" t="s">
        <v>58</v>
      </c>
      <c r="D1954" t="s">
        <v>136</v>
      </c>
      <c r="E1954" t="s">
        <v>420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468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468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468</v>
      </c>
      <c r="C1957" t="s">
        <v>58</v>
      </c>
      <c r="D1957" t="s">
        <v>401</v>
      </c>
      <c r="E1957" t="s">
        <v>420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468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468</v>
      </c>
      <c r="C1959" t="s">
        <v>58</v>
      </c>
      <c r="D1959" t="s">
        <v>420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468</v>
      </c>
      <c r="C1960" t="s">
        <v>58</v>
      </c>
      <c r="D1960" t="s">
        <v>420</v>
      </c>
      <c r="E1960" t="s">
        <v>420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468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468</v>
      </c>
      <c r="C1962" t="s">
        <v>60</v>
      </c>
      <c r="D1962" t="s">
        <v>419</v>
      </c>
      <c r="E1962" t="s">
        <v>419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468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468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468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468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468</v>
      </c>
      <c r="C1967" t="s">
        <v>60</v>
      </c>
      <c r="D1967" t="s">
        <v>420</v>
      </c>
      <c r="E1967" t="s">
        <v>420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468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468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468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468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468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468</v>
      </c>
      <c r="C1973" t="s">
        <v>62</v>
      </c>
      <c r="D1973" t="s">
        <v>420</v>
      </c>
      <c r="E1973" t="s">
        <v>420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468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468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468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468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468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468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468</v>
      </c>
      <c r="C1980" t="s">
        <v>64</v>
      </c>
      <c r="D1980" t="s">
        <v>550</v>
      </c>
      <c r="E1980" t="s">
        <v>550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468</v>
      </c>
      <c r="C1981" t="s">
        <v>64</v>
      </c>
      <c r="D1981" t="s">
        <v>420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468</v>
      </c>
      <c r="C1982" t="s">
        <v>64</v>
      </c>
      <c r="D1982" t="s">
        <v>420</v>
      </c>
      <c r="E1982" t="s">
        <v>420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469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469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469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469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469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469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469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469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469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469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469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469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469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469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469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469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469</v>
      </c>
      <c r="C1999" t="s">
        <v>58</v>
      </c>
      <c r="D1999" t="s">
        <v>421</v>
      </c>
      <c r="E1999" t="s">
        <v>421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469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469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469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469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469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469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469</v>
      </c>
      <c r="C2006" t="s">
        <v>60</v>
      </c>
      <c r="D2006" t="s">
        <v>550</v>
      </c>
      <c r="E2006" t="s">
        <v>550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469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469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469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469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469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469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469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469</v>
      </c>
      <c r="C2014" t="s">
        <v>64</v>
      </c>
      <c r="D2014" t="s">
        <v>136</v>
      </c>
      <c r="E2014" t="s">
        <v>550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469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469</v>
      </c>
      <c r="C2016" t="s">
        <v>64</v>
      </c>
      <c r="D2016" t="s">
        <v>550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469</v>
      </c>
      <c r="C2017" t="s">
        <v>64</v>
      </c>
      <c r="D2017" t="s">
        <v>550</v>
      </c>
      <c r="E2017" t="s">
        <v>550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470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470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470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470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470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470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470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470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470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470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470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470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470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470</v>
      </c>
      <c r="C2031" t="s">
        <v>56</v>
      </c>
      <c r="D2031" t="s">
        <v>400</v>
      </c>
      <c r="E2031" t="s">
        <v>419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470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470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470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470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470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470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470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470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470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470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470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470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470</v>
      </c>
      <c r="C2044" t="s">
        <v>58</v>
      </c>
      <c r="D2044" t="s">
        <v>420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470</v>
      </c>
      <c r="C2045" t="s">
        <v>58</v>
      </c>
      <c r="D2045" t="s">
        <v>420</v>
      </c>
      <c r="E2045" t="s">
        <v>420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470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470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470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470</v>
      </c>
      <c r="C2049" t="s">
        <v>60</v>
      </c>
      <c r="D2049" t="s">
        <v>421</v>
      </c>
      <c r="E2049" t="s">
        <v>421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470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470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470</v>
      </c>
      <c r="C2052" t="s">
        <v>60</v>
      </c>
      <c r="D2052" t="s">
        <v>420</v>
      </c>
      <c r="E2052" t="s">
        <v>420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470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470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470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470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470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470</v>
      </c>
      <c r="C2058" t="s">
        <v>62</v>
      </c>
      <c r="D2058" t="s">
        <v>420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470</v>
      </c>
      <c r="C2059" t="s">
        <v>62</v>
      </c>
      <c r="D2059" t="s">
        <v>420</v>
      </c>
      <c r="E2059" t="s">
        <v>420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470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470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470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470</v>
      </c>
      <c r="C2063" t="s">
        <v>64</v>
      </c>
      <c r="D2063" t="s">
        <v>421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470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470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470</v>
      </c>
      <c r="C2066" t="s">
        <v>64</v>
      </c>
      <c r="D2066" t="s">
        <v>550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471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471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471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471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471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471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471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471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471</v>
      </c>
      <c r="C2075" t="s">
        <v>54</v>
      </c>
      <c r="D2075" t="s">
        <v>400</v>
      </c>
      <c r="E2075" t="s">
        <v>419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471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471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471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471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471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471</v>
      </c>
      <c r="C2081" t="s">
        <v>56</v>
      </c>
      <c r="D2081" t="s">
        <v>419</v>
      </c>
      <c r="E2081" t="s">
        <v>419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471</v>
      </c>
      <c r="C2082" t="s">
        <v>56</v>
      </c>
      <c r="D2082" t="s">
        <v>419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471</v>
      </c>
      <c r="C2083" t="s">
        <v>56</v>
      </c>
      <c r="D2083" t="s">
        <v>400</v>
      </c>
      <c r="E2083" t="s">
        <v>419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471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471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471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471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471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471</v>
      </c>
      <c r="C2089" t="s">
        <v>58</v>
      </c>
      <c r="D2089" t="s">
        <v>419</v>
      </c>
      <c r="E2089" t="s">
        <v>419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471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471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471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471</v>
      </c>
      <c r="C2093" t="s">
        <v>58</v>
      </c>
      <c r="D2093" t="s">
        <v>421</v>
      </c>
      <c r="E2093" t="s">
        <v>421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471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471</v>
      </c>
      <c r="C2095" t="s">
        <v>58</v>
      </c>
      <c r="D2095" t="s">
        <v>420</v>
      </c>
      <c r="E2095" t="s">
        <v>420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471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471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471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471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471</v>
      </c>
      <c r="C2100" t="s">
        <v>60</v>
      </c>
      <c r="D2100" t="s">
        <v>136</v>
      </c>
      <c r="E2100" t="s">
        <v>420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471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471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471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471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471</v>
      </c>
      <c r="C2105" t="s">
        <v>60</v>
      </c>
      <c r="D2105" t="s">
        <v>550</v>
      </c>
      <c r="E2105" t="s">
        <v>550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471</v>
      </c>
      <c r="C2106" t="s">
        <v>60</v>
      </c>
      <c r="D2106" t="s">
        <v>422</v>
      </c>
      <c r="E2106" t="s">
        <v>422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471</v>
      </c>
      <c r="C2107" t="s">
        <v>60</v>
      </c>
      <c r="D2107" t="s">
        <v>420</v>
      </c>
      <c r="E2107" t="s">
        <v>420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471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471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471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471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471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471</v>
      </c>
      <c r="C2113" t="s">
        <v>62</v>
      </c>
      <c r="D2113" t="s">
        <v>421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471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471</v>
      </c>
      <c r="C2115" t="s">
        <v>62</v>
      </c>
      <c r="D2115" t="s">
        <v>550</v>
      </c>
      <c r="E2115" t="s">
        <v>550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471</v>
      </c>
      <c r="C2116" t="s">
        <v>62</v>
      </c>
      <c r="D2116" t="s">
        <v>420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471</v>
      </c>
      <c r="C2117" t="s">
        <v>62</v>
      </c>
      <c r="D2117" t="s">
        <v>420</v>
      </c>
      <c r="E2117" t="s">
        <v>420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471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471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471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471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471</v>
      </c>
      <c r="C2122" t="s">
        <v>64</v>
      </c>
      <c r="D2122" t="s">
        <v>550</v>
      </c>
      <c r="E2122" t="s">
        <v>550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471</v>
      </c>
      <c r="C2123" t="s">
        <v>64</v>
      </c>
      <c r="D2123" t="s">
        <v>422</v>
      </c>
      <c r="E2123" t="s">
        <v>422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471</v>
      </c>
      <c r="C2124" t="s">
        <v>64</v>
      </c>
      <c r="D2124" t="s">
        <v>420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471</v>
      </c>
      <c r="C2125" t="s">
        <v>64</v>
      </c>
      <c r="D2125" t="s">
        <v>420</v>
      </c>
      <c r="E2125" t="s">
        <v>420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472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472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472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472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472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472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472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472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472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472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472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472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472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472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472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472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472</v>
      </c>
      <c r="C2142" t="s">
        <v>56</v>
      </c>
      <c r="D2142" t="s">
        <v>419</v>
      </c>
      <c r="E2142" t="s">
        <v>419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472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472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472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472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472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472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472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472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472</v>
      </c>
      <c r="C2151" t="s">
        <v>56</v>
      </c>
      <c r="D2151" t="s">
        <v>420</v>
      </c>
      <c r="E2151" t="s">
        <v>420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472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472</v>
      </c>
      <c r="C2153" t="s">
        <v>58</v>
      </c>
      <c r="D2153" t="s">
        <v>419</v>
      </c>
      <c r="E2153" t="s">
        <v>419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472</v>
      </c>
      <c r="C2154" t="s">
        <v>58</v>
      </c>
      <c r="D2154" t="s">
        <v>419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472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472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472</v>
      </c>
      <c r="C2157" t="s">
        <v>58</v>
      </c>
      <c r="D2157" t="s">
        <v>136</v>
      </c>
      <c r="E2157" t="s">
        <v>420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472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472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472</v>
      </c>
      <c r="C2160" t="s">
        <v>58</v>
      </c>
      <c r="D2160" t="s">
        <v>550</v>
      </c>
      <c r="E2160" t="s">
        <v>550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472</v>
      </c>
      <c r="C2161" t="s">
        <v>58</v>
      </c>
      <c r="D2161" t="s">
        <v>420</v>
      </c>
      <c r="E2161" t="s">
        <v>420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472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472</v>
      </c>
      <c r="C2163" t="s">
        <v>60</v>
      </c>
      <c r="D2163" t="s">
        <v>549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472</v>
      </c>
      <c r="C2164" t="s">
        <v>60</v>
      </c>
      <c r="D2164" t="s">
        <v>419</v>
      </c>
      <c r="E2164" t="s">
        <v>419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472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472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472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472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472</v>
      </c>
      <c r="C2169" t="s">
        <v>60</v>
      </c>
      <c r="D2169" t="s">
        <v>421</v>
      </c>
      <c r="E2169" t="s">
        <v>421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472</v>
      </c>
      <c r="C2170" t="s">
        <v>60</v>
      </c>
      <c r="D2170" t="s">
        <v>550</v>
      </c>
      <c r="E2170" t="s">
        <v>550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472</v>
      </c>
      <c r="C2171" t="s">
        <v>60</v>
      </c>
      <c r="D2171" t="s">
        <v>420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472</v>
      </c>
      <c r="C2172" t="s">
        <v>60</v>
      </c>
      <c r="D2172" t="s">
        <v>420</v>
      </c>
      <c r="E2172" t="s">
        <v>420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472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472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472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472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472</v>
      </c>
      <c r="C2177" t="s">
        <v>62</v>
      </c>
      <c r="D2177" t="s">
        <v>421</v>
      </c>
      <c r="E2177" t="s">
        <v>421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472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472</v>
      </c>
      <c r="C2179" t="s">
        <v>62</v>
      </c>
      <c r="D2179" t="s">
        <v>550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472</v>
      </c>
      <c r="C2180" t="s">
        <v>62</v>
      </c>
      <c r="D2180" t="s">
        <v>550</v>
      </c>
      <c r="E2180" t="s">
        <v>550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472</v>
      </c>
      <c r="C2181" t="s">
        <v>62</v>
      </c>
      <c r="D2181" t="s">
        <v>420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472</v>
      </c>
      <c r="C2182" t="s">
        <v>62</v>
      </c>
      <c r="D2182" t="s">
        <v>420</v>
      </c>
      <c r="E2182" t="s">
        <v>420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472</v>
      </c>
      <c r="C2183" t="s">
        <v>62</v>
      </c>
      <c r="D2183" t="s">
        <v>427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472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472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472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472</v>
      </c>
      <c r="C2187" t="s">
        <v>64</v>
      </c>
      <c r="D2187" t="s">
        <v>401</v>
      </c>
      <c r="E2187" t="s">
        <v>419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472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472</v>
      </c>
      <c r="C2189" t="s">
        <v>64</v>
      </c>
      <c r="D2189" t="s">
        <v>421</v>
      </c>
      <c r="E2189" t="s">
        <v>421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472</v>
      </c>
      <c r="C2190" t="s">
        <v>64</v>
      </c>
      <c r="D2190" t="s">
        <v>550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472</v>
      </c>
      <c r="C2191" t="s">
        <v>64</v>
      </c>
      <c r="D2191" t="s">
        <v>550</v>
      </c>
      <c r="E2191" t="s">
        <v>550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472</v>
      </c>
      <c r="C2192" t="s">
        <v>64</v>
      </c>
      <c r="D2192" t="s">
        <v>420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472</v>
      </c>
      <c r="C2193" t="s">
        <v>64</v>
      </c>
      <c r="D2193" t="s">
        <v>420</v>
      </c>
      <c r="E2193" t="s">
        <v>420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472</v>
      </c>
      <c r="C2194" t="s">
        <v>64</v>
      </c>
      <c r="D2194" t="s">
        <v>427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473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473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473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473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473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473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473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473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473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473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473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473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473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473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473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473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473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473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473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473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473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473</v>
      </c>
      <c r="C2216" t="s">
        <v>56</v>
      </c>
      <c r="D2216" t="s">
        <v>420</v>
      </c>
      <c r="E2216" t="s">
        <v>420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473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473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473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473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473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473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473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473</v>
      </c>
      <c r="C2224" t="s">
        <v>58</v>
      </c>
      <c r="D2224" t="s">
        <v>420</v>
      </c>
      <c r="E2224" t="s">
        <v>420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473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473</v>
      </c>
      <c r="C2226" t="s">
        <v>60</v>
      </c>
      <c r="D2226" t="s">
        <v>419</v>
      </c>
      <c r="E2226" t="s">
        <v>419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473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473</v>
      </c>
      <c r="C2228" t="s">
        <v>60</v>
      </c>
      <c r="D2228" t="s">
        <v>136</v>
      </c>
      <c r="E2228" t="s">
        <v>420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473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473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473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473</v>
      </c>
      <c r="C2232" t="s">
        <v>60</v>
      </c>
      <c r="D2232" t="s">
        <v>420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473</v>
      </c>
      <c r="C2233" t="s">
        <v>60</v>
      </c>
      <c r="D2233" t="s">
        <v>420</v>
      </c>
      <c r="E2233" t="s">
        <v>420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473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473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473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473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473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473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473</v>
      </c>
      <c r="C2240" t="s">
        <v>62</v>
      </c>
      <c r="D2240" t="s">
        <v>420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473</v>
      </c>
      <c r="C2241" t="s">
        <v>62</v>
      </c>
      <c r="D2241" t="s">
        <v>420</v>
      </c>
      <c r="E2241" t="s">
        <v>420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473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473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473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473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473</v>
      </c>
      <c r="C2246" t="s">
        <v>64</v>
      </c>
      <c r="D2246" t="s">
        <v>136</v>
      </c>
      <c r="E2246" t="s">
        <v>420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473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473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473</v>
      </c>
      <c r="C2249" t="s">
        <v>64</v>
      </c>
      <c r="D2249" t="s">
        <v>421</v>
      </c>
      <c r="E2249" t="s">
        <v>421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473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473</v>
      </c>
      <c r="C2251" t="s">
        <v>64</v>
      </c>
      <c r="D2251" t="s">
        <v>550</v>
      </c>
      <c r="E2251" t="s">
        <v>550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473</v>
      </c>
      <c r="C2252" t="s">
        <v>64</v>
      </c>
      <c r="D2252" t="s">
        <v>420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473</v>
      </c>
      <c r="C2253" t="s">
        <v>64</v>
      </c>
      <c r="D2253" t="s">
        <v>420</v>
      </c>
      <c r="E2253" t="s">
        <v>420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4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41" t="s">
        <v>474</v>
      </c>
      <c r="B1" s="1341"/>
      <c r="C1" s="1341"/>
      <c r="D1" s="1341"/>
      <c r="E1" s="1341"/>
      <c r="F1" s="1341"/>
      <c r="G1" s="1341"/>
      <c r="H1" s="1341"/>
      <c r="I1" s="1341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408</v>
      </c>
      <c r="X4" s="58" t="s">
        <v>408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410</v>
      </c>
      <c r="O6" t="s">
        <v>411</v>
      </c>
      <c r="P6" t="s">
        <v>412</v>
      </c>
      <c r="Q6" t="s">
        <v>413</v>
      </c>
      <c r="R6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t="s">
        <v>393</v>
      </c>
      <c r="AG6" t="s">
        <v>394</v>
      </c>
      <c r="AH6" t="s">
        <v>409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410</v>
      </c>
      <c r="AO6" t="s">
        <v>411</v>
      </c>
      <c r="AP6" t="s">
        <v>412</v>
      </c>
      <c r="AQ6" t="s">
        <v>413</v>
      </c>
      <c r="AR6" t="s">
        <v>414</v>
      </c>
      <c r="AS6" t="s">
        <v>415</v>
      </c>
      <c r="AT6" t="s">
        <v>416</v>
      </c>
      <c r="AU6" t="s">
        <v>417</v>
      </c>
      <c r="AV6" t="s">
        <v>418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560</v>
      </c>
      <c r="AE7" t="s">
        <v>560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560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560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420</v>
      </c>
      <c r="AD10" t="s">
        <v>400</v>
      </c>
      <c r="AE10" t="s">
        <v>560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560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560</v>
      </c>
      <c r="AD12" t="s">
        <v>400</v>
      </c>
      <c r="AE12" t="s">
        <v>560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427</v>
      </c>
      <c r="AD13" t="s">
        <v>400</v>
      </c>
      <c r="AE13" t="s">
        <v>560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571</v>
      </c>
      <c r="AD14" t="s">
        <v>136</v>
      </c>
      <c r="AE14" t="s">
        <v>560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419</v>
      </c>
      <c r="AD15" t="s">
        <v>136</v>
      </c>
      <c r="AE15" t="s">
        <v>560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560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560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421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421</v>
      </c>
      <c r="AD19" t="s">
        <v>136</v>
      </c>
      <c r="AE19" t="s">
        <v>560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560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419</v>
      </c>
      <c r="E22" t="s">
        <v>419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560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572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572</v>
      </c>
      <c r="AD24" t="s">
        <v>136</v>
      </c>
      <c r="AE24" t="s">
        <v>560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572</v>
      </c>
      <c r="AD25" t="s">
        <v>402</v>
      </c>
      <c r="AE25" t="s">
        <v>560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422</v>
      </c>
      <c r="AD26" t="s">
        <v>136</v>
      </c>
      <c r="AE26" t="s">
        <v>560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421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420</v>
      </c>
      <c r="AD27" t="s">
        <v>400</v>
      </c>
      <c r="AE27" t="s">
        <v>560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420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420</v>
      </c>
      <c r="AD29" t="s">
        <v>136</v>
      </c>
      <c r="AE29" t="s">
        <v>560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420</v>
      </c>
      <c r="AD30" t="s">
        <v>401</v>
      </c>
      <c r="AE30" t="s">
        <v>560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560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420</v>
      </c>
      <c r="E32" t="s">
        <v>420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560</v>
      </c>
      <c r="AD32" t="s">
        <v>136</v>
      </c>
      <c r="AE32" t="s">
        <v>560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427</v>
      </c>
      <c r="E33" t="s">
        <v>427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560</v>
      </c>
      <c r="AD33" t="s">
        <v>402</v>
      </c>
      <c r="AE33" t="s">
        <v>560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475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475</v>
      </c>
      <c r="AD35" t="s">
        <v>136</v>
      </c>
      <c r="AE35" t="s">
        <v>560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427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421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427</v>
      </c>
      <c r="AD37" t="s">
        <v>136</v>
      </c>
      <c r="AE37" t="s">
        <v>560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420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423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423</v>
      </c>
      <c r="AD39" t="s">
        <v>136</v>
      </c>
      <c r="AE39" t="s">
        <v>560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420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419</v>
      </c>
      <c r="AD40" t="s">
        <v>401</v>
      </c>
      <c r="AE40" t="s">
        <v>560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421</v>
      </c>
      <c r="E41" t="s">
        <v>421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560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421</v>
      </c>
      <c r="AD42" t="s">
        <v>401</v>
      </c>
      <c r="AE42" t="s">
        <v>560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572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572</v>
      </c>
      <c r="AD44" t="s">
        <v>401</v>
      </c>
      <c r="AE44" t="s">
        <v>560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420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550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420</v>
      </c>
      <c r="AD46" t="s">
        <v>401</v>
      </c>
      <c r="AE46" t="s">
        <v>560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550</v>
      </c>
      <c r="E47" t="s">
        <v>550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560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422</v>
      </c>
      <c r="E48" s="122" t="s">
        <v>422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560</v>
      </c>
      <c r="AD48" t="s">
        <v>401</v>
      </c>
      <c r="AE48" t="s">
        <v>560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420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560</v>
      </c>
      <c r="AD49" t="s">
        <v>402</v>
      </c>
      <c r="AE49" t="s">
        <v>560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420</v>
      </c>
      <c r="E50" t="s">
        <v>420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475</v>
      </c>
      <c r="AD50" t="s">
        <v>401</v>
      </c>
      <c r="AE50" t="s">
        <v>560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427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420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427</v>
      </c>
      <c r="AD52" t="s">
        <v>401</v>
      </c>
      <c r="AE52" t="s">
        <v>560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423</v>
      </c>
      <c r="AD53" t="s">
        <v>401</v>
      </c>
      <c r="AE53" t="s">
        <v>560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571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421</v>
      </c>
      <c r="E55" t="s">
        <v>421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571</v>
      </c>
      <c r="AD55" t="s">
        <v>402</v>
      </c>
      <c r="AE55" t="s">
        <v>560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560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550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560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550</v>
      </c>
      <c r="E59" t="s">
        <v>550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421</v>
      </c>
      <c r="AD59" t="s">
        <v>402</v>
      </c>
      <c r="AE59" t="s">
        <v>560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420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571</v>
      </c>
      <c r="AE60" t="s">
        <v>560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420</v>
      </c>
      <c r="E61" t="s">
        <v>420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427</v>
      </c>
      <c r="E62" t="s">
        <v>427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560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572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572</v>
      </c>
      <c r="AD64" t="s">
        <v>402</v>
      </c>
      <c r="AE64" t="s">
        <v>560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420</v>
      </c>
      <c r="AD65" t="s">
        <v>400</v>
      </c>
      <c r="AE65" t="s">
        <v>560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421</v>
      </c>
      <c r="E66" t="s">
        <v>421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420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420</v>
      </c>
      <c r="AD67" t="s">
        <v>402</v>
      </c>
      <c r="AE67" t="s">
        <v>560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560</v>
      </c>
      <c r="AD68" t="s">
        <v>400</v>
      </c>
      <c r="AE68" t="s">
        <v>560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550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560</v>
      </c>
      <c r="AD69" t="s">
        <v>136</v>
      </c>
      <c r="AE69" t="s">
        <v>560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550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560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550</v>
      </c>
      <c r="E71" t="s">
        <v>550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560</v>
      </c>
      <c r="AD71" t="s">
        <v>402</v>
      </c>
      <c r="AE71" t="s">
        <v>560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420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427</v>
      </c>
      <c r="AD72" t="s">
        <v>136</v>
      </c>
      <c r="AE72" t="s">
        <v>560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420</v>
      </c>
      <c r="E73" t="s">
        <v>550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427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420</v>
      </c>
      <c r="E74" t="s">
        <v>420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427</v>
      </c>
      <c r="AD74" t="s">
        <v>402</v>
      </c>
      <c r="AE74" t="s">
        <v>560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427</v>
      </c>
      <c r="E75" t="s">
        <v>427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423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423</v>
      </c>
      <c r="AD76" t="s">
        <v>402</v>
      </c>
      <c r="AE76" t="s">
        <v>560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423</v>
      </c>
      <c r="AD77" t="s">
        <v>423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423</v>
      </c>
      <c r="AC78" t="s">
        <v>560</v>
      </c>
      <c r="AD78" t="s">
        <v>423</v>
      </c>
      <c r="AE78" t="s">
        <v>560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420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560</v>
      </c>
      <c r="AE79" t="s">
        <v>560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560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560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420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420</v>
      </c>
      <c r="AD83" t="s">
        <v>400</v>
      </c>
      <c r="AE83" t="s">
        <v>560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550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560</v>
      </c>
      <c r="AD84" t="s">
        <v>400</v>
      </c>
      <c r="AE84" t="s">
        <v>560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550</v>
      </c>
      <c r="E85" t="s">
        <v>550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475</v>
      </c>
      <c r="AD85" t="s">
        <v>400</v>
      </c>
      <c r="AE85" t="s">
        <v>560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422</v>
      </c>
      <c r="E86" t="s">
        <v>422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427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425</v>
      </c>
      <c r="E87" t="s">
        <v>425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427</v>
      </c>
      <c r="AD87" t="s">
        <v>400</v>
      </c>
      <c r="AE87" t="s">
        <v>560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420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571</v>
      </c>
      <c r="AD88" t="s">
        <v>136</v>
      </c>
      <c r="AE88" t="s">
        <v>560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420</v>
      </c>
      <c r="E89" t="s">
        <v>420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419</v>
      </c>
      <c r="AD89" t="s">
        <v>136</v>
      </c>
      <c r="AE89" t="s">
        <v>560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420</v>
      </c>
      <c r="E90" t="s">
        <v>475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560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427</v>
      </c>
      <c r="E91" t="s">
        <v>427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560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573</v>
      </c>
      <c r="AD93" t="s">
        <v>136</v>
      </c>
      <c r="AE93" t="s">
        <v>560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421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421</v>
      </c>
      <c r="AD95" t="s">
        <v>136</v>
      </c>
      <c r="AE95" t="s">
        <v>560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560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572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572</v>
      </c>
      <c r="AD98" t="s">
        <v>136</v>
      </c>
      <c r="AE98" t="s">
        <v>560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572</v>
      </c>
      <c r="AD99" t="s">
        <v>402</v>
      </c>
      <c r="AE99" t="s">
        <v>560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425</v>
      </c>
      <c r="AD100" t="s">
        <v>136</v>
      </c>
      <c r="AE100" t="s">
        <v>560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475</v>
      </c>
      <c r="E101" s="122" t="s">
        <v>475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420</v>
      </c>
      <c r="AD101" t="s">
        <v>400</v>
      </c>
      <c r="AE101" t="s">
        <v>560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423</v>
      </c>
      <c r="E102" t="s">
        <v>423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420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420</v>
      </c>
      <c r="AD103" t="s">
        <v>136</v>
      </c>
      <c r="AE103" t="s">
        <v>560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560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560</v>
      </c>
      <c r="AD105" t="s">
        <v>136</v>
      </c>
      <c r="AE105" t="s">
        <v>560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427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427</v>
      </c>
      <c r="AD107" t="s">
        <v>136</v>
      </c>
      <c r="AE107" t="s">
        <v>560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423</v>
      </c>
      <c r="AD108" t="s">
        <v>136</v>
      </c>
      <c r="AE108" t="s">
        <v>560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419</v>
      </c>
      <c r="E109" t="s">
        <v>419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419</v>
      </c>
      <c r="AD109" t="s">
        <v>401</v>
      </c>
      <c r="AE109" t="s">
        <v>560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419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560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560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421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421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421</v>
      </c>
      <c r="AD115" t="s">
        <v>401</v>
      </c>
      <c r="AE115" t="s">
        <v>560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421</v>
      </c>
      <c r="E116" t="s">
        <v>421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421</v>
      </c>
      <c r="AD116" t="s">
        <v>421</v>
      </c>
      <c r="AE116" t="s">
        <v>560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572</v>
      </c>
      <c r="AD117" t="s">
        <v>136</v>
      </c>
      <c r="AE117" t="s">
        <v>560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572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420</v>
      </c>
      <c r="E119" t="s">
        <v>420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572</v>
      </c>
      <c r="AD119" t="s">
        <v>401</v>
      </c>
      <c r="AE119" t="s">
        <v>560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475</v>
      </c>
      <c r="E120" t="s">
        <v>475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425</v>
      </c>
      <c r="AD120" t="s">
        <v>401</v>
      </c>
      <c r="AE120" t="s">
        <v>560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427</v>
      </c>
      <c r="E121" t="s">
        <v>427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420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419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420</v>
      </c>
      <c r="AD122" t="s">
        <v>401</v>
      </c>
      <c r="AE122" t="s">
        <v>560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560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560</v>
      </c>
      <c r="AD124" t="s">
        <v>401</v>
      </c>
      <c r="AE124" t="s">
        <v>560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420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475</v>
      </c>
      <c r="AD125" t="s">
        <v>401</v>
      </c>
      <c r="AE125" t="s">
        <v>560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427</v>
      </c>
      <c r="AD126" t="s">
        <v>401</v>
      </c>
      <c r="AE126" t="s">
        <v>560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423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420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423</v>
      </c>
      <c r="AD128" t="s">
        <v>401</v>
      </c>
      <c r="AE128" t="s">
        <v>560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421</v>
      </c>
      <c r="E129" t="s">
        <v>421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571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420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560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420</v>
      </c>
      <c r="E132" t="s">
        <v>420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421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427</v>
      </c>
      <c r="E133" t="s">
        <v>427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421</v>
      </c>
      <c r="AD133" t="s">
        <v>402</v>
      </c>
      <c r="AE133" t="s">
        <v>560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560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572</v>
      </c>
      <c r="AD136" t="s">
        <v>136</v>
      </c>
      <c r="AE136" t="s">
        <v>560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572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572</v>
      </c>
      <c r="AD138" t="s">
        <v>402</v>
      </c>
      <c r="AE138" t="s">
        <v>560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421</v>
      </c>
      <c r="E139" t="s">
        <v>421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420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420</v>
      </c>
      <c r="AD140" t="s">
        <v>402</v>
      </c>
      <c r="AE140" t="s">
        <v>560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550</v>
      </c>
      <c r="E141" t="s">
        <v>550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560</v>
      </c>
      <c r="AD141" t="s">
        <v>136</v>
      </c>
      <c r="AE141" t="s">
        <v>560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425</v>
      </c>
      <c r="E142" t="s">
        <v>425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560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420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560</v>
      </c>
      <c r="AD143" t="s">
        <v>402</v>
      </c>
      <c r="AE143" t="s">
        <v>560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420</v>
      </c>
      <c r="E144" t="s">
        <v>420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475</v>
      </c>
      <c r="AD144" t="s">
        <v>402</v>
      </c>
      <c r="AE144" t="s">
        <v>560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427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427</v>
      </c>
      <c r="AD146" t="s">
        <v>402</v>
      </c>
      <c r="AE146" t="s">
        <v>560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420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423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423</v>
      </c>
      <c r="AD148" t="s">
        <v>402</v>
      </c>
      <c r="AE148" t="s">
        <v>560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420</v>
      </c>
      <c r="AC149" t="s">
        <v>572</v>
      </c>
      <c r="AD149" t="s">
        <v>420</v>
      </c>
      <c r="AE149" t="s">
        <v>560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421</v>
      </c>
      <c r="E150" t="s">
        <v>421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427</v>
      </c>
      <c r="AC150" t="s">
        <v>427</v>
      </c>
      <c r="AD150" t="s">
        <v>427</v>
      </c>
      <c r="AE150" t="s">
        <v>560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560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420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423</v>
      </c>
      <c r="AC152" t="s">
        <v>560</v>
      </c>
      <c r="AD152" t="s">
        <v>423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420</v>
      </c>
      <c r="E153" t="s">
        <v>420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423</v>
      </c>
      <c r="AC153" t="s">
        <v>560</v>
      </c>
      <c r="AD153" t="s">
        <v>423</v>
      </c>
      <c r="AE153" t="s">
        <v>560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560</v>
      </c>
      <c r="AE154" t="s">
        <v>560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419</v>
      </c>
      <c r="AC155" t="s">
        <v>136</v>
      </c>
      <c r="AD155" t="s">
        <v>419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419</v>
      </c>
      <c r="AC156" t="s">
        <v>420</v>
      </c>
      <c r="AD156" t="s">
        <v>419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420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419</v>
      </c>
      <c r="AC157" t="s">
        <v>420</v>
      </c>
      <c r="AD157" t="s">
        <v>419</v>
      </c>
      <c r="AE157" t="s">
        <v>560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419</v>
      </c>
      <c r="AC158" t="s">
        <v>560</v>
      </c>
      <c r="AD158" t="s">
        <v>419</v>
      </c>
      <c r="AE158" t="s">
        <v>560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571</v>
      </c>
      <c r="AD159" t="s">
        <v>400</v>
      </c>
      <c r="AE159" t="s">
        <v>560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421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421</v>
      </c>
      <c r="E161" t="s">
        <v>421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560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420</v>
      </c>
      <c r="AE162" t="s">
        <v>560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420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560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420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421</v>
      </c>
      <c r="AD164" t="s">
        <v>400</v>
      </c>
      <c r="AE164" t="s">
        <v>560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420</v>
      </c>
      <c r="E165" t="s">
        <v>420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560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427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572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427</v>
      </c>
      <c r="E167" t="s">
        <v>427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572</v>
      </c>
      <c r="AD167" t="s">
        <v>400</v>
      </c>
      <c r="AE167" t="s">
        <v>560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420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420</v>
      </c>
      <c r="AD169" t="s">
        <v>400</v>
      </c>
      <c r="AE169" t="s">
        <v>560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560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560</v>
      </c>
      <c r="AD171" t="s">
        <v>400</v>
      </c>
      <c r="AE171" t="s">
        <v>560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419</v>
      </c>
      <c r="E172" t="s">
        <v>419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475</v>
      </c>
      <c r="AD172" t="s">
        <v>400</v>
      </c>
      <c r="AE172" t="s">
        <v>560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427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427</v>
      </c>
      <c r="AD174" t="s">
        <v>400</v>
      </c>
      <c r="AE174" t="s">
        <v>560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423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550</v>
      </c>
      <c r="E176" t="s">
        <v>550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419</v>
      </c>
      <c r="AD176" t="s">
        <v>136</v>
      </c>
      <c r="AE176" t="s">
        <v>560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419</v>
      </c>
      <c r="E177" s="122" t="s">
        <v>419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560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560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419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573</v>
      </c>
      <c r="AD180" t="s">
        <v>136</v>
      </c>
      <c r="AE180" t="s">
        <v>560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421</v>
      </c>
      <c r="AD181" t="s">
        <v>136</v>
      </c>
      <c r="AE181" t="s">
        <v>560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422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560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420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572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572</v>
      </c>
      <c r="AD184" t="s">
        <v>136</v>
      </c>
      <c r="AE184" t="s">
        <v>560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427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422</v>
      </c>
      <c r="AD185" t="s">
        <v>136</v>
      </c>
      <c r="AE185" t="s">
        <v>560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420</v>
      </c>
      <c r="E186" t="s">
        <v>420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425</v>
      </c>
      <c r="AD186" t="s">
        <v>136</v>
      </c>
      <c r="AE186" t="s">
        <v>560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420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419</v>
      </c>
      <c r="E188" t="s">
        <v>419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420</v>
      </c>
      <c r="AD188" t="s">
        <v>136</v>
      </c>
      <c r="AE188" t="s">
        <v>560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419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420</v>
      </c>
      <c r="AD189" t="s">
        <v>420</v>
      </c>
      <c r="AE189" t="s">
        <v>560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419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560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560</v>
      </c>
      <c r="AD191" t="s">
        <v>136</v>
      </c>
      <c r="AE191" t="s">
        <v>560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560</v>
      </c>
      <c r="AD192" t="s">
        <v>402</v>
      </c>
      <c r="AE192" t="s">
        <v>560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427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549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427</v>
      </c>
      <c r="AD194" t="s">
        <v>136</v>
      </c>
      <c r="AE194" t="s">
        <v>560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419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423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423</v>
      </c>
      <c r="AD196" t="s">
        <v>136</v>
      </c>
      <c r="AE196" t="s">
        <v>560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419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421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419</v>
      </c>
      <c r="AD198" t="s">
        <v>401</v>
      </c>
      <c r="AE198" t="s">
        <v>560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550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560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420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560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573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421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573</v>
      </c>
      <c r="AD205" t="s">
        <v>401</v>
      </c>
      <c r="AE205" t="s">
        <v>560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421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422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421</v>
      </c>
      <c r="AD207" t="s">
        <v>401</v>
      </c>
      <c r="AE207" t="s">
        <v>560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550</v>
      </c>
      <c r="E208" t="s">
        <v>550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560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425</v>
      </c>
      <c r="E209" t="s">
        <v>425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572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420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572</v>
      </c>
      <c r="AD210" t="s">
        <v>401</v>
      </c>
      <c r="AE210" t="s">
        <v>560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420</v>
      </c>
      <c r="E211" t="s">
        <v>550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572</v>
      </c>
      <c r="AD211" t="s">
        <v>402</v>
      </c>
      <c r="AE211" t="s">
        <v>560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420</v>
      </c>
      <c r="E212" s="122" t="s">
        <v>420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422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422</v>
      </c>
      <c r="AD213" t="s">
        <v>401</v>
      </c>
      <c r="AE213" t="s">
        <v>560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423</v>
      </c>
      <c r="E214" t="s">
        <v>423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425</v>
      </c>
      <c r="AD214" t="s">
        <v>401</v>
      </c>
      <c r="AE214" t="s">
        <v>560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420</v>
      </c>
      <c r="AD215" t="s">
        <v>136</v>
      </c>
      <c r="AE215" t="s">
        <v>560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419</v>
      </c>
      <c r="E216" t="s">
        <v>419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420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419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420</v>
      </c>
      <c r="AD217" t="s">
        <v>401</v>
      </c>
      <c r="AE217" t="s">
        <v>560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560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560</v>
      </c>
      <c r="AD219" t="s">
        <v>401</v>
      </c>
      <c r="AE219" t="s">
        <v>560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475</v>
      </c>
      <c r="AD220" t="s">
        <v>401</v>
      </c>
      <c r="AE220" t="s">
        <v>560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427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550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427</v>
      </c>
      <c r="AD222" t="s">
        <v>401</v>
      </c>
      <c r="AE222" t="s">
        <v>560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420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423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549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423</v>
      </c>
      <c r="AD224" t="s">
        <v>401</v>
      </c>
      <c r="AE224" t="s">
        <v>560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571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571</v>
      </c>
      <c r="AD226" t="s">
        <v>402</v>
      </c>
      <c r="AE226" t="s">
        <v>560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422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419</v>
      </c>
      <c r="AD227" t="s">
        <v>402</v>
      </c>
      <c r="AE227" t="s">
        <v>560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420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560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421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421</v>
      </c>
      <c r="E230" t="s">
        <v>421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560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421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421</v>
      </c>
      <c r="AD232" t="s">
        <v>402</v>
      </c>
      <c r="AE232" t="s">
        <v>560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560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550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550</v>
      </c>
      <c r="E235" t="s">
        <v>550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560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422</v>
      </c>
      <c r="E236" t="s">
        <v>422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572</v>
      </c>
      <c r="AD236" t="s">
        <v>136</v>
      </c>
      <c r="AE236" t="s">
        <v>560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425</v>
      </c>
      <c r="E237" t="s">
        <v>425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572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420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572</v>
      </c>
      <c r="AD238" t="s">
        <v>402</v>
      </c>
      <c r="AE238" t="s">
        <v>560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420</v>
      </c>
      <c r="E239" t="s">
        <v>550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422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420</v>
      </c>
      <c r="E240" t="s">
        <v>420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422</v>
      </c>
      <c r="AD240" t="s">
        <v>402</v>
      </c>
      <c r="AE240" t="s">
        <v>560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420</v>
      </c>
      <c r="E241" t="s">
        <v>475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420</v>
      </c>
      <c r="AD241" t="s">
        <v>136</v>
      </c>
      <c r="AE241" t="s">
        <v>560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475</v>
      </c>
      <c r="E242" t="s">
        <v>475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420</v>
      </c>
      <c r="AD242" t="s">
        <v>401</v>
      </c>
      <c r="AE242" t="s">
        <v>560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420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419</v>
      </c>
      <c r="E244" t="s">
        <v>419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420</v>
      </c>
      <c r="AD244" t="s">
        <v>402</v>
      </c>
      <c r="AE244" t="s">
        <v>560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560</v>
      </c>
      <c r="AD245" t="s">
        <v>136</v>
      </c>
      <c r="AE245" t="s">
        <v>560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560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560</v>
      </c>
      <c r="AD247" t="s">
        <v>402</v>
      </c>
      <c r="AE247" t="s">
        <v>560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421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475</v>
      </c>
      <c r="AD248" t="s">
        <v>402</v>
      </c>
      <c r="AE248" t="s">
        <v>560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550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427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420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427</v>
      </c>
      <c r="AD250" t="s">
        <v>402</v>
      </c>
      <c r="AE250" t="s">
        <v>560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549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423</v>
      </c>
      <c r="AD251" t="s">
        <v>402</v>
      </c>
      <c r="AE251" t="s">
        <v>560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572</v>
      </c>
      <c r="AC252" t="s">
        <v>560</v>
      </c>
      <c r="AD252" t="s">
        <v>572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420</v>
      </c>
      <c r="AC253" t="s">
        <v>420</v>
      </c>
      <c r="AD253" t="s">
        <v>420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475</v>
      </c>
      <c r="AC254" t="s">
        <v>560</v>
      </c>
      <c r="AD254" t="s">
        <v>475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420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421</v>
      </c>
      <c r="AD255" t="s">
        <v>403</v>
      </c>
      <c r="AE255" t="s">
        <v>560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421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420</v>
      </c>
      <c r="AD256" t="s">
        <v>403</v>
      </c>
      <c r="AE256" t="s">
        <v>560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421</v>
      </c>
      <c r="E257" s="122" t="s">
        <v>421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560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560</v>
      </c>
      <c r="AD258" t="s">
        <v>423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550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427</v>
      </c>
      <c r="AD259" t="s">
        <v>423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550</v>
      </c>
      <c r="E260" t="s">
        <v>550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423</v>
      </c>
      <c r="AD260" t="s">
        <v>403</v>
      </c>
      <c r="AE260" t="s">
        <v>560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550</v>
      </c>
      <c r="E261" t="s">
        <v>420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423</v>
      </c>
      <c r="AC261" t="s">
        <v>560</v>
      </c>
      <c r="AD261" t="s">
        <v>423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425</v>
      </c>
      <c r="E262" t="s">
        <v>425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560</v>
      </c>
      <c r="AE262" t="s">
        <v>560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420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419</v>
      </c>
      <c r="AC263" t="s">
        <v>419</v>
      </c>
      <c r="AD263" t="s">
        <v>419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420</v>
      </c>
      <c r="E264" s="122" t="s">
        <v>420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419</v>
      </c>
      <c r="AC264" t="s">
        <v>419</v>
      </c>
      <c r="AD264" t="s">
        <v>419</v>
      </c>
      <c r="AE264" t="s">
        <v>560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427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419</v>
      </c>
      <c r="AC265" t="s">
        <v>136</v>
      </c>
      <c r="AD265" t="s">
        <v>400</v>
      </c>
      <c r="AE265" t="s">
        <v>560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427</v>
      </c>
      <c r="E266" t="s">
        <v>427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419</v>
      </c>
      <c r="AC266" t="s">
        <v>421</v>
      </c>
      <c r="AD266" t="s">
        <v>419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419</v>
      </c>
      <c r="AC267" t="s">
        <v>421</v>
      </c>
      <c r="AD267" t="s">
        <v>419</v>
      </c>
      <c r="AE267" t="s">
        <v>560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419</v>
      </c>
      <c r="E268" t="s">
        <v>419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419</v>
      </c>
      <c r="AC268" t="s">
        <v>421</v>
      </c>
      <c r="AD268" t="s">
        <v>400</v>
      </c>
      <c r="AE268" t="s">
        <v>560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419</v>
      </c>
      <c r="AC269" t="s">
        <v>572</v>
      </c>
      <c r="AD269" t="s">
        <v>419</v>
      </c>
      <c r="AE269" t="s">
        <v>560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419</v>
      </c>
      <c r="AC270" t="s">
        <v>420</v>
      </c>
      <c r="AD270" t="s">
        <v>419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550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419</v>
      </c>
      <c r="AC271" t="s">
        <v>420</v>
      </c>
      <c r="AD271" t="s">
        <v>419</v>
      </c>
      <c r="AE271" t="s">
        <v>560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420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419</v>
      </c>
      <c r="AC272" t="s">
        <v>420</v>
      </c>
      <c r="AD272" t="s">
        <v>401</v>
      </c>
      <c r="AE272" t="s">
        <v>560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419</v>
      </c>
      <c r="AC273" t="s">
        <v>560</v>
      </c>
      <c r="AD273" t="s">
        <v>419</v>
      </c>
      <c r="AE273" t="s">
        <v>560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419</v>
      </c>
      <c r="AC274" t="s">
        <v>560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421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571</v>
      </c>
      <c r="AD275" t="s">
        <v>424</v>
      </c>
      <c r="AE275" t="s">
        <v>560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421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419</v>
      </c>
      <c r="AD276" t="s">
        <v>400</v>
      </c>
      <c r="AE276" t="s">
        <v>560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421</v>
      </c>
      <c r="E277" t="s">
        <v>421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560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550</v>
      </c>
      <c r="E279" t="s">
        <v>550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425</v>
      </c>
      <c r="E280" t="s">
        <v>425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560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420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573</v>
      </c>
      <c r="AD281" t="s">
        <v>400</v>
      </c>
      <c r="AE281" t="s">
        <v>560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420</v>
      </c>
      <c r="E282" t="s">
        <v>420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421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421</v>
      </c>
      <c r="AD283" t="s">
        <v>400</v>
      </c>
      <c r="AE283" t="s">
        <v>560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419</v>
      </c>
      <c r="E284" t="s">
        <v>419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572</v>
      </c>
      <c r="AD284" t="s">
        <v>400</v>
      </c>
      <c r="AE284" t="s">
        <v>560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420</v>
      </c>
      <c r="AD285" t="s">
        <v>419</v>
      </c>
      <c r="AE285" t="s">
        <v>560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420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420</v>
      </c>
      <c r="AD287" t="s">
        <v>400</v>
      </c>
      <c r="AE287" t="s">
        <v>560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550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420</v>
      </c>
      <c r="AD288" t="s">
        <v>402</v>
      </c>
      <c r="AE288" t="s">
        <v>560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420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560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560</v>
      </c>
      <c r="AD290" t="s">
        <v>400</v>
      </c>
      <c r="AE290" t="s">
        <v>560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475</v>
      </c>
      <c r="AD291" t="s">
        <v>400</v>
      </c>
      <c r="AE291" t="s">
        <v>560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421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427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421</v>
      </c>
      <c r="E293" s="122" t="s">
        <v>421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427</v>
      </c>
      <c r="AD293" t="s">
        <v>400</v>
      </c>
      <c r="AE293" t="s">
        <v>560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423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550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423</v>
      </c>
      <c r="AD295" t="s">
        <v>400</v>
      </c>
      <c r="AE295" t="s">
        <v>560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550</v>
      </c>
      <c r="E296" t="s">
        <v>550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419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420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420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560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420</v>
      </c>
      <c r="E299" t="s">
        <v>420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560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573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573</v>
      </c>
      <c r="AD301" t="s">
        <v>136</v>
      </c>
      <c r="AE301" t="s">
        <v>560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421</v>
      </c>
      <c r="AD302" t="s">
        <v>136</v>
      </c>
      <c r="AE302" t="s">
        <v>560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560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572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572</v>
      </c>
      <c r="AD306" t="s">
        <v>136</v>
      </c>
      <c r="AE306" t="s">
        <v>560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423</v>
      </c>
      <c r="E307" t="s">
        <v>423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572</v>
      </c>
      <c r="AD307" t="s">
        <v>402</v>
      </c>
      <c r="AE307" t="s">
        <v>560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420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420</v>
      </c>
      <c r="AD309" t="s">
        <v>136</v>
      </c>
      <c r="AE309" t="s">
        <v>560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560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560</v>
      </c>
      <c r="AD311" t="s">
        <v>136</v>
      </c>
      <c r="AE311" t="s">
        <v>560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421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427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427</v>
      </c>
      <c r="AD313" t="s">
        <v>136</v>
      </c>
      <c r="AE313" t="s">
        <v>560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423</v>
      </c>
      <c r="AD314" t="s">
        <v>136</v>
      </c>
      <c r="AE314" t="s">
        <v>560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423</v>
      </c>
      <c r="E315" s="122" t="s">
        <v>423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423</v>
      </c>
      <c r="AD315" t="s">
        <v>402</v>
      </c>
      <c r="AE315" t="s">
        <v>560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571</v>
      </c>
      <c r="AD316" t="s">
        <v>401</v>
      </c>
      <c r="AE316" t="s">
        <v>560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419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420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419</v>
      </c>
      <c r="AD318" t="s">
        <v>401</v>
      </c>
      <c r="AE318" t="s">
        <v>560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560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560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560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422</v>
      </c>
      <c r="AE323" t="s">
        <v>560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419</v>
      </c>
      <c r="E324" t="s">
        <v>419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573</v>
      </c>
      <c r="AD324" t="s">
        <v>419</v>
      </c>
      <c r="AE324" t="s">
        <v>560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419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573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419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573</v>
      </c>
      <c r="AD326" t="s">
        <v>401</v>
      </c>
      <c r="AE326" t="s">
        <v>560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419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573</v>
      </c>
      <c r="AD327" t="s">
        <v>420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421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421</v>
      </c>
      <c r="AD329" t="s">
        <v>401</v>
      </c>
      <c r="AE329" t="s">
        <v>560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419</v>
      </c>
      <c r="AE330" t="s">
        <v>560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419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560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572</v>
      </c>
      <c r="AD333" t="s">
        <v>419</v>
      </c>
      <c r="AE333" t="s">
        <v>560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572</v>
      </c>
      <c r="AD334" t="s">
        <v>136</v>
      </c>
      <c r="AE334" t="s">
        <v>560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572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420</v>
      </c>
      <c r="E336" t="s">
        <v>420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572</v>
      </c>
      <c r="AD336" t="s">
        <v>401</v>
      </c>
      <c r="AE336" t="s">
        <v>560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572</v>
      </c>
      <c r="AD337" t="s">
        <v>402</v>
      </c>
      <c r="AE337" t="s">
        <v>560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423</v>
      </c>
      <c r="E338" t="s">
        <v>423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422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422</v>
      </c>
      <c r="AD339" t="s">
        <v>401</v>
      </c>
      <c r="AE339" t="s">
        <v>560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419</v>
      </c>
      <c r="E340" t="s">
        <v>419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425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419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425</v>
      </c>
      <c r="AD341" t="s">
        <v>401</v>
      </c>
      <c r="AE341" t="s">
        <v>560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419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420</v>
      </c>
      <c r="AD342" t="s">
        <v>419</v>
      </c>
      <c r="AE342" t="s">
        <v>560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419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420</v>
      </c>
      <c r="AD343" t="s">
        <v>136</v>
      </c>
      <c r="AE343" t="s">
        <v>560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420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420</v>
      </c>
      <c r="AD345" t="s">
        <v>401</v>
      </c>
      <c r="AE345" t="s">
        <v>560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420</v>
      </c>
      <c r="AD346" t="s">
        <v>421</v>
      </c>
      <c r="AE346" t="s">
        <v>560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420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420</v>
      </c>
      <c r="AD347" t="s">
        <v>402</v>
      </c>
      <c r="AE347" t="s">
        <v>560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419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420</v>
      </c>
      <c r="AD348" t="s">
        <v>572</v>
      </c>
      <c r="AE348" t="s">
        <v>560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560</v>
      </c>
      <c r="AD349" t="s">
        <v>419</v>
      </c>
      <c r="AE349" t="s">
        <v>560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560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421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560</v>
      </c>
      <c r="AD351" t="s">
        <v>401</v>
      </c>
      <c r="AE351" t="s">
        <v>560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475</v>
      </c>
      <c r="AD352" t="s">
        <v>419</v>
      </c>
      <c r="AE352" t="s">
        <v>560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420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475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421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475</v>
      </c>
      <c r="AD354" t="s">
        <v>401</v>
      </c>
      <c r="AE354" t="s">
        <v>560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419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427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427</v>
      </c>
      <c r="AD356" t="s">
        <v>401</v>
      </c>
      <c r="AE356" t="s">
        <v>560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423</v>
      </c>
      <c r="AD357" t="s">
        <v>401</v>
      </c>
      <c r="AE357" t="s">
        <v>560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421</v>
      </c>
      <c r="AC358" t="s">
        <v>560</v>
      </c>
      <c r="AD358" t="s">
        <v>401</v>
      </c>
      <c r="AE358" t="s">
        <v>560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571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420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571</v>
      </c>
      <c r="AD360" t="s">
        <v>402</v>
      </c>
      <c r="AE360" t="s">
        <v>560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550</v>
      </c>
      <c r="E361" t="s">
        <v>550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419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420</v>
      </c>
      <c r="E362" t="s">
        <v>420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419</v>
      </c>
      <c r="AD362" t="s">
        <v>402</v>
      </c>
      <c r="AE362" t="s">
        <v>560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475</v>
      </c>
      <c r="E363" t="s">
        <v>475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427</v>
      </c>
      <c r="E364" t="s">
        <v>427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560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560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423</v>
      </c>
      <c r="E366" s="122" t="s">
        <v>423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560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549</v>
      </c>
      <c r="E368" t="s">
        <v>549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560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419</v>
      </c>
      <c r="E369" t="s">
        <v>419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573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419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573</v>
      </c>
      <c r="AD370" t="s">
        <v>402</v>
      </c>
      <c r="AE370" t="s">
        <v>560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419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421</v>
      </c>
      <c r="AD371" t="s">
        <v>136</v>
      </c>
      <c r="AE371" t="s">
        <v>560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421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421</v>
      </c>
      <c r="AD373" t="s">
        <v>402</v>
      </c>
      <c r="AE373" t="s">
        <v>560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560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550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421</v>
      </c>
      <c r="AE376" t="s">
        <v>560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420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424</v>
      </c>
      <c r="E378" t="s">
        <v>424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560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419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425</v>
      </c>
      <c r="AE379" t="s">
        <v>560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420</v>
      </c>
      <c r="AE380" t="s">
        <v>560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427</v>
      </c>
      <c r="AE381" t="s">
        <v>560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572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421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572</v>
      </c>
      <c r="AD383" t="s">
        <v>400</v>
      </c>
      <c r="AE383" t="s">
        <v>560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572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420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572</v>
      </c>
      <c r="AD385" t="s">
        <v>136</v>
      </c>
      <c r="AE385" t="s">
        <v>560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421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572</v>
      </c>
      <c r="AD386" t="s">
        <v>401</v>
      </c>
      <c r="AE386" t="s">
        <v>560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421</v>
      </c>
      <c r="E387" t="s">
        <v>421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572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572</v>
      </c>
      <c r="AD388" t="s">
        <v>402</v>
      </c>
      <c r="AE388" t="s">
        <v>560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422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422</v>
      </c>
      <c r="AD390" t="s">
        <v>402</v>
      </c>
      <c r="AE390" t="s">
        <v>560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421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425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425</v>
      </c>
      <c r="AD392" t="s">
        <v>402</v>
      </c>
      <c r="AE392" t="s">
        <v>560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420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420</v>
      </c>
      <c r="AD393" t="s">
        <v>401</v>
      </c>
      <c r="AE393" t="s">
        <v>560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550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420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550</v>
      </c>
      <c r="E395" t="s">
        <v>550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420</v>
      </c>
      <c r="AD395" t="s">
        <v>402</v>
      </c>
      <c r="AE395" t="s">
        <v>560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420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560</v>
      </c>
      <c r="AD396" t="s">
        <v>399</v>
      </c>
      <c r="AE396" t="s">
        <v>560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420</v>
      </c>
      <c r="E397" t="s">
        <v>420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560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427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560</v>
      </c>
      <c r="AD398" t="s">
        <v>400</v>
      </c>
      <c r="AE398" t="s">
        <v>560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427</v>
      </c>
      <c r="E399" t="s">
        <v>427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560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560</v>
      </c>
      <c r="AD400" t="s">
        <v>136</v>
      </c>
      <c r="AE400" t="s">
        <v>560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560</v>
      </c>
      <c r="AD401" t="s">
        <v>401</v>
      </c>
      <c r="AE401" t="s">
        <v>560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560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549</v>
      </c>
      <c r="E403" t="s">
        <v>550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560</v>
      </c>
      <c r="AD403" t="s">
        <v>402</v>
      </c>
      <c r="AE403" t="s">
        <v>560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419</v>
      </c>
      <c r="E404" t="s">
        <v>419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475</v>
      </c>
      <c r="AD404" t="s">
        <v>402</v>
      </c>
      <c r="AE404" t="s">
        <v>560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419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427</v>
      </c>
      <c r="AD405" t="s">
        <v>136</v>
      </c>
      <c r="AE405" t="s">
        <v>560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427</v>
      </c>
      <c r="AD406" t="s">
        <v>401</v>
      </c>
      <c r="AE406" t="s">
        <v>560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427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550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427</v>
      </c>
      <c r="AD408" t="s">
        <v>402</v>
      </c>
      <c r="AE408" t="s">
        <v>560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420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423</v>
      </c>
      <c r="AD409" t="s">
        <v>136</v>
      </c>
      <c r="AE409" t="s">
        <v>560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419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423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423</v>
      </c>
      <c r="AD411" t="s">
        <v>402</v>
      </c>
      <c r="AE411" t="s">
        <v>560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572</v>
      </c>
      <c r="AC412" t="s">
        <v>420</v>
      </c>
      <c r="AD412" t="s">
        <v>402</v>
      </c>
      <c r="AE412" t="s">
        <v>560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421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420</v>
      </c>
      <c r="AC413" t="s">
        <v>136</v>
      </c>
      <c r="AD413" t="s">
        <v>420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421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420</v>
      </c>
      <c r="AC414" t="s">
        <v>573</v>
      </c>
      <c r="AD414" t="s">
        <v>420</v>
      </c>
      <c r="AE414" t="s">
        <v>560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421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420</v>
      </c>
      <c r="AC415" t="s">
        <v>560</v>
      </c>
      <c r="AD415" t="s">
        <v>420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421</v>
      </c>
      <c r="E416" t="s">
        <v>421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420</v>
      </c>
      <c r="AC416" t="s">
        <v>560</v>
      </c>
      <c r="AD416" t="s">
        <v>420</v>
      </c>
      <c r="AE416" t="s">
        <v>560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427</v>
      </c>
      <c r="AC417" t="s">
        <v>560</v>
      </c>
      <c r="AD417" t="s">
        <v>427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560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550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572</v>
      </c>
      <c r="AD419" t="s">
        <v>403</v>
      </c>
      <c r="AE419" t="s">
        <v>560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420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420</v>
      </c>
      <c r="AD420" t="s">
        <v>403</v>
      </c>
      <c r="AE420" t="s">
        <v>560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550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560</v>
      </c>
      <c r="AD421" t="s">
        <v>403</v>
      </c>
      <c r="AE421" t="s">
        <v>560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550</v>
      </c>
      <c r="E422" t="s">
        <v>550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423</v>
      </c>
      <c r="AC422" t="s">
        <v>423</v>
      </c>
      <c r="AD422" t="s">
        <v>423</v>
      </c>
      <c r="AE422" t="s">
        <v>560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420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560</v>
      </c>
      <c r="AE423" t="s">
        <v>560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420</v>
      </c>
      <c r="E424" t="s">
        <v>420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419</v>
      </c>
      <c r="AC424" t="s">
        <v>419</v>
      </c>
      <c r="AD424" t="s">
        <v>419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427</v>
      </c>
      <c r="E425" t="s">
        <v>427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419</v>
      </c>
      <c r="AC425" t="s">
        <v>419</v>
      </c>
      <c r="AD425" t="s">
        <v>419</v>
      </c>
      <c r="AE425" t="s">
        <v>560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419</v>
      </c>
      <c r="AC426" t="s">
        <v>419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419</v>
      </c>
      <c r="E427" t="s">
        <v>419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419</v>
      </c>
      <c r="AC427" t="s">
        <v>136</v>
      </c>
      <c r="AD427" t="s">
        <v>419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419</v>
      </c>
      <c r="AC428" t="s">
        <v>136</v>
      </c>
      <c r="AD428" t="s">
        <v>419</v>
      </c>
      <c r="AE428" t="s">
        <v>560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549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419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419</v>
      </c>
      <c r="AC430" t="s">
        <v>136</v>
      </c>
      <c r="AD430" t="s">
        <v>401</v>
      </c>
      <c r="AE430" t="s">
        <v>560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419</v>
      </c>
      <c r="AC431" t="s">
        <v>573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421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419</v>
      </c>
      <c r="AC432" t="s">
        <v>421</v>
      </c>
      <c r="AD432" t="s">
        <v>419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419</v>
      </c>
      <c r="AC433" t="s">
        <v>421</v>
      </c>
      <c r="AD433" t="s">
        <v>419</v>
      </c>
      <c r="AE433" t="s">
        <v>560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550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419</v>
      </c>
      <c r="AC434" t="s">
        <v>421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420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419</v>
      </c>
      <c r="AC435" t="s">
        <v>421</v>
      </c>
      <c r="AD435" t="s">
        <v>401</v>
      </c>
      <c r="AE435" t="s">
        <v>560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419</v>
      </c>
      <c r="AC436" t="s">
        <v>421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419</v>
      </c>
      <c r="AC437" t="s">
        <v>572</v>
      </c>
      <c r="AD437" t="s">
        <v>419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421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419</v>
      </c>
      <c r="AC438" t="s">
        <v>572</v>
      </c>
      <c r="AD438" t="s">
        <v>419</v>
      </c>
      <c r="AE438" t="s">
        <v>560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421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419</v>
      </c>
      <c r="AC439" t="s">
        <v>572</v>
      </c>
      <c r="AD439" t="s">
        <v>400</v>
      </c>
      <c r="AE439" t="s">
        <v>560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421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419</v>
      </c>
      <c r="AC440" t="s">
        <v>572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421</v>
      </c>
      <c r="E441" t="s">
        <v>421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419</v>
      </c>
      <c r="AC441" t="s">
        <v>572</v>
      </c>
      <c r="AD441" t="s">
        <v>401</v>
      </c>
      <c r="AE441" t="s">
        <v>560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419</v>
      </c>
      <c r="AC442" t="s">
        <v>572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419</v>
      </c>
      <c r="AC443" t="s">
        <v>425</v>
      </c>
      <c r="AD443" t="s">
        <v>419</v>
      </c>
      <c r="AE443" t="s">
        <v>560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420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419</v>
      </c>
      <c r="AC444" t="s">
        <v>420</v>
      </c>
      <c r="AD444" t="s">
        <v>419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550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419</v>
      </c>
      <c r="AC445" t="s">
        <v>420</v>
      </c>
      <c r="AD445" t="s">
        <v>419</v>
      </c>
      <c r="AE445" t="s">
        <v>560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550</v>
      </c>
      <c r="E446" t="s">
        <v>550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419</v>
      </c>
      <c r="AC446" t="s">
        <v>420</v>
      </c>
      <c r="AD446" t="s">
        <v>400</v>
      </c>
      <c r="AE446" t="s">
        <v>560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420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419</v>
      </c>
      <c r="AC447" t="s">
        <v>420</v>
      </c>
      <c r="AD447" t="s">
        <v>136</v>
      </c>
      <c r="AE447" t="s">
        <v>560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420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419</v>
      </c>
      <c r="AC448" t="s">
        <v>420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420</v>
      </c>
      <c r="E449" t="s">
        <v>420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419</v>
      </c>
      <c r="AC449" t="s">
        <v>420</v>
      </c>
      <c r="AD449" t="s">
        <v>401</v>
      </c>
      <c r="AE449" t="s">
        <v>560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427</v>
      </c>
      <c r="E450" t="s">
        <v>427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419</v>
      </c>
      <c r="AC450" t="s">
        <v>560</v>
      </c>
      <c r="AD450" t="s">
        <v>419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419</v>
      </c>
      <c r="AC451" t="s">
        <v>560</v>
      </c>
      <c r="AD451" t="s">
        <v>419</v>
      </c>
      <c r="AE451" t="s">
        <v>560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419</v>
      </c>
      <c r="AC452" t="s">
        <v>475</v>
      </c>
      <c r="AD452" t="s">
        <v>401</v>
      </c>
      <c r="AE452" t="s">
        <v>560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419</v>
      </c>
      <c r="E453" t="s">
        <v>419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419</v>
      </c>
      <c r="AC453" t="s">
        <v>427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419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571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419</v>
      </c>
      <c r="AD455" t="s">
        <v>419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419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419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419</v>
      </c>
      <c r="AD457" t="s">
        <v>400</v>
      </c>
      <c r="AE457" t="s">
        <v>560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419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419</v>
      </c>
      <c r="AE459" t="s">
        <v>560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421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560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550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560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420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420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420</v>
      </c>
      <c r="AE465" t="s">
        <v>560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421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419</v>
      </c>
      <c r="AE466" t="s">
        <v>560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420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421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560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421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421</v>
      </c>
      <c r="E470" t="s">
        <v>421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573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573</v>
      </c>
      <c r="AD471" t="s">
        <v>400</v>
      </c>
      <c r="AE471" t="s">
        <v>560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421</v>
      </c>
      <c r="AD472" t="s">
        <v>419</v>
      </c>
      <c r="AE472" t="s">
        <v>560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550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421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550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421</v>
      </c>
      <c r="AD474" t="s">
        <v>400</v>
      </c>
      <c r="AE474" t="s">
        <v>560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550</v>
      </c>
      <c r="E475" t="s">
        <v>550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560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425</v>
      </c>
      <c r="E476" t="s">
        <v>425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572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420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572</v>
      </c>
      <c r="AD477" t="s">
        <v>400</v>
      </c>
      <c r="AE477" t="s">
        <v>560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420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572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420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572</v>
      </c>
      <c r="AD479" t="s">
        <v>402</v>
      </c>
      <c r="AE479" t="s">
        <v>560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420</v>
      </c>
      <c r="E480" t="s">
        <v>420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422</v>
      </c>
      <c r="AD480" t="s">
        <v>419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427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422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427</v>
      </c>
      <c r="E482" t="s">
        <v>427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422</v>
      </c>
      <c r="AD482" t="s">
        <v>400</v>
      </c>
      <c r="AE482" t="s">
        <v>560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425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425</v>
      </c>
      <c r="AD484" t="s">
        <v>400</v>
      </c>
      <c r="AE484" t="s">
        <v>560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420</v>
      </c>
      <c r="AD485" t="s">
        <v>419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420</v>
      </c>
      <c r="AD486" t="s">
        <v>419</v>
      </c>
      <c r="AE486" t="s">
        <v>560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419</v>
      </c>
      <c r="E487" t="s">
        <v>419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420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420</v>
      </c>
      <c r="AD488" t="s">
        <v>400</v>
      </c>
      <c r="AE488" t="s">
        <v>560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420</v>
      </c>
      <c r="AD489" t="s">
        <v>136</v>
      </c>
      <c r="AE489" t="s">
        <v>560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420</v>
      </c>
      <c r="AD490" t="s">
        <v>401</v>
      </c>
      <c r="AE490" t="s">
        <v>560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420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420</v>
      </c>
      <c r="AD492" t="s">
        <v>402</v>
      </c>
      <c r="AE492" t="s">
        <v>560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420</v>
      </c>
      <c r="AD493" t="s">
        <v>420</v>
      </c>
      <c r="AE493" t="s">
        <v>560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419</v>
      </c>
      <c r="E494" t="s">
        <v>419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560</v>
      </c>
      <c r="AD494" t="s">
        <v>419</v>
      </c>
      <c r="AE494" t="s">
        <v>560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419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560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560</v>
      </c>
      <c r="AD496" t="s">
        <v>400</v>
      </c>
      <c r="AE496" t="s">
        <v>560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420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560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560</v>
      </c>
      <c r="AD498" t="s">
        <v>420</v>
      </c>
      <c r="AE498" t="s">
        <v>560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419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427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427</v>
      </c>
      <c r="AD500" t="s">
        <v>400</v>
      </c>
      <c r="AE500" t="s">
        <v>560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423</v>
      </c>
      <c r="AD501" t="s">
        <v>400</v>
      </c>
      <c r="AE501" t="s">
        <v>560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421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419</v>
      </c>
      <c r="AD502" t="s">
        <v>136</v>
      </c>
      <c r="AE502" t="s">
        <v>560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420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560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421</v>
      </c>
      <c r="E504" t="s">
        <v>421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560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420</v>
      </c>
      <c r="E506" t="s">
        <v>420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572</v>
      </c>
      <c r="AE506" t="s">
        <v>560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420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419</v>
      </c>
      <c r="E508" t="s">
        <v>419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420</v>
      </c>
      <c r="AE508" t="s">
        <v>560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419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573</v>
      </c>
      <c r="AD509" t="s">
        <v>136</v>
      </c>
      <c r="AE509" t="s">
        <v>560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421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421</v>
      </c>
      <c r="AD511" t="s">
        <v>136</v>
      </c>
      <c r="AE511" t="s">
        <v>560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421</v>
      </c>
      <c r="AD512" t="s">
        <v>421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421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550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560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420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572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419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572</v>
      </c>
      <c r="AD516" t="s">
        <v>136</v>
      </c>
      <c r="AE516" t="s">
        <v>560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572</v>
      </c>
      <c r="AD517" t="s">
        <v>401</v>
      </c>
      <c r="AE517" t="s">
        <v>560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572</v>
      </c>
      <c r="AD518" t="s">
        <v>572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422</v>
      </c>
      <c r="AD519" t="s">
        <v>136</v>
      </c>
      <c r="AE519" t="s">
        <v>560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420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420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421</v>
      </c>
      <c r="E521" t="s">
        <v>421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420</v>
      </c>
      <c r="AD521" t="s">
        <v>136</v>
      </c>
      <c r="AE521" t="s">
        <v>560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420</v>
      </c>
      <c r="AD522" t="s">
        <v>401</v>
      </c>
      <c r="AE522" t="s">
        <v>560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550</v>
      </c>
      <c r="E523" t="s">
        <v>550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420</v>
      </c>
      <c r="AD523" t="s">
        <v>420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425</v>
      </c>
      <c r="E524" t="s">
        <v>425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560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420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560</v>
      </c>
      <c r="AD525" t="s">
        <v>136</v>
      </c>
      <c r="AE525" t="s">
        <v>560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420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560</v>
      </c>
      <c r="AD526" t="s">
        <v>402</v>
      </c>
      <c r="AE526" t="s">
        <v>560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420</v>
      </c>
      <c r="E527" t="s">
        <v>420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427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427</v>
      </c>
      <c r="AD528" t="s">
        <v>136</v>
      </c>
      <c r="AE528" t="s">
        <v>560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419</v>
      </c>
      <c r="E529" t="s">
        <v>419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423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423</v>
      </c>
      <c r="AD530" t="s">
        <v>136</v>
      </c>
      <c r="AE530" t="s">
        <v>560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424</v>
      </c>
      <c r="AC531" t="s">
        <v>136</v>
      </c>
      <c r="AD531" t="s">
        <v>136</v>
      </c>
      <c r="AE531" t="s">
        <v>560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421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571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550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571</v>
      </c>
      <c r="AD533" t="s">
        <v>401</v>
      </c>
      <c r="AE533" t="s">
        <v>560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420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571</v>
      </c>
      <c r="AD534" t="s">
        <v>421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419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419</v>
      </c>
      <c r="AD536" t="s">
        <v>136</v>
      </c>
      <c r="AE536" t="s">
        <v>560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420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419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421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419</v>
      </c>
      <c r="AD538" t="s">
        <v>401</v>
      </c>
      <c r="AE538" t="s">
        <v>560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421</v>
      </c>
      <c r="E539" t="s">
        <v>421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419</v>
      </c>
      <c r="AD539" t="s">
        <v>402</v>
      </c>
      <c r="AE539" t="s">
        <v>560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550</v>
      </c>
      <c r="E541" t="s">
        <v>550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560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425</v>
      </c>
      <c r="E542" t="s">
        <v>425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419</v>
      </c>
      <c r="AE542" t="s">
        <v>560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420</v>
      </c>
      <c r="E543" t="s">
        <v>421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560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420</v>
      </c>
      <c r="E544" t="s">
        <v>420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560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419</v>
      </c>
      <c r="E546" t="s">
        <v>419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421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421</v>
      </c>
      <c r="AE547" t="s">
        <v>560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421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420</v>
      </c>
      <c r="AE549" t="s">
        <v>560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420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573</v>
      </c>
      <c r="AD550" t="s">
        <v>136</v>
      </c>
      <c r="AE550" t="s">
        <v>560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573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573</v>
      </c>
      <c r="AD552" t="s">
        <v>401</v>
      </c>
      <c r="AE552" t="s">
        <v>560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421</v>
      </c>
      <c r="E553" t="s">
        <v>421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573</v>
      </c>
      <c r="AD553" t="s">
        <v>421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573</v>
      </c>
      <c r="AD554" t="s">
        <v>421</v>
      </c>
      <c r="AE554" t="s">
        <v>560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550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573</v>
      </c>
      <c r="AD555" t="s">
        <v>402</v>
      </c>
      <c r="AE555" t="s">
        <v>560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550</v>
      </c>
      <c r="E556" t="s">
        <v>550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573</v>
      </c>
      <c r="AD556" t="s">
        <v>572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425</v>
      </c>
      <c r="E557" t="s">
        <v>425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573</v>
      </c>
      <c r="AD557" t="s">
        <v>572</v>
      </c>
      <c r="AE557" t="s">
        <v>560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420</v>
      </c>
      <c r="E558" t="s">
        <v>420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573</v>
      </c>
      <c r="AD558" t="s">
        <v>425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573</v>
      </c>
      <c r="AD559" t="s">
        <v>420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419</v>
      </c>
      <c r="E560" t="s">
        <v>419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573</v>
      </c>
      <c r="AD560" t="s">
        <v>420</v>
      </c>
      <c r="AE560" t="s">
        <v>560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419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421</v>
      </c>
      <c r="AD561" t="s">
        <v>419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421</v>
      </c>
      <c r="AD562" t="s">
        <v>419</v>
      </c>
      <c r="AE562" t="s">
        <v>560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421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421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421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550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421</v>
      </c>
      <c r="AD565" t="s">
        <v>136</v>
      </c>
      <c r="AE565" t="s">
        <v>560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425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421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420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421</v>
      </c>
      <c r="AD567" t="s">
        <v>401</v>
      </c>
      <c r="AE567" t="s">
        <v>560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419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421</v>
      </c>
      <c r="AD568" t="s">
        <v>421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421</v>
      </c>
      <c r="AD569" t="s">
        <v>421</v>
      </c>
      <c r="AE569" t="s">
        <v>560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421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421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421</v>
      </c>
      <c r="AD571" t="s">
        <v>402</v>
      </c>
      <c r="AE571" t="s">
        <v>560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421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419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421</v>
      </c>
      <c r="E573" t="s">
        <v>421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421</v>
      </c>
      <c r="E574" t="s">
        <v>425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560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550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560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550</v>
      </c>
      <c r="E576" t="s">
        <v>550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572</v>
      </c>
      <c r="AD576" t="s">
        <v>419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425</v>
      </c>
      <c r="E577" t="s">
        <v>425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572</v>
      </c>
      <c r="AD577" t="s">
        <v>419</v>
      </c>
      <c r="AE577" t="s">
        <v>560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420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572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420</v>
      </c>
      <c r="E579" t="s">
        <v>420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572</v>
      </c>
      <c r="AD579" t="s">
        <v>136</v>
      </c>
      <c r="AE579" t="s">
        <v>560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427</v>
      </c>
      <c r="E580" t="s">
        <v>427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572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572</v>
      </c>
      <c r="AD581" t="s">
        <v>401</v>
      </c>
      <c r="AE581" t="s">
        <v>560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572</v>
      </c>
      <c r="AD582" t="s">
        <v>421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572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572</v>
      </c>
      <c r="AD584" t="s">
        <v>402</v>
      </c>
      <c r="AE584" t="s">
        <v>560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572</v>
      </c>
      <c r="AD585" t="s">
        <v>572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572</v>
      </c>
      <c r="AD586" t="s">
        <v>572</v>
      </c>
      <c r="AE586" t="s">
        <v>560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422</v>
      </c>
      <c r="AD587" t="s">
        <v>571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422</v>
      </c>
      <c r="AD588" t="s">
        <v>136</v>
      </c>
      <c r="AE588" t="s">
        <v>560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422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422</v>
      </c>
      <c r="AD590" t="s">
        <v>401</v>
      </c>
      <c r="AE590" t="s">
        <v>560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425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425</v>
      </c>
      <c r="AD592" t="s">
        <v>401</v>
      </c>
      <c r="AE592" t="s">
        <v>560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420</v>
      </c>
      <c r="AD593" t="s">
        <v>571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427</v>
      </c>
      <c r="E594" t="s">
        <v>427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420</v>
      </c>
      <c r="AD594" t="s">
        <v>571</v>
      </c>
      <c r="AE594" t="s">
        <v>560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420</v>
      </c>
      <c r="AD595" t="s">
        <v>419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420</v>
      </c>
      <c r="AD596" t="s">
        <v>419</v>
      </c>
      <c r="AE596" t="s">
        <v>560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420</v>
      </c>
      <c r="AD597" t="s">
        <v>400</v>
      </c>
      <c r="AE597" t="s">
        <v>560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420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420</v>
      </c>
      <c r="AD599" t="s">
        <v>136</v>
      </c>
      <c r="AE599" t="s">
        <v>560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420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420</v>
      </c>
      <c r="AD601" t="s">
        <v>401</v>
      </c>
      <c r="AE601" t="s">
        <v>560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420</v>
      </c>
      <c r="AD602" t="s">
        <v>421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420</v>
      </c>
      <c r="AD603" t="s">
        <v>421</v>
      </c>
      <c r="AE603" t="s">
        <v>560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420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423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420</v>
      </c>
      <c r="AD605" t="s">
        <v>402</v>
      </c>
      <c r="AE605" t="s">
        <v>560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420</v>
      </c>
      <c r="AD606" t="s">
        <v>572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420</v>
      </c>
      <c r="AD607" t="s">
        <v>425</v>
      </c>
      <c r="AE607" t="s">
        <v>560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420</v>
      </c>
      <c r="AD608" t="s">
        <v>420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420</v>
      </c>
      <c r="AD609" t="s">
        <v>420</v>
      </c>
      <c r="AE609" t="s">
        <v>560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420</v>
      </c>
      <c r="AD610" t="s">
        <v>423</v>
      </c>
      <c r="AE610" t="s">
        <v>560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560</v>
      </c>
      <c r="AD611" t="s">
        <v>136</v>
      </c>
      <c r="AE611" t="s">
        <v>560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560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560</v>
      </c>
      <c r="AD613" t="s">
        <v>401</v>
      </c>
      <c r="AE613" t="s">
        <v>560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560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560</v>
      </c>
      <c r="AD615" t="s">
        <v>402</v>
      </c>
      <c r="AE615" t="s">
        <v>560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421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560</v>
      </c>
      <c r="AD616" t="s">
        <v>420</v>
      </c>
      <c r="AE616" t="s">
        <v>560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475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425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475</v>
      </c>
      <c r="AD618" t="s">
        <v>401</v>
      </c>
      <c r="AE618" t="s">
        <v>560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427</v>
      </c>
      <c r="AD619" t="s">
        <v>419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427</v>
      </c>
      <c r="AD620" t="s">
        <v>419</v>
      </c>
      <c r="AE620" t="s">
        <v>560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419</v>
      </c>
      <c r="E621" t="s">
        <v>419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427</v>
      </c>
      <c r="AD621" t="s">
        <v>136</v>
      </c>
      <c r="AE621" t="s">
        <v>560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419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427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419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427</v>
      </c>
      <c r="AD623" t="s">
        <v>401</v>
      </c>
      <c r="AE623" t="s">
        <v>560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427</v>
      </c>
      <c r="AD624" t="s">
        <v>421</v>
      </c>
      <c r="AE624" t="s">
        <v>560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427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550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560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423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423</v>
      </c>
      <c r="AD629" t="s">
        <v>401</v>
      </c>
      <c r="AE629" t="s">
        <v>560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421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421</v>
      </c>
      <c r="AC630" t="s">
        <v>419</v>
      </c>
      <c r="AD630" t="s">
        <v>401</v>
      </c>
      <c r="AE630" t="s">
        <v>560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421</v>
      </c>
      <c r="AC631" t="s">
        <v>136</v>
      </c>
      <c r="AD631" t="s">
        <v>421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550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421</v>
      </c>
      <c r="AC632" t="s">
        <v>136</v>
      </c>
      <c r="AD632" t="s">
        <v>421</v>
      </c>
      <c r="AE632" t="s">
        <v>560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420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421</v>
      </c>
      <c r="AC633" t="s">
        <v>573</v>
      </c>
      <c r="AD633" t="s">
        <v>421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421</v>
      </c>
      <c r="AC634" t="s">
        <v>573</v>
      </c>
      <c r="AD634" t="s">
        <v>421</v>
      </c>
      <c r="AE634" t="s">
        <v>560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421</v>
      </c>
      <c r="AC635" t="s">
        <v>421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421</v>
      </c>
      <c r="AC636" t="s">
        <v>421</v>
      </c>
      <c r="AD636" t="s">
        <v>401</v>
      </c>
      <c r="AE636" t="s">
        <v>560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421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421</v>
      </c>
      <c r="AC637" t="s">
        <v>421</v>
      </c>
      <c r="AD637" t="s">
        <v>421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421</v>
      </c>
      <c r="AC638" t="s">
        <v>421</v>
      </c>
      <c r="AD638" t="s">
        <v>421</v>
      </c>
      <c r="AE638" t="s">
        <v>560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550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421</v>
      </c>
      <c r="AC639" t="s">
        <v>572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420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421</v>
      </c>
      <c r="AC640" t="s">
        <v>572</v>
      </c>
      <c r="AD640" t="s">
        <v>401</v>
      </c>
      <c r="AE640" t="s">
        <v>560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427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421</v>
      </c>
      <c r="AC641" t="s">
        <v>420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550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421</v>
      </c>
      <c r="AC642" t="s">
        <v>420</v>
      </c>
      <c r="AD642" t="s">
        <v>401</v>
      </c>
      <c r="AE642" t="s">
        <v>560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550</v>
      </c>
      <c r="E643" t="s">
        <v>550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421</v>
      </c>
      <c r="AC643" t="s">
        <v>560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420</v>
      </c>
      <c r="E644" t="s">
        <v>420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421</v>
      </c>
      <c r="AC644" t="s">
        <v>560</v>
      </c>
      <c r="AD644" t="s">
        <v>421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427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421</v>
      </c>
      <c r="AC645" t="s">
        <v>427</v>
      </c>
      <c r="AD645" t="s">
        <v>421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571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423</v>
      </c>
      <c r="E647" t="s">
        <v>423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571</v>
      </c>
      <c r="AD647" t="s">
        <v>402</v>
      </c>
      <c r="AE647" t="s">
        <v>560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571</v>
      </c>
      <c r="AD648" t="s">
        <v>572</v>
      </c>
      <c r="AE648" t="s">
        <v>560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549</v>
      </c>
      <c r="E649" t="s">
        <v>549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419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419</v>
      </c>
      <c r="E650" t="s">
        <v>419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419</v>
      </c>
      <c r="AD650" t="s">
        <v>402</v>
      </c>
      <c r="AE650" t="s">
        <v>560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419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419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560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560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560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550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560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419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560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422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421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573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573</v>
      </c>
      <c r="AD661" t="s">
        <v>402</v>
      </c>
      <c r="AE661" t="s">
        <v>560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550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421</v>
      </c>
      <c r="AD662" t="s">
        <v>136</v>
      </c>
      <c r="AE662" t="s">
        <v>560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421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421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421</v>
      </c>
      <c r="E664" t="s">
        <v>421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421</v>
      </c>
      <c r="AD664" t="s">
        <v>401</v>
      </c>
      <c r="AE664" t="s">
        <v>560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419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421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421</v>
      </c>
      <c r="AD666" t="s">
        <v>402</v>
      </c>
      <c r="AE666" t="s">
        <v>560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421</v>
      </c>
      <c r="AD667" t="s">
        <v>420</v>
      </c>
      <c r="AE667" t="s">
        <v>560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421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560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550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560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420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427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560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550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421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550</v>
      </c>
      <c r="E675" t="s">
        <v>550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421</v>
      </c>
      <c r="AE675" t="s">
        <v>560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420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420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560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420</v>
      </c>
      <c r="E678" t="s">
        <v>420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572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427</v>
      </c>
      <c r="E679" t="s">
        <v>427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572</v>
      </c>
      <c r="AE679" t="s">
        <v>560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422</v>
      </c>
      <c r="AE680" t="s">
        <v>560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423</v>
      </c>
      <c r="E681" t="s">
        <v>423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420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420</v>
      </c>
      <c r="AE682" t="s">
        <v>560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549</v>
      </c>
      <c r="E683" t="s">
        <v>549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427</v>
      </c>
      <c r="AE683" t="s">
        <v>560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419</v>
      </c>
      <c r="E684" t="s">
        <v>419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572</v>
      </c>
      <c r="AD684" t="s">
        <v>419</v>
      </c>
      <c r="AE684" t="s">
        <v>560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419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572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419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572</v>
      </c>
      <c r="AD686" t="s">
        <v>400</v>
      </c>
      <c r="AE686" t="s">
        <v>560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572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572</v>
      </c>
      <c r="AD688" t="s">
        <v>136</v>
      </c>
      <c r="AE688" t="s">
        <v>560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419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572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572</v>
      </c>
      <c r="AD690" t="s">
        <v>401</v>
      </c>
      <c r="AE690" t="s">
        <v>560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572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550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572</v>
      </c>
      <c r="AD692" t="s">
        <v>402</v>
      </c>
      <c r="AE692" t="s">
        <v>560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422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572</v>
      </c>
      <c r="AD693" t="s">
        <v>572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420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572</v>
      </c>
      <c r="AD694" t="s">
        <v>572</v>
      </c>
      <c r="AE694" t="s">
        <v>560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419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572</v>
      </c>
      <c r="AD695" t="s">
        <v>420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572</v>
      </c>
      <c r="AD696" t="s">
        <v>420</v>
      </c>
      <c r="AE696" t="s">
        <v>560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422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421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422</v>
      </c>
      <c r="AD698" t="s">
        <v>136</v>
      </c>
      <c r="AE698" t="s">
        <v>560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422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550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422</v>
      </c>
      <c r="AD700" t="s">
        <v>402</v>
      </c>
      <c r="AE700" t="s">
        <v>560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420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425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421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425</v>
      </c>
      <c r="AD702" t="s">
        <v>402</v>
      </c>
      <c r="AE702" t="s">
        <v>560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421</v>
      </c>
      <c r="E703" t="s">
        <v>421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420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419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420</v>
      </c>
      <c r="AD704" t="s">
        <v>400</v>
      </c>
      <c r="AE704" t="s">
        <v>560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420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420</v>
      </c>
      <c r="AD706" t="s">
        <v>136</v>
      </c>
      <c r="AE706" t="s">
        <v>560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420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421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420</v>
      </c>
      <c r="AD708" t="s">
        <v>401</v>
      </c>
      <c r="AE708" t="s">
        <v>560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420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550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420</v>
      </c>
      <c r="AD710" t="s">
        <v>402</v>
      </c>
      <c r="AE710" t="s">
        <v>560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422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420</v>
      </c>
      <c r="AD711" t="s">
        <v>572</v>
      </c>
      <c r="AE711" t="s">
        <v>560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420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420</v>
      </c>
      <c r="AD712" t="s">
        <v>420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550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420</v>
      </c>
      <c r="AD713" t="s">
        <v>427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550</v>
      </c>
      <c r="E714" t="s">
        <v>550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560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422</v>
      </c>
      <c r="E715" t="s">
        <v>422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560</v>
      </c>
      <c r="AD715" t="s">
        <v>136</v>
      </c>
      <c r="AE715" t="s">
        <v>560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420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560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420</v>
      </c>
      <c r="E717" t="s">
        <v>420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560</v>
      </c>
      <c r="AD717" t="s">
        <v>402</v>
      </c>
      <c r="AE717" t="s">
        <v>560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560</v>
      </c>
      <c r="AD718" t="s">
        <v>572</v>
      </c>
      <c r="AE718" t="s">
        <v>560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419</v>
      </c>
      <c r="E719" t="s">
        <v>419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560</v>
      </c>
      <c r="AD719" t="s">
        <v>420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419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475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475</v>
      </c>
      <c r="AD721" t="s">
        <v>402</v>
      </c>
      <c r="AE721" t="s">
        <v>560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550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427</v>
      </c>
      <c r="AD722" t="s">
        <v>400</v>
      </c>
      <c r="AE722" t="s">
        <v>560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420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427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419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427</v>
      </c>
      <c r="AD724" t="s">
        <v>402</v>
      </c>
      <c r="AE724" t="s">
        <v>560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423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423</v>
      </c>
      <c r="AD726" t="s">
        <v>402</v>
      </c>
      <c r="AE726" t="s">
        <v>560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572</v>
      </c>
      <c r="AC727" t="s">
        <v>571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420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572</v>
      </c>
      <c r="AC728" t="s">
        <v>136</v>
      </c>
      <c r="AD728" t="s">
        <v>572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421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572</v>
      </c>
      <c r="AC729" t="s">
        <v>136</v>
      </c>
      <c r="AD729" t="s">
        <v>572</v>
      </c>
      <c r="AE729" t="s">
        <v>560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421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572</v>
      </c>
      <c r="AC730" t="s">
        <v>572</v>
      </c>
      <c r="AD730" t="s">
        <v>572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421</v>
      </c>
      <c r="E731" t="s">
        <v>421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572</v>
      </c>
      <c r="AC731" t="s">
        <v>572</v>
      </c>
      <c r="AD731" t="s">
        <v>572</v>
      </c>
      <c r="AE731" t="s">
        <v>560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572</v>
      </c>
      <c r="AC732" t="s">
        <v>560</v>
      </c>
      <c r="AD732" t="s">
        <v>572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572</v>
      </c>
      <c r="AC733" t="s">
        <v>427</v>
      </c>
      <c r="AD733" t="s">
        <v>572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422</v>
      </c>
      <c r="AC734" t="s">
        <v>419</v>
      </c>
      <c r="AD734" t="s">
        <v>422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421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422</v>
      </c>
      <c r="AC735" t="s">
        <v>422</v>
      </c>
      <c r="AD735" t="s">
        <v>422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422</v>
      </c>
      <c r="AC736" t="s">
        <v>422</v>
      </c>
      <c r="AD736" t="s">
        <v>422</v>
      </c>
      <c r="AE736" t="s">
        <v>560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550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422</v>
      </c>
      <c r="AC737" t="s">
        <v>560</v>
      </c>
      <c r="AD737" t="s">
        <v>422</v>
      </c>
      <c r="AE737" t="s">
        <v>560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550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422</v>
      </c>
      <c r="AC738" t="s">
        <v>560</v>
      </c>
      <c r="AD738" t="s">
        <v>427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550</v>
      </c>
      <c r="E739" t="s">
        <v>550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425</v>
      </c>
      <c r="AC739" t="s">
        <v>136</v>
      </c>
      <c r="AD739" t="s">
        <v>425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420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425</v>
      </c>
      <c r="AC740" t="s">
        <v>573</v>
      </c>
      <c r="AD740" t="s">
        <v>425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420</v>
      </c>
      <c r="E741" t="s">
        <v>420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425</v>
      </c>
      <c r="AC741" t="s">
        <v>573</v>
      </c>
      <c r="AD741" t="s">
        <v>425</v>
      </c>
      <c r="AE741" t="s">
        <v>560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427</v>
      </c>
      <c r="E742" t="s">
        <v>427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425</v>
      </c>
      <c r="AC742" t="s">
        <v>425</v>
      </c>
      <c r="AD742" t="s">
        <v>425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425</v>
      </c>
      <c r="AC743" t="s">
        <v>425</v>
      </c>
      <c r="AD743" t="s">
        <v>425</v>
      </c>
      <c r="AE743" t="s">
        <v>560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425</v>
      </c>
      <c r="AC744" t="s">
        <v>560</v>
      </c>
      <c r="AD744" t="s">
        <v>425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549</v>
      </c>
      <c r="E745" t="s">
        <v>549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425</v>
      </c>
      <c r="AC745" t="s">
        <v>560</v>
      </c>
      <c r="AD745" t="s">
        <v>425</v>
      </c>
      <c r="AE745" t="s">
        <v>560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549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420</v>
      </c>
      <c r="AC746" t="s">
        <v>419</v>
      </c>
      <c r="AD746" t="s">
        <v>420</v>
      </c>
      <c r="AE746" t="s">
        <v>560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549</v>
      </c>
      <c r="E747" t="s">
        <v>550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420</v>
      </c>
      <c r="AC747" t="s">
        <v>400</v>
      </c>
      <c r="AD747" t="s">
        <v>420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419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420</v>
      </c>
      <c r="AC748" t="s">
        <v>136</v>
      </c>
      <c r="AD748" t="s">
        <v>136</v>
      </c>
      <c r="AE748" t="s">
        <v>560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419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420</v>
      </c>
      <c r="AC749" t="s">
        <v>136</v>
      </c>
      <c r="AD749" t="s">
        <v>401</v>
      </c>
      <c r="AE749" t="s">
        <v>560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420</v>
      </c>
      <c r="AC750" t="s">
        <v>136</v>
      </c>
      <c r="AD750" t="s">
        <v>420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420</v>
      </c>
      <c r="AC751" t="s">
        <v>136</v>
      </c>
      <c r="AD751" t="s">
        <v>420</v>
      </c>
      <c r="AE751" t="s">
        <v>560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420</v>
      </c>
      <c r="AC752" t="s">
        <v>136</v>
      </c>
      <c r="AD752" t="s">
        <v>475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419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420</v>
      </c>
      <c r="AC753" t="s">
        <v>573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420</v>
      </c>
      <c r="AC754" t="s">
        <v>573</v>
      </c>
      <c r="AD754" t="s">
        <v>420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421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420</v>
      </c>
      <c r="AC755" t="s">
        <v>573</v>
      </c>
      <c r="AD755" t="s">
        <v>420</v>
      </c>
      <c r="AE755" t="s">
        <v>560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420</v>
      </c>
      <c r="AC756" t="s">
        <v>402</v>
      </c>
      <c r="AD756" t="s">
        <v>402</v>
      </c>
      <c r="AE756" t="s">
        <v>560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550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420</v>
      </c>
      <c r="AC757" t="s">
        <v>420</v>
      </c>
      <c r="AD757" t="s">
        <v>136</v>
      </c>
      <c r="AE757" t="s">
        <v>560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420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420</v>
      </c>
      <c r="AC758" t="s">
        <v>420</v>
      </c>
      <c r="AD758" t="s">
        <v>420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420</v>
      </c>
      <c r="AC759" t="s">
        <v>420</v>
      </c>
      <c r="AD759" t="s">
        <v>420</v>
      </c>
      <c r="AE759" t="s">
        <v>560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420</v>
      </c>
      <c r="AC760" t="s">
        <v>560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420</v>
      </c>
      <c r="AC761" t="s">
        <v>560</v>
      </c>
      <c r="AD761" t="s">
        <v>572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420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420</v>
      </c>
      <c r="AC762" t="s">
        <v>560</v>
      </c>
      <c r="AD762" t="s">
        <v>420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421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420</v>
      </c>
      <c r="AC763" t="s">
        <v>560</v>
      </c>
      <c r="AD763" t="s">
        <v>420</v>
      </c>
      <c r="AE763" t="s">
        <v>560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421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420</v>
      </c>
      <c r="AC764" t="s">
        <v>427</v>
      </c>
      <c r="AD764" t="s">
        <v>420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421</v>
      </c>
      <c r="E765" t="s">
        <v>421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475</v>
      </c>
      <c r="AC765" t="s">
        <v>420</v>
      </c>
      <c r="AD765" t="s">
        <v>475</v>
      </c>
      <c r="AE765" t="s">
        <v>560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421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427</v>
      </c>
      <c r="AC766" t="s">
        <v>421</v>
      </c>
      <c r="AD766" t="s">
        <v>427</v>
      </c>
      <c r="AE766" t="s">
        <v>560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427</v>
      </c>
      <c r="AC767" t="s">
        <v>560</v>
      </c>
      <c r="AD767" t="s">
        <v>427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427</v>
      </c>
      <c r="AC768" t="s">
        <v>427</v>
      </c>
      <c r="AD768" t="s">
        <v>136</v>
      </c>
      <c r="AE768" t="s">
        <v>560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427</v>
      </c>
      <c r="AC769" t="s">
        <v>427</v>
      </c>
      <c r="AD769" t="s">
        <v>427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550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427</v>
      </c>
      <c r="AC770" t="s">
        <v>427</v>
      </c>
      <c r="AD770" t="s">
        <v>427</v>
      </c>
      <c r="AE770" t="s">
        <v>560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420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427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560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550</v>
      </c>
      <c r="E773" t="s">
        <v>419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573</v>
      </c>
      <c r="AD773" t="s">
        <v>403</v>
      </c>
      <c r="AE773" t="s">
        <v>560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550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421</v>
      </c>
      <c r="AD774" t="s">
        <v>398</v>
      </c>
      <c r="AE774" t="s">
        <v>560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550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421</v>
      </c>
      <c r="AD775" t="s">
        <v>403</v>
      </c>
      <c r="AE775" t="s">
        <v>560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550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560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550</v>
      </c>
      <c r="E777" t="s">
        <v>550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572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422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572</v>
      </c>
      <c r="AD778" t="s">
        <v>403</v>
      </c>
      <c r="AE778" t="s">
        <v>560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422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422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422</v>
      </c>
      <c r="E780" t="s">
        <v>422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422</v>
      </c>
      <c r="AD780" t="s">
        <v>403</v>
      </c>
      <c r="AE780" t="s">
        <v>560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420</v>
      </c>
      <c r="E781" t="s">
        <v>549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425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420</v>
      </c>
      <c r="E782" t="s">
        <v>419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420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420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420</v>
      </c>
      <c r="AD783" t="s">
        <v>403</v>
      </c>
      <c r="AE783" t="s">
        <v>560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420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560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420</v>
      </c>
      <c r="E785" t="s">
        <v>420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560</v>
      </c>
      <c r="AD785" t="s">
        <v>403</v>
      </c>
      <c r="AE785" t="s">
        <v>560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427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427</v>
      </c>
      <c r="AD786" t="s">
        <v>403</v>
      </c>
      <c r="AE786" t="s">
        <v>560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427</v>
      </c>
      <c r="E787" t="s">
        <v>427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423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423</v>
      </c>
      <c r="AD788" t="s">
        <v>403</v>
      </c>
      <c r="AE788" t="s">
        <v>560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423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423</v>
      </c>
      <c r="AC790" t="s">
        <v>136</v>
      </c>
      <c r="AD790" t="s">
        <v>423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423</v>
      </c>
      <c r="AC791" t="s">
        <v>136</v>
      </c>
      <c r="AD791" t="s">
        <v>423</v>
      </c>
      <c r="AE791" t="s">
        <v>560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423</v>
      </c>
      <c r="AC792" t="s">
        <v>573</v>
      </c>
      <c r="AD792" t="s">
        <v>423</v>
      </c>
      <c r="AE792" t="s">
        <v>560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423</v>
      </c>
      <c r="AC793" t="s">
        <v>572</v>
      </c>
      <c r="AD793" t="s">
        <v>403</v>
      </c>
      <c r="AE793" t="s">
        <v>560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423</v>
      </c>
      <c r="AC794" t="s">
        <v>572</v>
      </c>
      <c r="AD794" t="s">
        <v>423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423</v>
      </c>
      <c r="AC795" t="s">
        <v>572</v>
      </c>
      <c r="AD795" t="s">
        <v>423</v>
      </c>
      <c r="AE795" t="s">
        <v>560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423</v>
      </c>
      <c r="AC796" t="s">
        <v>420</v>
      </c>
      <c r="AD796" t="s">
        <v>423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423</v>
      </c>
      <c r="AC797" t="s">
        <v>420</v>
      </c>
      <c r="AD797" t="s">
        <v>423</v>
      </c>
      <c r="AE797" t="s">
        <v>560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423</v>
      </c>
      <c r="AC798" t="s">
        <v>560</v>
      </c>
      <c r="AD798" t="s">
        <v>423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423</v>
      </c>
      <c r="AC799" t="s">
        <v>560</v>
      </c>
      <c r="AD799" t="s">
        <v>423</v>
      </c>
      <c r="AE799" t="s">
        <v>560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423</v>
      </c>
      <c r="AC800" t="s">
        <v>427</v>
      </c>
      <c r="AD800" t="s">
        <v>423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419</v>
      </c>
      <c r="E801" t="s">
        <v>419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423</v>
      </c>
      <c r="AC801" t="s">
        <v>423</v>
      </c>
      <c r="AD801" t="s">
        <v>423</v>
      </c>
      <c r="AE801" t="s">
        <v>560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560</v>
      </c>
      <c r="AE802" t="s">
        <v>560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571</v>
      </c>
      <c r="AC803" t="s">
        <v>571</v>
      </c>
      <c r="AD803" t="s">
        <v>571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419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571</v>
      </c>
      <c r="AC804" t="s">
        <v>421</v>
      </c>
      <c r="AD804" t="s">
        <v>571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571</v>
      </c>
      <c r="AC805" t="s">
        <v>560</v>
      </c>
      <c r="AD805" t="s">
        <v>571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419</v>
      </c>
      <c r="AC806" t="s">
        <v>419</v>
      </c>
      <c r="AD806" t="s">
        <v>419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419</v>
      </c>
      <c r="AC807" t="s">
        <v>419</v>
      </c>
      <c r="AD807" t="s">
        <v>419</v>
      </c>
      <c r="AE807" t="s">
        <v>560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419</v>
      </c>
      <c r="AC808" t="s">
        <v>136</v>
      </c>
      <c r="AD808" t="s">
        <v>419</v>
      </c>
      <c r="AE808" t="s">
        <v>560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419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419</v>
      </c>
      <c r="E810" t="s">
        <v>419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419</v>
      </c>
      <c r="AC810" t="s">
        <v>136</v>
      </c>
      <c r="AD810" t="s">
        <v>401</v>
      </c>
      <c r="AE810" t="s">
        <v>560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419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419</v>
      </c>
      <c r="AC811" t="s">
        <v>573</v>
      </c>
      <c r="AD811" t="s">
        <v>419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419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419</v>
      </c>
      <c r="AC812" t="s">
        <v>573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419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419</v>
      </c>
      <c r="AC813" t="s">
        <v>421</v>
      </c>
      <c r="AD813" t="s">
        <v>419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419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419</v>
      </c>
      <c r="AC814" t="s">
        <v>421</v>
      </c>
      <c r="AD814" t="s">
        <v>419</v>
      </c>
      <c r="AE814" t="s">
        <v>560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419</v>
      </c>
      <c r="AC815" t="s">
        <v>421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419</v>
      </c>
      <c r="AC816" t="s">
        <v>421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419</v>
      </c>
      <c r="AC817" t="s">
        <v>572</v>
      </c>
      <c r="AD817" t="s">
        <v>419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420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419</v>
      </c>
      <c r="AC818" t="s">
        <v>572</v>
      </c>
      <c r="AD818" t="s">
        <v>419</v>
      </c>
      <c r="AE818" t="s">
        <v>560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419</v>
      </c>
      <c r="AC819" t="s">
        <v>572</v>
      </c>
      <c r="AD819" t="s">
        <v>400</v>
      </c>
      <c r="AE819" t="s">
        <v>560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419</v>
      </c>
      <c r="AC820" t="s">
        <v>572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424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419</v>
      </c>
      <c r="AC821" t="s">
        <v>422</v>
      </c>
      <c r="AD821" t="s">
        <v>419</v>
      </c>
      <c r="AE821" t="s">
        <v>560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419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419</v>
      </c>
      <c r="AC822" t="s">
        <v>420</v>
      </c>
      <c r="AD822" t="s">
        <v>419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419</v>
      </c>
      <c r="AC823" t="s">
        <v>420</v>
      </c>
      <c r="AD823" t="s">
        <v>419</v>
      </c>
      <c r="AE823" t="s">
        <v>560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419</v>
      </c>
      <c r="AC824" t="s">
        <v>420</v>
      </c>
      <c r="AD824" t="s">
        <v>136</v>
      </c>
      <c r="AE824" t="s">
        <v>560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421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419</v>
      </c>
      <c r="AC825" t="s">
        <v>420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420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419</v>
      </c>
      <c r="AC826" t="s">
        <v>420</v>
      </c>
      <c r="AD826" t="s">
        <v>401</v>
      </c>
      <c r="AE826" t="s">
        <v>560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421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419</v>
      </c>
      <c r="AC827" t="s">
        <v>420</v>
      </c>
      <c r="AD827" t="s">
        <v>402</v>
      </c>
      <c r="AE827" t="s">
        <v>560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421</v>
      </c>
      <c r="E828" t="s">
        <v>421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419</v>
      </c>
      <c r="AC828" t="s">
        <v>560</v>
      </c>
      <c r="AD828" t="s">
        <v>419</v>
      </c>
      <c r="AE828" t="s">
        <v>560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419</v>
      </c>
      <c r="AC829" t="s">
        <v>475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419</v>
      </c>
      <c r="AC830" t="s">
        <v>427</v>
      </c>
      <c r="AD830" t="s">
        <v>419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550</v>
      </c>
      <c r="E832" t="s">
        <v>550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560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425</v>
      </c>
      <c r="E833" t="s">
        <v>425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420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560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420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420</v>
      </c>
      <c r="E836" t="s">
        <v>420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421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421</v>
      </c>
      <c r="AD837" t="s">
        <v>400</v>
      </c>
      <c r="AE837" t="s">
        <v>560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423</v>
      </c>
      <c r="E838" t="s">
        <v>423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572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572</v>
      </c>
      <c r="AD839" t="s">
        <v>400</v>
      </c>
      <c r="AE839" t="s">
        <v>560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419</v>
      </c>
      <c r="E840" t="s">
        <v>419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572</v>
      </c>
      <c r="AD840" t="s">
        <v>402</v>
      </c>
      <c r="AE840" t="s">
        <v>560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419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422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419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422</v>
      </c>
      <c r="AD842" t="s">
        <v>400</v>
      </c>
      <c r="AE842" t="s">
        <v>560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425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420</v>
      </c>
      <c r="AD844" t="s">
        <v>571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420</v>
      </c>
      <c r="AD845" t="s">
        <v>419</v>
      </c>
      <c r="AE845" t="s">
        <v>560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420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421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420</v>
      </c>
      <c r="AD847" t="s">
        <v>400</v>
      </c>
      <c r="AE847" t="s">
        <v>560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550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420</v>
      </c>
      <c r="AD848" t="s">
        <v>136</v>
      </c>
      <c r="AE848" t="s">
        <v>560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425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420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420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560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419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560</v>
      </c>
      <c r="AD851" t="s">
        <v>400</v>
      </c>
      <c r="AE851" t="s">
        <v>560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560</v>
      </c>
      <c r="AD852" t="s">
        <v>136</v>
      </c>
      <c r="AE852" t="s">
        <v>560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427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421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427</v>
      </c>
      <c r="AD854" t="s">
        <v>400</v>
      </c>
      <c r="AE854" t="s">
        <v>560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423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550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571</v>
      </c>
      <c r="AD856" t="s">
        <v>136</v>
      </c>
      <c r="AE856" t="s">
        <v>560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420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419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421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419</v>
      </c>
      <c r="AD858" t="s">
        <v>136</v>
      </c>
      <c r="AE858" t="s">
        <v>560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421</v>
      </c>
      <c r="E859" t="s">
        <v>421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560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560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550</v>
      </c>
      <c r="E861" t="s">
        <v>550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422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560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422</v>
      </c>
      <c r="E863" t="s">
        <v>422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425</v>
      </c>
      <c r="E864" t="s">
        <v>425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572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420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572</v>
      </c>
      <c r="AE865" t="s">
        <v>560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420</v>
      </c>
      <c r="E866" t="s">
        <v>550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420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420</v>
      </c>
      <c r="E867" t="s">
        <v>420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573</v>
      </c>
      <c r="AD867" t="s">
        <v>136</v>
      </c>
      <c r="AE867" t="s">
        <v>560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427</v>
      </c>
      <c r="E868" t="s">
        <v>427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573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573</v>
      </c>
      <c r="AD869" t="s">
        <v>401</v>
      </c>
      <c r="AE869" t="s">
        <v>560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549</v>
      </c>
      <c r="E870" t="s">
        <v>549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421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419</v>
      </c>
      <c r="E871" t="s">
        <v>419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421</v>
      </c>
      <c r="AD871" t="s">
        <v>136</v>
      </c>
      <c r="AE871" t="s">
        <v>560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419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421</v>
      </c>
      <c r="AD872" t="s">
        <v>421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421</v>
      </c>
      <c r="AD873" t="s">
        <v>421</v>
      </c>
      <c r="AE873" t="s">
        <v>560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560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550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425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572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420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572</v>
      </c>
      <c r="AD878" t="s">
        <v>136</v>
      </c>
      <c r="AE878" t="s">
        <v>560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419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572</v>
      </c>
      <c r="AD879" t="s">
        <v>572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572</v>
      </c>
      <c r="AD880" t="s">
        <v>572</v>
      </c>
      <c r="AE880" t="s">
        <v>560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422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420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422</v>
      </c>
      <c r="AD882" t="s">
        <v>136</v>
      </c>
      <c r="AE882" t="s">
        <v>560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421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422</v>
      </c>
      <c r="AD883" t="s">
        <v>422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421</v>
      </c>
      <c r="E884" t="s">
        <v>421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422</v>
      </c>
      <c r="AD884" t="s">
        <v>420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425</v>
      </c>
      <c r="AD885" t="s">
        <v>136</v>
      </c>
      <c r="AE885" t="s">
        <v>560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425</v>
      </c>
      <c r="AD886" t="s">
        <v>425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550</v>
      </c>
      <c r="E887" t="s">
        <v>550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420</v>
      </c>
      <c r="AD887" t="s">
        <v>419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422</v>
      </c>
      <c r="E888" t="s">
        <v>549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420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422</v>
      </c>
      <c r="E889" t="s">
        <v>422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420</v>
      </c>
      <c r="AD889" t="s">
        <v>136</v>
      </c>
      <c r="AE889" t="s">
        <v>560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422</v>
      </c>
      <c r="E890" t="s">
        <v>420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420</v>
      </c>
      <c r="AD890" t="s">
        <v>401</v>
      </c>
      <c r="AE890" t="s">
        <v>560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425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420</v>
      </c>
      <c r="AD891" t="s">
        <v>420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425</v>
      </c>
      <c r="E892" t="s">
        <v>425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420</v>
      </c>
      <c r="AD892" t="s">
        <v>420</v>
      </c>
      <c r="AE892" t="s">
        <v>560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420</v>
      </c>
      <c r="E893" t="s">
        <v>420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560</v>
      </c>
      <c r="AD893" t="s">
        <v>400</v>
      </c>
      <c r="AE893" t="s">
        <v>560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427</v>
      </c>
      <c r="E894" t="s">
        <v>427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560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560</v>
      </c>
      <c r="AD895" t="s">
        <v>136</v>
      </c>
      <c r="AE895" t="s">
        <v>560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560</v>
      </c>
      <c r="AD896" t="s">
        <v>420</v>
      </c>
      <c r="AE896" t="s">
        <v>560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419</v>
      </c>
      <c r="E897" t="s">
        <v>419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475</v>
      </c>
      <c r="AD897" t="s">
        <v>136</v>
      </c>
      <c r="AE897" t="s">
        <v>560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427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427</v>
      </c>
      <c r="AD899" t="s">
        <v>136</v>
      </c>
      <c r="AE899" t="s">
        <v>560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423</v>
      </c>
      <c r="AD900" t="s">
        <v>136</v>
      </c>
      <c r="AE900" t="s">
        <v>560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421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424</v>
      </c>
      <c r="AC901" t="s">
        <v>420</v>
      </c>
      <c r="AD901" t="s">
        <v>424</v>
      </c>
      <c r="AE901" t="s">
        <v>560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550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571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425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571</v>
      </c>
      <c r="AD903" t="s">
        <v>401</v>
      </c>
      <c r="AE903" t="s">
        <v>560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420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419</v>
      </c>
      <c r="AD904" t="s">
        <v>136</v>
      </c>
      <c r="AE904" t="s">
        <v>560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419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419</v>
      </c>
      <c r="AD906" t="s">
        <v>401</v>
      </c>
      <c r="AE906" t="s">
        <v>560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419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420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421</v>
      </c>
      <c r="E909" t="s">
        <v>421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560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419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550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550</v>
      </c>
      <c r="E912" t="s">
        <v>550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560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550</v>
      </c>
      <c r="E913" t="s">
        <v>422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425</v>
      </c>
      <c r="E914" t="s">
        <v>425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560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420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420</v>
      </c>
      <c r="E916" t="s">
        <v>420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560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420</v>
      </c>
      <c r="E917" t="s">
        <v>475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573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427</v>
      </c>
      <c r="E918" t="s">
        <v>427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573</v>
      </c>
      <c r="AD918" t="s">
        <v>136</v>
      </c>
      <c r="AE918" t="s">
        <v>560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573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419</v>
      </c>
      <c r="E920" t="s">
        <v>419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573</v>
      </c>
      <c r="AD920" t="s">
        <v>401</v>
      </c>
      <c r="AE920" t="s">
        <v>560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419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573</v>
      </c>
      <c r="AD921" t="s">
        <v>421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573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550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573</v>
      </c>
      <c r="AD923" t="s">
        <v>572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573</v>
      </c>
      <c r="AD924" t="s">
        <v>420</v>
      </c>
      <c r="AE924" t="s">
        <v>560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421</v>
      </c>
      <c r="AD925" t="s">
        <v>571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421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421</v>
      </c>
      <c r="AD926" t="s">
        <v>419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550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421</v>
      </c>
      <c r="AD927" t="s">
        <v>419</v>
      </c>
      <c r="AE927" t="s">
        <v>560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420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421</v>
      </c>
      <c r="AD928" t="s">
        <v>400</v>
      </c>
      <c r="AE928" t="s">
        <v>560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421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421</v>
      </c>
      <c r="AD930" t="s">
        <v>136</v>
      </c>
      <c r="AE930" t="s">
        <v>560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425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421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421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421</v>
      </c>
      <c r="AD932" t="s">
        <v>401</v>
      </c>
      <c r="AE932" t="s">
        <v>560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421</v>
      </c>
      <c r="E933" t="s">
        <v>421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421</v>
      </c>
      <c r="AD933" t="s">
        <v>421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421</v>
      </c>
      <c r="AD934" t="s">
        <v>421</v>
      </c>
      <c r="AE934" t="s">
        <v>560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550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421</v>
      </c>
      <c r="AD935" t="s">
        <v>427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550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421</v>
      </c>
      <c r="AD936" t="s">
        <v>427</v>
      </c>
      <c r="AE936" t="s">
        <v>560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550</v>
      </c>
      <c r="E937" t="s">
        <v>550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560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422</v>
      </c>
      <c r="E938" t="s">
        <v>422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425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560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425</v>
      </c>
      <c r="E940" t="s">
        <v>425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560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420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572</v>
      </c>
      <c r="AD941" t="s">
        <v>419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420</v>
      </c>
      <c r="E942" t="s">
        <v>420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572</v>
      </c>
      <c r="AD942" t="s">
        <v>419</v>
      </c>
      <c r="AE942" t="s">
        <v>560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572</v>
      </c>
      <c r="AD943" t="s">
        <v>136</v>
      </c>
      <c r="AE943" t="s">
        <v>560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572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572</v>
      </c>
      <c r="AD945" t="s">
        <v>401</v>
      </c>
      <c r="AE945" t="s">
        <v>560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572</v>
      </c>
      <c r="AD946" t="s">
        <v>421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572</v>
      </c>
      <c r="AD947" t="s">
        <v>421</v>
      </c>
      <c r="AE947" t="s">
        <v>560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572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572</v>
      </c>
      <c r="AD949" t="s">
        <v>572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572</v>
      </c>
      <c r="AD950" t="s">
        <v>420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422</v>
      </c>
      <c r="AD951" t="s">
        <v>136</v>
      </c>
      <c r="AE951" t="s">
        <v>560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422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422</v>
      </c>
      <c r="AD953" t="s">
        <v>401</v>
      </c>
      <c r="AE953" t="s">
        <v>560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419</v>
      </c>
      <c r="E954" t="s">
        <v>419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422</v>
      </c>
      <c r="AD954" t="s">
        <v>421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422</v>
      </c>
      <c r="AD955" t="s">
        <v>422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425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425</v>
      </c>
      <c r="AD957" t="s">
        <v>401</v>
      </c>
      <c r="AE957" t="s">
        <v>560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425</v>
      </c>
      <c r="AD958" t="s">
        <v>421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425</v>
      </c>
      <c r="AD959" t="s">
        <v>425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419</v>
      </c>
      <c r="E960" t="s">
        <v>419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420</v>
      </c>
      <c r="AD960" t="s">
        <v>419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420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420</v>
      </c>
      <c r="AD962" t="s">
        <v>136</v>
      </c>
      <c r="AE962" t="s">
        <v>560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419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420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420</v>
      </c>
      <c r="AD964" t="s">
        <v>401</v>
      </c>
      <c r="AE964" t="s">
        <v>560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420</v>
      </c>
      <c r="AD965" t="s">
        <v>421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420</v>
      </c>
      <c r="AD966" t="s">
        <v>421</v>
      </c>
      <c r="AE966" t="s">
        <v>560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419</v>
      </c>
      <c r="E967" t="s">
        <v>419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420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419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420</v>
      </c>
      <c r="AD968" t="s">
        <v>402</v>
      </c>
      <c r="AE968" t="s">
        <v>560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420</v>
      </c>
      <c r="AD969" t="s">
        <v>572</v>
      </c>
      <c r="AE969" t="s">
        <v>560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420</v>
      </c>
      <c r="AD970" t="s">
        <v>420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420</v>
      </c>
      <c r="AD971" t="s">
        <v>420</v>
      </c>
      <c r="AE971" t="s">
        <v>560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421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560</v>
      </c>
      <c r="AD972" t="s">
        <v>136</v>
      </c>
      <c r="AE972" t="s">
        <v>560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550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560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420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560</v>
      </c>
      <c r="AD974" t="s">
        <v>401</v>
      </c>
      <c r="AE974" t="s">
        <v>560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419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560</v>
      </c>
      <c r="AD975" t="s">
        <v>420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475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475</v>
      </c>
      <c r="AD977" t="s">
        <v>401</v>
      </c>
      <c r="AE977" t="s">
        <v>560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421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427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427</v>
      </c>
      <c r="AD979" t="s">
        <v>136</v>
      </c>
      <c r="AE979" t="s">
        <v>560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550</v>
      </c>
      <c r="E980" t="s">
        <v>550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427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420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427</v>
      </c>
      <c r="AD981" t="s">
        <v>401</v>
      </c>
      <c r="AE981" t="s">
        <v>560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420</v>
      </c>
      <c r="E982" t="s">
        <v>420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427</v>
      </c>
      <c r="AD982" t="s">
        <v>421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420</v>
      </c>
      <c r="E983" t="s">
        <v>475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427</v>
      </c>
      <c r="AD983" t="s">
        <v>402</v>
      </c>
      <c r="AE983" t="s">
        <v>560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427</v>
      </c>
      <c r="E984" t="s">
        <v>427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423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423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423</v>
      </c>
      <c r="AD986" t="s">
        <v>401</v>
      </c>
      <c r="AE986" t="s">
        <v>560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423</v>
      </c>
      <c r="E987" t="s">
        <v>423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421</v>
      </c>
      <c r="AC987" t="s">
        <v>419</v>
      </c>
      <c r="AD987" t="s">
        <v>421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421</v>
      </c>
      <c r="AC988" t="s">
        <v>136</v>
      </c>
      <c r="AD988" t="s">
        <v>136</v>
      </c>
      <c r="AE988" t="s">
        <v>560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419</v>
      </c>
      <c r="E989" t="s">
        <v>419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421</v>
      </c>
      <c r="AC989" t="s">
        <v>136</v>
      </c>
      <c r="AD989" t="s">
        <v>421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421</v>
      </c>
      <c r="AC990" t="s">
        <v>136</v>
      </c>
      <c r="AD990" t="s">
        <v>421</v>
      </c>
      <c r="AE990" t="s">
        <v>560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421</v>
      </c>
      <c r="AC991" t="s">
        <v>573</v>
      </c>
      <c r="AD991" t="s">
        <v>421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421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421</v>
      </c>
      <c r="AC992" t="s">
        <v>573</v>
      </c>
      <c r="AD992" t="s">
        <v>421</v>
      </c>
      <c r="AE992" t="s">
        <v>560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550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421</v>
      </c>
      <c r="AC993" t="s">
        <v>573</v>
      </c>
      <c r="AD993" t="s">
        <v>425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420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421</v>
      </c>
      <c r="AC994" t="s">
        <v>421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421</v>
      </c>
      <c r="AC995" t="s">
        <v>421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421</v>
      </c>
      <c r="AC996" t="s">
        <v>421</v>
      </c>
      <c r="AD996" t="s">
        <v>421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421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421</v>
      </c>
      <c r="AC997" t="s">
        <v>421</v>
      </c>
      <c r="AD997" t="s">
        <v>421</v>
      </c>
      <c r="AE997" t="s">
        <v>560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550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421</v>
      </c>
      <c r="AC998" t="s">
        <v>572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420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421</v>
      </c>
      <c r="AC999" t="s">
        <v>572</v>
      </c>
      <c r="AD999" t="s">
        <v>401</v>
      </c>
      <c r="AE999" t="s">
        <v>560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427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421</v>
      </c>
      <c r="AC1000" t="s">
        <v>422</v>
      </c>
      <c r="AD1000" t="s">
        <v>421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421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421</v>
      </c>
      <c r="AC1001" t="s">
        <v>422</v>
      </c>
      <c r="AD1001" t="s">
        <v>421</v>
      </c>
      <c r="AE1001" t="s">
        <v>560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421</v>
      </c>
      <c r="E1002" t="s">
        <v>421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421</v>
      </c>
      <c r="AC1002" t="s">
        <v>425</v>
      </c>
      <c r="AD1002" t="s">
        <v>421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421</v>
      </c>
      <c r="AC1003" t="s">
        <v>420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550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421</v>
      </c>
      <c r="AC1004" t="s">
        <v>420</v>
      </c>
      <c r="AD1004" t="s">
        <v>401</v>
      </c>
      <c r="AE1004" t="s">
        <v>560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550</v>
      </c>
      <c r="E1005" t="s">
        <v>550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421</v>
      </c>
      <c r="AC1005" t="s">
        <v>420</v>
      </c>
      <c r="AD1005" t="s">
        <v>421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425</v>
      </c>
      <c r="E1006" t="s">
        <v>425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421</v>
      </c>
      <c r="AC1006" t="s">
        <v>560</v>
      </c>
      <c r="AD1006" t="s">
        <v>136</v>
      </c>
      <c r="AE1006" t="s">
        <v>560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420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421</v>
      </c>
      <c r="AC1007" t="s">
        <v>560</v>
      </c>
      <c r="AD1007" t="s">
        <v>421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420</v>
      </c>
      <c r="E1008" t="s">
        <v>420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421</v>
      </c>
      <c r="AC1008" t="s">
        <v>560</v>
      </c>
      <c r="AD1008" t="s">
        <v>421</v>
      </c>
      <c r="AE1008" t="s">
        <v>560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427</v>
      </c>
      <c r="E1009" t="s">
        <v>427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421</v>
      </c>
      <c r="AC1009" t="s">
        <v>427</v>
      </c>
      <c r="AD1009" t="s">
        <v>421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571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423</v>
      </c>
      <c r="E1011" t="s">
        <v>423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571</v>
      </c>
      <c r="AD1011" t="s">
        <v>402</v>
      </c>
      <c r="AE1011" t="s">
        <v>560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419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419</v>
      </c>
      <c r="E1013" t="s">
        <v>419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419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419</v>
      </c>
      <c r="AD1014" t="s">
        <v>402</v>
      </c>
      <c r="AE1014" t="s">
        <v>560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560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421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550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560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422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560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420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421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421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560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421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420</v>
      </c>
      <c r="AE1024" t="s">
        <v>560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421</v>
      </c>
      <c r="E1025" t="s">
        <v>421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573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573</v>
      </c>
      <c r="AD1026" t="s">
        <v>402</v>
      </c>
      <c r="AE1026" t="s">
        <v>560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550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421</v>
      </c>
      <c r="AD1027" t="s">
        <v>400</v>
      </c>
      <c r="AE1027" t="s">
        <v>560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550</v>
      </c>
      <c r="E1028" t="s">
        <v>550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421</v>
      </c>
      <c r="AD1028" t="s">
        <v>136</v>
      </c>
      <c r="AE1028" t="s">
        <v>560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425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421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425</v>
      </c>
      <c r="E1030" t="s">
        <v>425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421</v>
      </c>
      <c r="AD1030" t="s">
        <v>401</v>
      </c>
      <c r="AE1030" t="s">
        <v>560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420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421</v>
      </c>
      <c r="AD1031" t="s">
        <v>421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420</v>
      </c>
      <c r="E1032" t="s">
        <v>420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421</v>
      </c>
      <c r="AD1032" t="s">
        <v>421</v>
      </c>
      <c r="AE1032" t="s">
        <v>560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427</v>
      </c>
      <c r="E1033" t="s">
        <v>427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421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421</v>
      </c>
      <c r="AD1034" t="s">
        <v>402</v>
      </c>
      <c r="AE1034" t="s">
        <v>560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423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560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419</v>
      </c>
      <c r="E1037" t="s">
        <v>419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560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421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421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421</v>
      </c>
      <c r="AE1041" t="s">
        <v>560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550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420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560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572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572</v>
      </c>
      <c r="AE1045" t="s">
        <v>560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420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420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421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420</v>
      </c>
      <c r="AE1047" t="s">
        <v>560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421</v>
      </c>
      <c r="E1048" t="s">
        <v>421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427</v>
      </c>
      <c r="AE1048" t="s">
        <v>560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550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572</v>
      </c>
      <c r="AD1049" t="s">
        <v>400</v>
      </c>
      <c r="AE1049" t="s">
        <v>560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550</v>
      </c>
      <c r="E1050" t="s">
        <v>550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572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425</v>
      </c>
      <c r="E1051" t="s">
        <v>425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572</v>
      </c>
      <c r="AD1051" t="s">
        <v>136</v>
      </c>
      <c r="AE1051" t="s">
        <v>560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420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572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420</v>
      </c>
      <c r="E1053" t="s">
        <v>420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572</v>
      </c>
      <c r="AD1053" t="s">
        <v>401</v>
      </c>
      <c r="AE1053" t="s">
        <v>560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427</v>
      </c>
      <c r="E1054" t="s">
        <v>427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572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572</v>
      </c>
      <c r="AD1055" t="s">
        <v>402</v>
      </c>
      <c r="AE1055" t="s">
        <v>560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423</v>
      </c>
      <c r="E1056" t="s">
        <v>423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572</v>
      </c>
      <c r="AD1056" t="s">
        <v>572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572</v>
      </c>
      <c r="AD1057" t="s">
        <v>427</v>
      </c>
      <c r="AE1057" t="s">
        <v>560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419</v>
      </c>
      <c r="E1058" t="s">
        <v>419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422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422</v>
      </c>
      <c r="AD1059" t="s">
        <v>402</v>
      </c>
      <c r="AE1059" t="s">
        <v>560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425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550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425</v>
      </c>
      <c r="AD1061" t="s">
        <v>402</v>
      </c>
      <c r="AE1061" t="s">
        <v>560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420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420</v>
      </c>
      <c r="AD1062" t="s">
        <v>400</v>
      </c>
      <c r="AE1062" t="s">
        <v>560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420</v>
      </c>
      <c r="AD1063" t="s">
        <v>136</v>
      </c>
      <c r="AE1063" t="s">
        <v>560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420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421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420</v>
      </c>
      <c r="AD1065" t="s">
        <v>401</v>
      </c>
      <c r="AE1065" t="s">
        <v>560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421</v>
      </c>
      <c r="E1066" t="s">
        <v>421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420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550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420</v>
      </c>
      <c r="AD1067" t="s">
        <v>402</v>
      </c>
      <c r="AE1067" t="s">
        <v>560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550</v>
      </c>
      <c r="E1068" t="s">
        <v>550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420</v>
      </c>
      <c r="AD1068" t="s">
        <v>420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550</v>
      </c>
      <c r="E1069" t="s">
        <v>420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420</v>
      </c>
      <c r="AD1069" t="s">
        <v>420</v>
      </c>
      <c r="AE1069" t="s">
        <v>560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422</v>
      </c>
      <c r="E1070" t="s">
        <v>422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560</v>
      </c>
      <c r="AD1070" t="s">
        <v>419</v>
      </c>
      <c r="AE1070" t="s">
        <v>560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425</v>
      </c>
      <c r="E1071" t="s">
        <v>425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560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420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560</v>
      </c>
      <c r="AD1072" t="s">
        <v>400</v>
      </c>
      <c r="AE1072" t="s">
        <v>560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420</v>
      </c>
      <c r="E1073" t="s">
        <v>420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560</v>
      </c>
      <c r="AD1073" t="s">
        <v>136</v>
      </c>
      <c r="AE1073" t="s">
        <v>560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427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560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427</v>
      </c>
      <c r="E1075" t="s">
        <v>427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560</v>
      </c>
      <c r="AD1075" t="s">
        <v>402</v>
      </c>
      <c r="AE1075" t="s">
        <v>560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560</v>
      </c>
      <c r="AD1076" t="s">
        <v>572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560</v>
      </c>
      <c r="AD1077" t="s">
        <v>420</v>
      </c>
      <c r="AE1077" t="s">
        <v>560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475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475</v>
      </c>
      <c r="AD1079" t="s">
        <v>402</v>
      </c>
      <c r="AE1079" t="s">
        <v>560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427</v>
      </c>
      <c r="AD1080" t="s">
        <v>136</v>
      </c>
      <c r="AE1080" t="s">
        <v>560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427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427</v>
      </c>
      <c r="AD1082" t="s">
        <v>402</v>
      </c>
      <c r="AE1082" t="s">
        <v>560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423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423</v>
      </c>
      <c r="AD1084" t="s">
        <v>402</v>
      </c>
      <c r="AE1084" t="s">
        <v>560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572</v>
      </c>
      <c r="AC1085" t="s">
        <v>400</v>
      </c>
      <c r="AD1085" t="s">
        <v>572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572</v>
      </c>
      <c r="AC1086" t="s">
        <v>136</v>
      </c>
      <c r="AD1086" t="s">
        <v>136</v>
      </c>
      <c r="AE1086" t="s">
        <v>560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572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572</v>
      </c>
      <c r="AC1088" t="s">
        <v>136</v>
      </c>
      <c r="AD1088" t="s">
        <v>572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419</v>
      </c>
      <c r="E1089" t="s">
        <v>419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572</v>
      </c>
      <c r="AC1089" t="s">
        <v>136</v>
      </c>
      <c r="AD1089" t="s">
        <v>572</v>
      </c>
      <c r="AE1089" t="s">
        <v>560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572</v>
      </c>
      <c r="AC1090" t="s">
        <v>573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572</v>
      </c>
      <c r="AC1091" t="s">
        <v>573</v>
      </c>
      <c r="AD1091" t="s">
        <v>572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572</v>
      </c>
      <c r="AC1092" t="s">
        <v>573</v>
      </c>
      <c r="AD1092" t="s">
        <v>572</v>
      </c>
      <c r="AE1092" t="s">
        <v>560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572</v>
      </c>
      <c r="AC1093" t="s">
        <v>421</v>
      </c>
      <c r="AD1093" t="s">
        <v>572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420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572</v>
      </c>
      <c r="AC1094" t="s">
        <v>402</v>
      </c>
      <c r="AD1094" t="s">
        <v>572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572</v>
      </c>
      <c r="AC1095" t="s">
        <v>572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419</v>
      </c>
      <c r="E1096" t="s">
        <v>419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572</v>
      </c>
      <c r="AC1096" t="s">
        <v>572</v>
      </c>
      <c r="AD1096" t="s">
        <v>136</v>
      </c>
      <c r="AE1096" t="s">
        <v>560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419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572</v>
      </c>
      <c r="AC1097" t="s">
        <v>572</v>
      </c>
      <c r="AD1097" t="s">
        <v>572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419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572</v>
      </c>
      <c r="AC1098" t="s">
        <v>572</v>
      </c>
      <c r="AD1098" t="s">
        <v>572</v>
      </c>
      <c r="AE1098" t="s">
        <v>560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419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572</v>
      </c>
      <c r="AC1099" t="s">
        <v>572</v>
      </c>
      <c r="AD1099" t="s">
        <v>427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572</v>
      </c>
      <c r="AC1100" t="s">
        <v>422</v>
      </c>
      <c r="AD1100" t="s">
        <v>136</v>
      </c>
      <c r="AE1100" t="s">
        <v>560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572</v>
      </c>
      <c r="AC1101" t="s">
        <v>420</v>
      </c>
      <c r="AD1101" t="s">
        <v>572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572</v>
      </c>
      <c r="AC1102" t="s">
        <v>560</v>
      </c>
      <c r="AD1102" t="s">
        <v>136</v>
      </c>
      <c r="AE1102" t="s">
        <v>560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572</v>
      </c>
      <c r="AC1103" t="s">
        <v>560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419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572</v>
      </c>
      <c r="AC1104" t="s">
        <v>560</v>
      </c>
      <c r="AD1104" t="s">
        <v>572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572</v>
      </c>
      <c r="AC1105" t="s">
        <v>560</v>
      </c>
      <c r="AD1105" t="s">
        <v>572</v>
      </c>
      <c r="AE1105" t="s">
        <v>560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572</v>
      </c>
      <c r="AC1106" t="s">
        <v>560</v>
      </c>
      <c r="AD1106" t="s">
        <v>425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421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422</v>
      </c>
      <c r="AC1107" t="s">
        <v>136</v>
      </c>
      <c r="AD1107" t="s">
        <v>422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422</v>
      </c>
      <c r="AC1108" t="s">
        <v>136</v>
      </c>
      <c r="AD1108" t="s">
        <v>422</v>
      </c>
      <c r="AE1108" t="s">
        <v>560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422</v>
      </c>
      <c r="AC1109" t="s">
        <v>421</v>
      </c>
      <c r="AD1109" t="s">
        <v>422</v>
      </c>
      <c r="AE1109" t="s">
        <v>560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422</v>
      </c>
      <c r="AC1110" t="s">
        <v>422</v>
      </c>
      <c r="AD1110" t="s">
        <v>136</v>
      </c>
      <c r="AE1110" t="s">
        <v>560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422</v>
      </c>
      <c r="AC1111" t="s">
        <v>422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421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422</v>
      </c>
      <c r="AC1112" t="s">
        <v>422</v>
      </c>
      <c r="AD1112" t="s">
        <v>422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422</v>
      </c>
      <c r="AC1113" t="s">
        <v>422</v>
      </c>
      <c r="AD1113" t="s">
        <v>422</v>
      </c>
      <c r="AE1113" t="s">
        <v>560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550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422</v>
      </c>
      <c r="AC1114" t="s">
        <v>560</v>
      </c>
      <c r="AD1114" t="s">
        <v>422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422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422</v>
      </c>
      <c r="AC1115" t="s">
        <v>560</v>
      </c>
      <c r="AD1115" t="s">
        <v>422</v>
      </c>
      <c r="AE1115" t="s">
        <v>560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420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425</v>
      </c>
      <c r="AC1116" t="s">
        <v>136</v>
      </c>
      <c r="AD1116" t="s">
        <v>425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420</v>
      </c>
      <c r="E1117" t="s">
        <v>420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425</v>
      </c>
      <c r="AC1117" t="s">
        <v>421</v>
      </c>
      <c r="AD1117" t="s">
        <v>425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425</v>
      </c>
      <c r="AC1118" t="s">
        <v>422</v>
      </c>
      <c r="AD1118" t="s">
        <v>425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423</v>
      </c>
      <c r="E1119" t="s">
        <v>423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425</v>
      </c>
      <c r="AC1119" t="s">
        <v>422</v>
      </c>
      <c r="AD1119" t="s">
        <v>425</v>
      </c>
      <c r="AE1119" t="s">
        <v>560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425</v>
      </c>
      <c r="AC1120" t="s">
        <v>425</v>
      </c>
      <c r="AD1120" t="s">
        <v>425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419</v>
      </c>
      <c r="E1121" t="s">
        <v>419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425</v>
      </c>
      <c r="AC1121" t="s">
        <v>425</v>
      </c>
      <c r="AD1121" t="s">
        <v>425</v>
      </c>
      <c r="AE1121" t="s">
        <v>560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425</v>
      </c>
      <c r="AC1122" t="s">
        <v>420</v>
      </c>
      <c r="AD1122" t="s">
        <v>425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425</v>
      </c>
      <c r="AC1123" t="s">
        <v>560</v>
      </c>
      <c r="AD1123" t="s">
        <v>425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420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425</v>
      </c>
      <c r="AC1124" t="s">
        <v>560</v>
      </c>
      <c r="AD1124" t="s">
        <v>425</v>
      </c>
      <c r="AE1124" t="s">
        <v>560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419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420</v>
      </c>
      <c r="AC1125" t="s">
        <v>419</v>
      </c>
      <c r="AD1125" t="s">
        <v>420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420</v>
      </c>
      <c r="AC1126" t="s">
        <v>419</v>
      </c>
      <c r="AD1126" t="s">
        <v>420</v>
      </c>
      <c r="AE1126" t="s">
        <v>560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420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420</v>
      </c>
      <c r="AC1128" t="s">
        <v>136</v>
      </c>
      <c r="AD1128" t="s">
        <v>136</v>
      </c>
      <c r="AE1128" t="s">
        <v>560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421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420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421</v>
      </c>
      <c r="E1130" t="s">
        <v>421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420</v>
      </c>
      <c r="AC1130" t="s">
        <v>136</v>
      </c>
      <c r="AD1130" t="s">
        <v>572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420</v>
      </c>
      <c r="AC1131" t="s">
        <v>136</v>
      </c>
      <c r="AD1131" t="s">
        <v>420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420</v>
      </c>
      <c r="AC1132" t="s">
        <v>136</v>
      </c>
      <c r="AD1132" t="s">
        <v>420</v>
      </c>
      <c r="AE1132" t="s">
        <v>560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420</v>
      </c>
      <c r="AC1133" t="s">
        <v>573</v>
      </c>
      <c r="AD1133" t="s">
        <v>401</v>
      </c>
      <c r="AE1133" t="s">
        <v>560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420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420</v>
      </c>
      <c r="AC1134" t="s">
        <v>573</v>
      </c>
      <c r="AD1134" t="s">
        <v>420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550</v>
      </c>
      <c r="E1135" t="s">
        <v>550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420</v>
      </c>
      <c r="AC1135" t="s">
        <v>573</v>
      </c>
      <c r="AD1135" t="s">
        <v>420</v>
      </c>
      <c r="AE1135" t="s">
        <v>560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425</v>
      </c>
      <c r="E1136" t="s">
        <v>425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420</v>
      </c>
      <c r="AC1136" t="s">
        <v>421</v>
      </c>
      <c r="AD1136" t="s">
        <v>420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420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420</v>
      </c>
      <c r="AC1137" t="s">
        <v>421</v>
      </c>
      <c r="AD1137" t="s">
        <v>420</v>
      </c>
      <c r="AE1137" t="s">
        <v>560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420</v>
      </c>
      <c r="E1138" t="s">
        <v>420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420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427</v>
      </c>
      <c r="E1139" t="s">
        <v>427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420</v>
      </c>
      <c r="AC1139" t="s">
        <v>402</v>
      </c>
      <c r="AD1139" t="s">
        <v>420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420</v>
      </c>
      <c r="AC1140" t="s">
        <v>402</v>
      </c>
      <c r="AD1140" t="s">
        <v>420</v>
      </c>
      <c r="AE1140" t="s">
        <v>560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419</v>
      </c>
      <c r="E1141" t="s">
        <v>419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420</v>
      </c>
      <c r="AC1141" t="s">
        <v>572</v>
      </c>
      <c r="AD1141" t="s">
        <v>420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420</v>
      </c>
      <c r="AC1142" t="s">
        <v>572</v>
      </c>
      <c r="AD1142" t="s">
        <v>420</v>
      </c>
      <c r="AE1142" t="s">
        <v>560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420</v>
      </c>
      <c r="AC1143" t="s">
        <v>420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550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420</v>
      </c>
      <c r="AC1144" t="s">
        <v>420</v>
      </c>
      <c r="AD1144" t="s">
        <v>136</v>
      </c>
      <c r="AE1144" t="s">
        <v>560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420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549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560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419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420</v>
      </c>
      <c r="AC1147" t="s">
        <v>420</v>
      </c>
      <c r="AD1147" t="s">
        <v>475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420</v>
      </c>
      <c r="AC1148" t="s">
        <v>560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420</v>
      </c>
      <c r="AC1149" t="s">
        <v>560</v>
      </c>
      <c r="AD1149" t="s">
        <v>136</v>
      </c>
      <c r="AE1149" t="s">
        <v>560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421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420</v>
      </c>
      <c r="AC1150" t="s">
        <v>560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420</v>
      </c>
      <c r="AC1151" t="s">
        <v>560</v>
      </c>
      <c r="AD1151" t="s">
        <v>420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420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420</v>
      </c>
      <c r="AC1152" t="s">
        <v>560</v>
      </c>
      <c r="AD1152" t="s">
        <v>420</v>
      </c>
      <c r="AE1152" t="s">
        <v>560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420</v>
      </c>
      <c r="AC1153" t="s">
        <v>560</v>
      </c>
      <c r="AD1153" t="s">
        <v>475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550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420</v>
      </c>
      <c r="AC1154" t="s">
        <v>475</v>
      </c>
      <c r="AD1154" t="s">
        <v>420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550</v>
      </c>
      <c r="E1155" t="s">
        <v>550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420</v>
      </c>
      <c r="AC1155" t="s">
        <v>427</v>
      </c>
      <c r="AD1155" t="s">
        <v>420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422</v>
      </c>
      <c r="E1156" t="s">
        <v>422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420</v>
      </c>
      <c r="AC1156" t="s">
        <v>423</v>
      </c>
      <c r="AD1156" t="s">
        <v>420</v>
      </c>
      <c r="AE1156" t="s">
        <v>560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425</v>
      </c>
      <c r="E1157" t="s">
        <v>425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475</v>
      </c>
      <c r="AC1157" t="s">
        <v>420</v>
      </c>
      <c r="AD1157" t="s">
        <v>475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420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427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420</v>
      </c>
      <c r="E1159" t="s">
        <v>420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427</v>
      </c>
      <c r="AC1159" t="s">
        <v>136</v>
      </c>
      <c r="AD1159" t="s">
        <v>427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427</v>
      </c>
      <c r="E1160" t="s">
        <v>427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427</v>
      </c>
      <c r="AC1160" t="s">
        <v>421</v>
      </c>
      <c r="AD1160" t="s">
        <v>427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423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427</v>
      </c>
      <c r="AC1161" t="s">
        <v>422</v>
      </c>
      <c r="AD1161" t="s">
        <v>427</v>
      </c>
      <c r="AE1161" t="s">
        <v>560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427</v>
      </c>
      <c r="AC1162" t="s">
        <v>420</v>
      </c>
      <c r="AD1162" t="s">
        <v>427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550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427</v>
      </c>
      <c r="AC1163" t="s">
        <v>560</v>
      </c>
      <c r="AD1163" t="s">
        <v>427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420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427</v>
      </c>
      <c r="AC1164" t="s">
        <v>560</v>
      </c>
      <c r="AD1164" t="s">
        <v>427</v>
      </c>
      <c r="AE1164" t="s">
        <v>560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427</v>
      </c>
      <c r="AC1165" t="s">
        <v>427</v>
      </c>
      <c r="AD1165" t="s">
        <v>427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427</v>
      </c>
      <c r="AC1166" t="s">
        <v>427</v>
      </c>
      <c r="AD1166" t="s">
        <v>427</v>
      </c>
      <c r="AE1166" t="s">
        <v>560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421</v>
      </c>
      <c r="E1167" t="s">
        <v>421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427</v>
      </c>
      <c r="AC1167" t="s">
        <v>423</v>
      </c>
      <c r="AD1167" t="s">
        <v>427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419</v>
      </c>
      <c r="AD1168" t="s">
        <v>403</v>
      </c>
      <c r="AE1168" t="s">
        <v>560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420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550</v>
      </c>
      <c r="E1170" t="s">
        <v>550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573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422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573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422</v>
      </c>
      <c r="E1172" t="s">
        <v>422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560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425</v>
      </c>
      <c r="E1173" t="s">
        <v>425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572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420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572</v>
      </c>
      <c r="AD1174" t="s">
        <v>403</v>
      </c>
      <c r="AE1174" t="s">
        <v>560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420</v>
      </c>
      <c r="E1175" t="s">
        <v>420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420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420</v>
      </c>
      <c r="AD1176" t="s">
        <v>403</v>
      </c>
      <c r="AE1176" t="s">
        <v>560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549</v>
      </c>
      <c r="E1177" t="s">
        <v>549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420</v>
      </c>
      <c r="AD1177" t="s">
        <v>423</v>
      </c>
      <c r="AE1177" t="s">
        <v>560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560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550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427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420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560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423</v>
      </c>
      <c r="AC1181" t="s">
        <v>136</v>
      </c>
      <c r="AD1181" t="s">
        <v>136</v>
      </c>
      <c r="AE1181" t="s">
        <v>560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423</v>
      </c>
      <c r="AC1182" t="s">
        <v>572</v>
      </c>
      <c r="AD1182" t="s">
        <v>423</v>
      </c>
      <c r="AE1182" t="s">
        <v>560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421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423</v>
      </c>
      <c r="AC1183" t="s">
        <v>420</v>
      </c>
      <c r="AD1183" t="s">
        <v>423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421</v>
      </c>
      <c r="E1184" t="s">
        <v>421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423</v>
      </c>
      <c r="AC1184" t="s">
        <v>560</v>
      </c>
      <c r="AD1184" t="s">
        <v>423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423</v>
      </c>
      <c r="AC1185" t="s">
        <v>423</v>
      </c>
      <c r="AD1185" t="s">
        <v>423</v>
      </c>
      <c r="AE1185" t="s">
        <v>560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560</v>
      </c>
      <c r="AE1186" t="s">
        <v>560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571</v>
      </c>
      <c r="AC1187" t="s">
        <v>571</v>
      </c>
      <c r="AD1187" t="s">
        <v>571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550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571</v>
      </c>
      <c r="AC1188" t="s">
        <v>136</v>
      </c>
      <c r="AD1188" t="s">
        <v>571</v>
      </c>
      <c r="AE1188" t="s">
        <v>560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550</v>
      </c>
      <c r="E1189" t="s">
        <v>550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571</v>
      </c>
      <c r="AC1189" t="s">
        <v>572</v>
      </c>
      <c r="AD1189" t="s">
        <v>571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422</v>
      </c>
      <c r="E1190" t="s">
        <v>422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571</v>
      </c>
      <c r="AC1190" t="s">
        <v>572</v>
      </c>
      <c r="AD1190" t="s">
        <v>572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425</v>
      </c>
      <c r="E1191" t="s">
        <v>425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571</v>
      </c>
      <c r="AC1191" t="s">
        <v>560</v>
      </c>
      <c r="AD1191" t="s">
        <v>571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420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419</v>
      </c>
      <c r="AC1192" t="s">
        <v>419</v>
      </c>
      <c r="AD1192" t="s">
        <v>419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420</v>
      </c>
      <c r="E1193" t="s">
        <v>420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419</v>
      </c>
      <c r="AC1193" t="s">
        <v>419</v>
      </c>
      <c r="AD1193" t="s">
        <v>419</v>
      </c>
      <c r="AE1193" t="s">
        <v>560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475</v>
      </c>
      <c r="E1194" t="s">
        <v>420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419</v>
      </c>
      <c r="AC1194" t="s">
        <v>136</v>
      </c>
      <c r="AD1194" t="s">
        <v>419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427</v>
      </c>
      <c r="E1195" t="s">
        <v>427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419</v>
      </c>
      <c r="AC1195" t="s">
        <v>136</v>
      </c>
      <c r="AD1195" t="s">
        <v>419</v>
      </c>
      <c r="AE1195" t="s">
        <v>560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419</v>
      </c>
      <c r="AC1196" t="s">
        <v>421</v>
      </c>
      <c r="AD1196" t="s">
        <v>136</v>
      </c>
      <c r="AE1196" t="s">
        <v>560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419</v>
      </c>
      <c r="AC1197" t="s">
        <v>572</v>
      </c>
      <c r="AD1197" t="s">
        <v>419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419</v>
      </c>
      <c r="AC1198" t="s">
        <v>572</v>
      </c>
      <c r="AD1198" t="s">
        <v>419</v>
      </c>
      <c r="AE1198" t="s">
        <v>560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419</v>
      </c>
      <c r="AC1199" t="s">
        <v>572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419</v>
      </c>
      <c r="AC1200" t="s">
        <v>422</v>
      </c>
      <c r="AD1200" t="s">
        <v>419</v>
      </c>
      <c r="AE1200" t="s">
        <v>560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419</v>
      </c>
      <c r="AC1201" t="s">
        <v>420</v>
      </c>
      <c r="AD1201" t="s">
        <v>419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419</v>
      </c>
      <c r="AC1202" t="s">
        <v>420</v>
      </c>
      <c r="AD1202" t="s">
        <v>419</v>
      </c>
      <c r="AE1202" t="s">
        <v>560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419</v>
      </c>
      <c r="AC1203" t="s">
        <v>420</v>
      </c>
      <c r="AD1203" t="s">
        <v>136</v>
      </c>
      <c r="AE1203" t="s">
        <v>560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419</v>
      </c>
      <c r="AC1204" t="s">
        <v>420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419</v>
      </c>
      <c r="AC1205" t="s">
        <v>420</v>
      </c>
      <c r="AD1205" t="s">
        <v>401</v>
      </c>
      <c r="AE1205" t="s">
        <v>560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419</v>
      </c>
      <c r="AC1206" t="s">
        <v>560</v>
      </c>
      <c r="AD1206" t="s">
        <v>419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419</v>
      </c>
      <c r="E1208" t="s">
        <v>419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560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560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421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427</v>
      </c>
      <c r="E1213" t="s">
        <v>427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421</v>
      </c>
      <c r="AD1213" t="s">
        <v>400</v>
      </c>
      <c r="AE1213" t="s">
        <v>560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572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423</v>
      </c>
      <c r="E1215" t="s">
        <v>423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572</v>
      </c>
      <c r="AD1215" t="s">
        <v>400</v>
      </c>
      <c r="AE1215" t="s">
        <v>560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420</v>
      </c>
      <c r="AD1216" t="s">
        <v>419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419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420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420</v>
      </c>
      <c r="AD1218" t="s">
        <v>400</v>
      </c>
      <c r="AE1218" t="s">
        <v>560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420</v>
      </c>
      <c r="AD1219" t="s">
        <v>402</v>
      </c>
      <c r="AE1219" t="s">
        <v>560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560</v>
      </c>
      <c r="AD1220" t="s">
        <v>400</v>
      </c>
      <c r="AE1220" t="s">
        <v>560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419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427</v>
      </c>
      <c r="AD1221" t="s">
        <v>400</v>
      </c>
      <c r="AE1221" t="s">
        <v>560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571</v>
      </c>
      <c r="AD1222" t="s">
        <v>136</v>
      </c>
      <c r="AE1222" t="s">
        <v>560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419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421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419</v>
      </c>
      <c r="AD1224" t="s">
        <v>136</v>
      </c>
      <c r="AE1224" t="s">
        <v>560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420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560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560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550</v>
      </c>
      <c r="E1228" t="s">
        <v>550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560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420</v>
      </c>
      <c r="E1229" t="s">
        <v>420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420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427</v>
      </c>
      <c r="E1230" t="s">
        <v>427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573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573</v>
      </c>
      <c r="AD1231" t="s">
        <v>136</v>
      </c>
      <c r="AE1231" t="s">
        <v>560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423</v>
      </c>
      <c r="E1232" t="s">
        <v>423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573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421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419</v>
      </c>
      <c r="E1234" t="s">
        <v>419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421</v>
      </c>
      <c r="AD1234" t="s">
        <v>136</v>
      </c>
      <c r="AE1234" t="s">
        <v>560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419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421</v>
      </c>
      <c r="AD1235" t="s">
        <v>421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421</v>
      </c>
      <c r="AD1236" t="s">
        <v>421</v>
      </c>
      <c r="AE1236" t="s">
        <v>560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421</v>
      </c>
      <c r="AD1237" t="s">
        <v>420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550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420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560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560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420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421</v>
      </c>
      <c r="E1242" t="s">
        <v>421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572</v>
      </c>
      <c r="AD1242" t="s">
        <v>419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572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572</v>
      </c>
      <c r="AD1244" t="s">
        <v>136</v>
      </c>
      <c r="AE1244" t="s">
        <v>560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572</v>
      </c>
      <c r="AD1245" t="s">
        <v>402</v>
      </c>
      <c r="AE1245" t="s">
        <v>560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550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572</v>
      </c>
      <c r="AD1246" t="s">
        <v>572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550</v>
      </c>
      <c r="E1247" t="s">
        <v>550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572</v>
      </c>
      <c r="AD1247" t="s">
        <v>572</v>
      </c>
      <c r="AE1247" t="s">
        <v>560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422</v>
      </c>
      <c r="E1248" t="s">
        <v>422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572</v>
      </c>
      <c r="AD1248" t="s">
        <v>420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420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422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420</v>
      </c>
      <c r="E1250" t="s">
        <v>420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422</v>
      </c>
      <c r="AD1250" t="s">
        <v>136</v>
      </c>
      <c r="AE1250" t="s">
        <v>560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427</v>
      </c>
      <c r="E1251" t="s">
        <v>427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422</v>
      </c>
      <c r="AD1251" t="s">
        <v>422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425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425</v>
      </c>
      <c r="AD1253" t="s">
        <v>136</v>
      </c>
      <c r="AE1253" t="s">
        <v>560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419</v>
      </c>
      <c r="E1254" t="s">
        <v>419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425</v>
      </c>
      <c r="AD1254" t="s">
        <v>401</v>
      </c>
      <c r="AE1254" t="s">
        <v>560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425</v>
      </c>
      <c r="AD1255" t="s">
        <v>425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421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420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420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420</v>
      </c>
      <c r="AD1257" t="s">
        <v>136</v>
      </c>
      <c r="AE1257" t="s">
        <v>560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420</v>
      </c>
      <c r="AD1258" t="s">
        <v>420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421</v>
      </c>
      <c r="E1259" t="s">
        <v>421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420</v>
      </c>
      <c r="AD1259" t="s">
        <v>420</v>
      </c>
      <c r="AE1259" t="s">
        <v>560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560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550</v>
      </c>
      <c r="E1261" t="s">
        <v>550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560</v>
      </c>
      <c r="AD1261" t="s">
        <v>136</v>
      </c>
      <c r="AE1261" t="s">
        <v>560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422</v>
      </c>
      <c r="E1262" t="s">
        <v>422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475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420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475</v>
      </c>
      <c r="AD1263" t="s">
        <v>136</v>
      </c>
      <c r="AE1263" t="s">
        <v>560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420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427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420</v>
      </c>
      <c r="E1265" t="s">
        <v>420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427</v>
      </c>
      <c r="AD1265" t="s">
        <v>136</v>
      </c>
      <c r="AE1265" t="s">
        <v>560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420</v>
      </c>
      <c r="E1266" t="s">
        <v>475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423</v>
      </c>
      <c r="AD1266" t="s">
        <v>136</v>
      </c>
      <c r="AE1266" t="s">
        <v>560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475</v>
      </c>
      <c r="E1267" t="s">
        <v>420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571</v>
      </c>
      <c r="AD1267" t="s">
        <v>136</v>
      </c>
      <c r="AE1267" t="s">
        <v>560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427</v>
      </c>
      <c r="E1268" t="s">
        <v>427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571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571</v>
      </c>
      <c r="AD1269" t="s">
        <v>401</v>
      </c>
      <c r="AE1269" t="s">
        <v>560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571</v>
      </c>
      <c r="AD1270" t="s">
        <v>421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419</v>
      </c>
      <c r="AD1271" t="s">
        <v>136</v>
      </c>
      <c r="AE1271" t="s">
        <v>560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421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419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419</v>
      </c>
      <c r="AD1273" t="s">
        <v>401</v>
      </c>
      <c r="AE1273" t="s">
        <v>560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421</v>
      </c>
      <c r="E1275" t="s">
        <v>421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560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550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560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550</v>
      </c>
      <c r="E1278" t="s">
        <v>550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425</v>
      </c>
      <c r="E1279" t="s">
        <v>425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560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420</v>
      </c>
      <c r="E1280" t="s">
        <v>420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421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420</v>
      </c>
      <c r="E1281" t="s">
        <v>475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420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573</v>
      </c>
      <c r="AD1282" t="s">
        <v>136</v>
      </c>
      <c r="AE1282" t="s">
        <v>560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549</v>
      </c>
      <c r="E1283" t="s">
        <v>549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573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573</v>
      </c>
      <c r="AD1284" t="s">
        <v>401</v>
      </c>
      <c r="AE1284" t="s">
        <v>560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421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573</v>
      </c>
      <c r="AD1285" t="s">
        <v>421</v>
      </c>
      <c r="AE1285" t="s">
        <v>560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550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573</v>
      </c>
      <c r="AD1286" t="s">
        <v>572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420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573</v>
      </c>
      <c r="AD1287" t="s">
        <v>420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573</v>
      </c>
      <c r="AD1288" t="s">
        <v>420</v>
      </c>
      <c r="AE1288" t="s">
        <v>560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420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421</v>
      </c>
      <c r="AD1289" t="s">
        <v>571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421</v>
      </c>
      <c r="E1290" t="s">
        <v>421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421</v>
      </c>
      <c r="AD1290" t="s">
        <v>419</v>
      </c>
      <c r="AE1290" t="s">
        <v>560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421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550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421</v>
      </c>
      <c r="AD1292" t="s">
        <v>136</v>
      </c>
      <c r="AE1292" t="s">
        <v>560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550</v>
      </c>
      <c r="E1293" t="s">
        <v>550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421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422</v>
      </c>
      <c r="E1294" t="s">
        <v>422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421</v>
      </c>
      <c r="AD1294" t="s">
        <v>401</v>
      </c>
      <c r="AE1294" t="s">
        <v>560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420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421</v>
      </c>
      <c r="AD1295" t="s">
        <v>421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420</v>
      </c>
      <c r="E1296" t="s">
        <v>420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421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419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560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560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572</v>
      </c>
      <c r="AD1301" t="s">
        <v>419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572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572</v>
      </c>
      <c r="AD1303" t="s">
        <v>136</v>
      </c>
      <c r="AE1303" t="s">
        <v>560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572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572</v>
      </c>
      <c r="AD1305" t="s">
        <v>401</v>
      </c>
      <c r="AE1305" t="s">
        <v>560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572</v>
      </c>
      <c r="AD1306" t="s">
        <v>421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572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572</v>
      </c>
      <c r="AD1308" t="s">
        <v>572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422</v>
      </c>
      <c r="AD1309" t="s">
        <v>136</v>
      </c>
      <c r="AE1309" t="s">
        <v>560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422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422</v>
      </c>
      <c r="AD1311" t="s">
        <v>401</v>
      </c>
      <c r="AE1311" t="s">
        <v>560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425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425</v>
      </c>
      <c r="AD1313" t="s">
        <v>401</v>
      </c>
      <c r="AE1313" t="s">
        <v>560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425</v>
      </c>
      <c r="AD1314" t="s">
        <v>425</v>
      </c>
      <c r="AE1314" t="s">
        <v>560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420</v>
      </c>
      <c r="AD1315" t="s">
        <v>571</v>
      </c>
      <c r="AE1315" t="s">
        <v>560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420</v>
      </c>
      <c r="AD1316" t="s">
        <v>419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420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420</v>
      </c>
      <c r="AD1318" t="s">
        <v>136</v>
      </c>
      <c r="AE1318" t="s">
        <v>560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420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420</v>
      </c>
      <c r="AD1320" t="s">
        <v>401</v>
      </c>
      <c r="AE1320" t="s">
        <v>560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421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420</v>
      </c>
      <c r="AD1321" t="s">
        <v>421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420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420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420</v>
      </c>
      <c r="AD1323" t="s">
        <v>402</v>
      </c>
      <c r="AE1323" t="s">
        <v>560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421</v>
      </c>
      <c r="E1324" t="s">
        <v>421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420</v>
      </c>
      <c r="AD1324" t="s">
        <v>420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420</v>
      </c>
      <c r="AD1325" t="s">
        <v>420</v>
      </c>
      <c r="AE1325" t="s">
        <v>560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560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420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560</v>
      </c>
      <c r="AD1327" t="s">
        <v>136</v>
      </c>
      <c r="AE1327" t="s">
        <v>560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550</v>
      </c>
      <c r="E1328" t="s">
        <v>550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560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422</v>
      </c>
      <c r="E1329" t="s">
        <v>422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560</v>
      </c>
      <c r="AD1329" t="s">
        <v>401</v>
      </c>
      <c r="AE1329" t="s">
        <v>560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420</v>
      </c>
      <c r="E1330" t="s">
        <v>420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560</v>
      </c>
      <c r="AD1330" t="s">
        <v>402</v>
      </c>
      <c r="AE1330" t="s">
        <v>560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419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560</v>
      </c>
      <c r="AD1331" t="s">
        <v>420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475</v>
      </c>
      <c r="AD1332" t="s">
        <v>419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475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421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475</v>
      </c>
      <c r="AD1334" t="s">
        <v>401</v>
      </c>
      <c r="AE1334" t="s">
        <v>560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420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427</v>
      </c>
      <c r="AD1335" t="s">
        <v>136</v>
      </c>
      <c r="AE1335" t="s">
        <v>560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419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427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427</v>
      </c>
      <c r="AD1337" t="s">
        <v>401</v>
      </c>
      <c r="AE1337" t="s">
        <v>560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427</v>
      </c>
      <c r="AD1338" t="s">
        <v>421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560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421</v>
      </c>
      <c r="E1340" t="s">
        <v>421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423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423</v>
      </c>
      <c r="AD1341" t="s">
        <v>401</v>
      </c>
      <c r="AE1341" t="s">
        <v>560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421</v>
      </c>
      <c r="AC1342" t="s">
        <v>419</v>
      </c>
      <c r="AD1342" t="s">
        <v>421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421</v>
      </c>
      <c r="AC1343" t="s">
        <v>136</v>
      </c>
      <c r="AD1343" t="s">
        <v>136</v>
      </c>
      <c r="AE1343" t="s">
        <v>560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550</v>
      </c>
      <c r="E1344" t="s">
        <v>550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421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422</v>
      </c>
      <c r="E1345" t="s">
        <v>422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421</v>
      </c>
      <c r="AC1345" t="s">
        <v>136</v>
      </c>
      <c r="AD1345" t="s">
        <v>421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425</v>
      </c>
      <c r="E1346" t="s">
        <v>425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421</v>
      </c>
      <c r="AC1346" t="s">
        <v>136</v>
      </c>
      <c r="AD1346" t="s">
        <v>421</v>
      </c>
      <c r="AE1346" t="s">
        <v>560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420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421</v>
      </c>
      <c r="AC1347" t="s">
        <v>573</v>
      </c>
      <c r="AD1347" t="s">
        <v>421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420</v>
      </c>
      <c r="E1348" t="s">
        <v>420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421</v>
      </c>
      <c r="AC1348" t="s">
        <v>421</v>
      </c>
      <c r="AD1348" t="s">
        <v>136</v>
      </c>
      <c r="AE1348" t="s">
        <v>560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421</v>
      </c>
      <c r="AC1349" t="s">
        <v>421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421</v>
      </c>
      <c r="AC1350" t="s">
        <v>421</v>
      </c>
      <c r="AD1350" t="s">
        <v>421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421</v>
      </c>
      <c r="AC1351" t="s">
        <v>421</v>
      </c>
      <c r="AD1351" t="s">
        <v>421</v>
      </c>
      <c r="AE1351" t="s">
        <v>560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420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421</v>
      </c>
      <c r="AC1352" t="s">
        <v>422</v>
      </c>
      <c r="AD1352" t="s">
        <v>421</v>
      </c>
      <c r="AE1352" t="s">
        <v>560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421</v>
      </c>
      <c r="AC1353" t="s">
        <v>425</v>
      </c>
      <c r="AD1353" t="s">
        <v>421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421</v>
      </c>
      <c r="AC1354" t="s">
        <v>420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421</v>
      </c>
      <c r="E1355" t="s">
        <v>421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421</v>
      </c>
      <c r="AC1355" t="s">
        <v>420</v>
      </c>
      <c r="AD1355" t="s">
        <v>421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421</v>
      </c>
      <c r="AC1356" t="s">
        <v>560</v>
      </c>
      <c r="AD1356" t="s">
        <v>136</v>
      </c>
      <c r="AE1356" t="s">
        <v>560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421</v>
      </c>
      <c r="AC1357" t="s">
        <v>560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550</v>
      </c>
      <c r="E1358" t="s">
        <v>550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421</v>
      </c>
      <c r="AC1358" t="s">
        <v>560</v>
      </c>
      <c r="AD1358" t="s">
        <v>421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422</v>
      </c>
      <c r="E1359" t="s">
        <v>422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421</v>
      </c>
      <c r="AC1359" t="s">
        <v>560</v>
      </c>
      <c r="AD1359" t="s">
        <v>421</v>
      </c>
      <c r="AE1359" t="s">
        <v>560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425</v>
      </c>
      <c r="E1360" t="s">
        <v>425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421</v>
      </c>
      <c r="AC1360" t="s">
        <v>427</v>
      </c>
      <c r="AD1360" t="s">
        <v>421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420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571</v>
      </c>
      <c r="AD1361" t="s">
        <v>136</v>
      </c>
      <c r="AE1361" t="s">
        <v>560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420</v>
      </c>
      <c r="E1362" t="s">
        <v>420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571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571</v>
      </c>
      <c r="AD1363" t="s">
        <v>402</v>
      </c>
      <c r="AE1363" t="s">
        <v>560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419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550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419</v>
      </c>
      <c r="AD1365" t="s">
        <v>402</v>
      </c>
      <c r="AE1365" t="s">
        <v>560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420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560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421</v>
      </c>
      <c r="E1369" t="s">
        <v>421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550</v>
      </c>
      <c r="E1371" t="s">
        <v>550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560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422</v>
      </c>
      <c r="E1372" t="s">
        <v>422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572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425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573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425</v>
      </c>
      <c r="E1374" t="s">
        <v>425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573</v>
      </c>
      <c r="AD1374" t="s">
        <v>402</v>
      </c>
      <c r="AE1374" t="s">
        <v>560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420</v>
      </c>
      <c r="E1375" t="s">
        <v>420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421</v>
      </c>
      <c r="AD1375" t="s">
        <v>419</v>
      </c>
      <c r="AE1375" t="s">
        <v>560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421</v>
      </c>
      <c r="AD1376" t="s">
        <v>136</v>
      </c>
      <c r="AE1376" t="s">
        <v>560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421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421</v>
      </c>
      <c r="AD1378" t="s">
        <v>402</v>
      </c>
      <c r="AE1378" t="s">
        <v>560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420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560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421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560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421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560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421</v>
      </c>
      <c r="E1384" t="s">
        <v>421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421</v>
      </c>
      <c r="E1385" t="s">
        <v>425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560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572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550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572</v>
      </c>
      <c r="AE1387" t="s">
        <v>560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550</v>
      </c>
      <c r="E1388" t="s">
        <v>550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422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422</v>
      </c>
      <c r="E1389" t="s">
        <v>422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420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425</v>
      </c>
      <c r="E1390" t="s">
        <v>425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420</v>
      </c>
      <c r="AE1390" t="s">
        <v>560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420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572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420</v>
      </c>
      <c r="E1392" t="s">
        <v>420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572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420</v>
      </c>
      <c r="E1393" t="s">
        <v>475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572</v>
      </c>
      <c r="AD1393" t="s">
        <v>136</v>
      </c>
      <c r="AE1393" t="s">
        <v>560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475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572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572</v>
      </c>
      <c r="AD1395" t="s">
        <v>401</v>
      </c>
      <c r="AE1395" t="s">
        <v>560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572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572</v>
      </c>
      <c r="AD1397" t="s">
        <v>402</v>
      </c>
      <c r="AE1397" t="s">
        <v>560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419</v>
      </c>
      <c r="E1398" t="s">
        <v>419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572</v>
      </c>
      <c r="AD1398" t="s">
        <v>572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419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422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422</v>
      </c>
      <c r="AD1400" t="s">
        <v>402</v>
      </c>
      <c r="AE1400" t="s">
        <v>560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425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420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420</v>
      </c>
      <c r="AD1403" t="s">
        <v>400</v>
      </c>
      <c r="AE1403" t="s">
        <v>560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419</v>
      </c>
      <c r="E1404" t="s">
        <v>419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420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419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420</v>
      </c>
      <c r="AD1405" t="s">
        <v>136</v>
      </c>
      <c r="AE1405" t="s">
        <v>560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420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420</v>
      </c>
      <c r="AD1407" t="s">
        <v>402</v>
      </c>
      <c r="AE1407" t="s">
        <v>560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549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560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419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560</v>
      </c>
      <c r="AD1409" t="s">
        <v>136</v>
      </c>
      <c r="AE1409" t="s">
        <v>560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560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560</v>
      </c>
      <c r="AD1411" t="s">
        <v>402</v>
      </c>
      <c r="AE1411" t="s">
        <v>560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560</v>
      </c>
      <c r="AD1412" t="s">
        <v>572</v>
      </c>
      <c r="AE1412" t="s">
        <v>560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420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475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421</v>
      </c>
      <c r="E1414" t="s">
        <v>421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475</v>
      </c>
      <c r="AD1414" t="s">
        <v>402</v>
      </c>
      <c r="AE1414" t="s">
        <v>560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427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420</v>
      </c>
      <c r="E1416" t="s">
        <v>420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427</v>
      </c>
      <c r="AD1416" t="s">
        <v>421</v>
      </c>
      <c r="AE1416" t="s">
        <v>560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427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427</v>
      </c>
      <c r="AD1418" t="s">
        <v>402</v>
      </c>
      <c r="AE1418" t="s">
        <v>560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419</v>
      </c>
      <c r="E1419" t="s">
        <v>419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423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423</v>
      </c>
      <c r="AD1420" t="s">
        <v>402</v>
      </c>
      <c r="AE1420" t="s">
        <v>560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572</v>
      </c>
      <c r="AC1421" t="s">
        <v>419</v>
      </c>
      <c r="AD1421" t="s">
        <v>572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420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572</v>
      </c>
      <c r="AC1422" t="s">
        <v>419</v>
      </c>
      <c r="AD1422" t="s">
        <v>572</v>
      </c>
      <c r="AE1422" t="s">
        <v>560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572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421</v>
      </c>
      <c r="E1424" t="s">
        <v>421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572</v>
      </c>
      <c r="AC1424" t="s">
        <v>136</v>
      </c>
      <c r="AD1424" t="s">
        <v>136</v>
      </c>
      <c r="AE1424" t="s">
        <v>560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550</v>
      </c>
      <c r="E1425" t="s">
        <v>550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572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420</v>
      </c>
      <c r="E1426" t="s">
        <v>420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572</v>
      </c>
      <c r="AC1426" t="s">
        <v>136</v>
      </c>
      <c r="AD1426" t="s">
        <v>572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427</v>
      </c>
      <c r="E1427" t="s">
        <v>427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572</v>
      </c>
      <c r="AC1427" t="s">
        <v>136</v>
      </c>
      <c r="AD1427" t="s">
        <v>572</v>
      </c>
      <c r="AE1427" t="s">
        <v>560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572</v>
      </c>
      <c r="AC1428" t="s">
        <v>136</v>
      </c>
      <c r="AD1428" t="s">
        <v>420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421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572</v>
      </c>
      <c r="AC1429" t="s">
        <v>573</v>
      </c>
      <c r="AD1429" t="s">
        <v>572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420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572</v>
      </c>
      <c r="AC1430" t="s">
        <v>573</v>
      </c>
      <c r="AD1430" t="s">
        <v>572</v>
      </c>
      <c r="AE1430" t="s">
        <v>560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572</v>
      </c>
      <c r="AC1431" t="s">
        <v>421</v>
      </c>
      <c r="AD1431" t="s">
        <v>572</v>
      </c>
      <c r="AE1431" t="s">
        <v>560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421</v>
      </c>
      <c r="E1432" t="s">
        <v>421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572</v>
      </c>
      <c r="AC1432" t="s">
        <v>402</v>
      </c>
      <c r="AD1432" t="s">
        <v>572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550</v>
      </c>
      <c r="E1433" t="s">
        <v>550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572</v>
      </c>
      <c r="AC1433" t="s">
        <v>402</v>
      </c>
      <c r="AD1433" t="s">
        <v>572</v>
      </c>
      <c r="AE1433" t="s">
        <v>560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425</v>
      </c>
      <c r="E1434" t="s">
        <v>425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572</v>
      </c>
      <c r="AC1434" t="s">
        <v>572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420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572</v>
      </c>
      <c r="AC1435" t="s">
        <v>572</v>
      </c>
      <c r="AD1435" t="s">
        <v>136</v>
      </c>
      <c r="AE1435" t="s">
        <v>560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420</v>
      </c>
      <c r="E1436" t="s">
        <v>420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572</v>
      </c>
      <c r="AC1436" t="s">
        <v>572</v>
      </c>
      <c r="AD1436" t="s">
        <v>572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427</v>
      </c>
      <c r="E1437" t="s">
        <v>427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572</v>
      </c>
      <c r="AC1437" t="s">
        <v>572</v>
      </c>
      <c r="AD1437" t="s">
        <v>572</v>
      </c>
      <c r="AE1437" t="s">
        <v>560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572</v>
      </c>
      <c r="AC1438" t="s">
        <v>425</v>
      </c>
      <c r="AD1438" t="s">
        <v>572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572</v>
      </c>
      <c r="AC1439" t="s">
        <v>420</v>
      </c>
      <c r="AD1439" t="s">
        <v>136</v>
      </c>
      <c r="AE1439" t="s">
        <v>560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421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572</v>
      </c>
      <c r="AC1440" t="s">
        <v>420</v>
      </c>
      <c r="AD1440" t="s">
        <v>572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420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572</v>
      </c>
      <c r="AC1441" t="s">
        <v>560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572</v>
      </c>
      <c r="AC1442" t="s">
        <v>560</v>
      </c>
      <c r="AD1442" t="s">
        <v>136</v>
      </c>
      <c r="AE1442" t="s">
        <v>560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572</v>
      </c>
      <c r="AC1443" t="s">
        <v>560</v>
      </c>
      <c r="AD1443" t="s">
        <v>421</v>
      </c>
      <c r="AE1443" t="s">
        <v>560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421</v>
      </c>
      <c r="E1444" t="s">
        <v>421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572</v>
      </c>
      <c r="AC1444" t="s">
        <v>560</v>
      </c>
      <c r="AD1444" t="s">
        <v>572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550</v>
      </c>
      <c r="E1445" t="s">
        <v>550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572</v>
      </c>
      <c r="AC1445" t="s">
        <v>560</v>
      </c>
      <c r="AD1445" t="s">
        <v>572</v>
      </c>
      <c r="AE1445" t="s">
        <v>560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422</v>
      </c>
      <c r="E1446" t="s">
        <v>422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572</v>
      </c>
      <c r="AC1446" t="s">
        <v>560</v>
      </c>
      <c r="AD1446" t="s">
        <v>422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425</v>
      </c>
      <c r="E1447" t="s">
        <v>425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572</v>
      </c>
      <c r="AC1447" t="s">
        <v>560</v>
      </c>
      <c r="AD1447" t="s">
        <v>420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420</v>
      </c>
      <c r="E1448" t="s">
        <v>420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422</v>
      </c>
      <c r="AC1448" t="s">
        <v>136</v>
      </c>
      <c r="AD1448" t="s">
        <v>571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422</v>
      </c>
      <c r="AC1449" t="s">
        <v>136</v>
      </c>
      <c r="AD1449" t="s">
        <v>422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420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422</v>
      </c>
      <c r="AC1450" t="s">
        <v>573</v>
      </c>
      <c r="AD1450" t="s">
        <v>422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419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422</v>
      </c>
      <c r="AC1451" t="s">
        <v>573</v>
      </c>
      <c r="AD1451" t="s">
        <v>420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422</v>
      </c>
      <c r="AC1452" t="s">
        <v>421</v>
      </c>
      <c r="AD1452" t="s">
        <v>422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422</v>
      </c>
      <c r="AC1453" t="s">
        <v>422</v>
      </c>
      <c r="AD1453" t="s">
        <v>422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421</v>
      </c>
      <c r="E1454" t="s">
        <v>421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422</v>
      </c>
      <c r="AC1454" t="s">
        <v>422</v>
      </c>
      <c r="AD1454" t="s">
        <v>422</v>
      </c>
      <c r="AE1454" t="s">
        <v>560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550</v>
      </c>
      <c r="E1455" t="s">
        <v>550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422</v>
      </c>
      <c r="AC1455" t="s">
        <v>560</v>
      </c>
      <c r="AD1455" t="s">
        <v>422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420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422</v>
      </c>
      <c r="AC1456" t="s">
        <v>560</v>
      </c>
      <c r="AD1456" t="s">
        <v>422</v>
      </c>
      <c r="AE1456" t="s">
        <v>560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420</v>
      </c>
      <c r="E1457" t="s">
        <v>420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422</v>
      </c>
      <c r="AC1457" t="s">
        <v>427</v>
      </c>
      <c r="AD1457" t="s">
        <v>427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425</v>
      </c>
      <c r="AC1458" t="s">
        <v>419</v>
      </c>
      <c r="AD1458" t="s">
        <v>425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425</v>
      </c>
      <c r="AC1459" t="s">
        <v>136</v>
      </c>
      <c r="AD1459" t="s">
        <v>136</v>
      </c>
      <c r="AE1459" t="s">
        <v>560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425</v>
      </c>
      <c r="AC1460" t="s">
        <v>136</v>
      </c>
      <c r="AD1460" t="s">
        <v>425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425</v>
      </c>
      <c r="AC1461" t="s">
        <v>573</v>
      </c>
      <c r="AD1461" t="s">
        <v>425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425</v>
      </c>
      <c r="AC1462" t="s">
        <v>421</v>
      </c>
      <c r="AD1462" t="s">
        <v>425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425</v>
      </c>
      <c r="AC1463" t="s">
        <v>422</v>
      </c>
      <c r="AD1463" t="s">
        <v>425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425</v>
      </c>
      <c r="AC1464" t="s">
        <v>425</v>
      </c>
      <c r="AD1464" t="s">
        <v>425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425</v>
      </c>
      <c r="AC1465" t="s">
        <v>425</v>
      </c>
      <c r="AD1465" t="s">
        <v>425</v>
      </c>
      <c r="AE1465" t="s">
        <v>560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425</v>
      </c>
      <c r="AC1466" t="s">
        <v>560</v>
      </c>
      <c r="AD1466" t="s">
        <v>136</v>
      </c>
      <c r="AE1466" t="s">
        <v>560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425</v>
      </c>
      <c r="AC1467" t="s">
        <v>560</v>
      </c>
      <c r="AD1467" t="s">
        <v>425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425</v>
      </c>
      <c r="AC1468" t="s">
        <v>560</v>
      </c>
      <c r="AD1468" t="s">
        <v>425</v>
      </c>
      <c r="AE1468" t="s">
        <v>560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425</v>
      </c>
      <c r="AC1469" t="s">
        <v>427</v>
      </c>
      <c r="AD1469" t="s">
        <v>425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420</v>
      </c>
      <c r="AC1470" t="s">
        <v>419</v>
      </c>
      <c r="AD1470" t="s">
        <v>420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420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420</v>
      </c>
      <c r="AC1472" t="s">
        <v>136</v>
      </c>
      <c r="AD1472" t="s">
        <v>136</v>
      </c>
      <c r="AE1472" t="s">
        <v>560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420</v>
      </c>
      <c r="AC1473" t="s">
        <v>136</v>
      </c>
      <c r="AD1473" t="s">
        <v>421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420</v>
      </c>
      <c r="AC1474" t="s">
        <v>136</v>
      </c>
      <c r="AD1474" t="s">
        <v>420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421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420</v>
      </c>
      <c r="AC1475" t="s">
        <v>136</v>
      </c>
      <c r="AD1475" t="s">
        <v>420</v>
      </c>
      <c r="AE1475" t="s">
        <v>560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550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420</v>
      </c>
      <c r="AC1476" t="s">
        <v>136</v>
      </c>
      <c r="AD1476" t="s">
        <v>475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420</v>
      </c>
      <c r="AC1477" t="s">
        <v>573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420</v>
      </c>
      <c r="AC1478" t="s">
        <v>573</v>
      </c>
      <c r="AD1478" t="s">
        <v>401</v>
      </c>
      <c r="AE1478" t="s">
        <v>560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420</v>
      </c>
      <c r="AC1479" t="s">
        <v>573</v>
      </c>
      <c r="AD1479" t="s">
        <v>420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419</v>
      </c>
      <c r="E1480" t="s">
        <v>419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420</v>
      </c>
      <c r="AC1480" t="s">
        <v>573</v>
      </c>
      <c r="AD1480" t="s">
        <v>420</v>
      </c>
      <c r="AE1480" t="s">
        <v>560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419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420</v>
      </c>
      <c r="AC1481" t="s">
        <v>421</v>
      </c>
      <c r="AD1481" t="s">
        <v>136</v>
      </c>
      <c r="AE1481" t="s">
        <v>560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420</v>
      </c>
      <c r="AC1482" t="s">
        <v>421</v>
      </c>
      <c r="AD1482" t="s">
        <v>420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420</v>
      </c>
      <c r="AC1483" t="s">
        <v>421</v>
      </c>
      <c r="AD1483" t="s">
        <v>420</v>
      </c>
      <c r="AE1483" t="s">
        <v>560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420</v>
      </c>
      <c r="AC1484" t="s">
        <v>402</v>
      </c>
      <c r="AD1484" t="s">
        <v>420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419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420</v>
      </c>
      <c r="AC1485" t="s">
        <v>402</v>
      </c>
      <c r="AD1485" t="s">
        <v>420</v>
      </c>
      <c r="AE1485" t="s">
        <v>560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420</v>
      </c>
      <c r="AC1486" t="s">
        <v>572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420</v>
      </c>
      <c r="AC1487" t="s">
        <v>572</v>
      </c>
      <c r="AD1487" t="s">
        <v>420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421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420</v>
      </c>
      <c r="AC1488" t="s">
        <v>572</v>
      </c>
      <c r="AD1488" t="s">
        <v>420</v>
      </c>
      <c r="AE1488" t="s">
        <v>560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420</v>
      </c>
      <c r="AC1489" t="s">
        <v>425</v>
      </c>
      <c r="AD1489" t="s">
        <v>420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420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420</v>
      </c>
      <c r="AC1490" t="s">
        <v>420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421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420</v>
      </c>
      <c r="AC1491" t="s">
        <v>420</v>
      </c>
      <c r="AD1491" t="s">
        <v>136</v>
      </c>
      <c r="AE1491" t="s">
        <v>560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421</v>
      </c>
      <c r="E1492" t="s">
        <v>421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420</v>
      </c>
      <c r="AC1492" t="s">
        <v>420</v>
      </c>
      <c r="AD1492" t="s">
        <v>420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420</v>
      </c>
      <c r="AC1493" t="s">
        <v>420</v>
      </c>
      <c r="AD1493" t="s">
        <v>420</v>
      </c>
      <c r="AE1493" t="s">
        <v>560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420</v>
      </c>
      <c r="AC1494" t="s">
        <v>420</v>
      </c>
      <c r="AD1494" t="s">
        <v>475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420</v>
      </c>
      <c r="AC1495" t="s">
        <v>560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420</v>
      </c>
      <c r="AC1496" t="s">
        <v>560</v>
      </c>
      <c r="AD1496" t="s">
        <v>136</v>
      </c>
      <c r="AE1496" t="s">
        <v>560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420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420</v>
      </c>
      <c r="AC1497" t="s">
        <v>560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420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420</v>
      </c>
      <c r="AC1498" t="s">
        <v>560</v>
      </c>
      <c r="AD1498" t="s">
        <v>420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420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420</v>
      </c>
      <c r="AC1499" t="s">
        <v>560</v>
      </c>
      <c r="AD1499" t="s">
        <v>420</v>
      </c>
      <c r="AE1499" t="s">
        <v>560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420</v>
      </c>
      <c r="E1500" t="s">
        <v>420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420</v>
      </c>
      <c r="AC1500" t="s">
        <v>475</v>
      </c>
      <c r="AD1500" t="s">
        <v>420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420</v>
      </c>
      <c r="AC1501" t="s">
        <v>427</v>
      </c>
      <c r="AD1501" t="s">
        <v>420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423</v>
      </c>
      <c r="E1502" t="s">
        <v>423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420</v>
      </c>
      <c r="AC1502" t="s">
        <v>423</v>
      </c>
      <c r="AD1502" t="s">
        <v>420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419</v>
      </c>
      <c r="E1503" t="s">
        <v>419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475</v>
      </c>
      <c r="AC1503" t="s">
        <v>420</v>
      </c>
      <c r="AD1503" t="s">
        <v>420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419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475</v>
      </c>
      <c r="AC1504" t="s">
        <v>560</v>
      </c>
      <c r="AD1504" t="s">
        <v>420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427</v>
      </c>
      <c r="AC1505" t="s">
        <v>136</v>
      </c>
      <c r="AD1505" t="s">
        <v>136</v>
      </c>
      <c r="AE1505" t="s">
        <v>560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427</v>
      </c>
      <c r="AC1506" t="s">
        <v>136</v>
      </c>
      <c r="AD1506" t="s">
        <v>427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550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427</v>
      </c>
      <c r="AC1507" t="s">
        <v>421</v>
      </c>
      <c r="AD1507" t="s">
        <v>427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420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427</v>
      </c>
      <c r="AC1508" t="s">
        <v>421</v>
      </c>
      <c r="AD1508" t="s">
        <v>427</v>
      </c>
      <c r="AE1508" t="s">
        <v>560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427</v>
      </c>
      <c r="AC1509" t="s">
        <v>420</v>
      </c>
      <c r="AD1509" t="s">
        <v>427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427</v>
      </c>
      <c r="AC1510" t="s">
        <v>560</v>
      </c>
      <c r="AD1510" t="s">
        <v>136</v>
      </c>
      <c r="AE1510" t="s">
        <v>560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421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427</v>
      </c>
      <c r="AC1511" t="s">
        <v>560</v>
      </c>
      <c r="AD1511" t="s">
        <v>427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420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427</v>
      </c>
      <c r="AC1512" t="s">
        <v>427</v>
      </c>
      <c r="AD1512" t="s">
        <v>427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421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573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421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572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421</v>
      </c>
      <c r="E1515" t="s">
        <v>421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420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420</v>
      </c>
      <c r="AD1516" t="s">
        <v>403</v>
      </c>
      <c r="AE1516" t="s">
        <v>560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560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421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423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423</v>
      </c>
      <c r="AC1519" t="s">
        <v>572</v>
      </c>
      <c r="AD1519" t="s">
        <v>136</v>
      </c>
      <c r="AE1519" t="s">
        <v>560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550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423</v>
      </c>
      <c r="AC1520" t="s">
        <v>420</v>
      </c>
      <c r="AD1520" t="s">
        <v>423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550</v>
      </c>
      <c r="E1521" t="s">
        <v>550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423</v>
      </c>
      <c r="AC1521" t="s">
        <v>420</v>
      </c>
      <c r="AD1521" t="s">
        <v>423</v>
      </c>
      <c r="AE1521" t="s">
        <v>560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420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423</v>
      </c>
      <c r="AC1522" t="s">
        <v>560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420</v>
      </c>
      <c r="E1523" t="s">
        <v>420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423</v>
      </c>
      <c r="AC1523" t="s">
        <v>560</v>
      </c>
      <c r="AD1523" t="s">
        <v>423</v>
      </c>
      <c r="AE1523" t="s">
        <v>560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560</v>
      </c>
      <c r="AE1524" t="s">
        <v>560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423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571</v>
      </c>
      <c r="AC1525" t="s">
        <v>560</v>
      </c>
      <c r="AD1525" t="s">
        <v>571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423</v>
      </c>
      <c r="E1526" t="s">
        <v>423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420</v>
      </c>
      <c r="AD1526" t="s">
        <v>136</v>
      </c>
      <c r="AE1526" t="s">
        <v>560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419</v>
      </c>
      <c r="AC1527" t="s">
        <v>419</v>
      </c>
      <c r="AD1527" t="s">
        <v>419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419</v>
      </c>
      <c r="E1528" t="s">
        <v>419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419</v>
      </c>
      <c r="AC1528" t="s">
        <v>419</v>
      </c>
      <c r="AD1528" t="s">
        <v>419</v>
      </c>
      <c r="AE1528" t="s">
        <v>560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419</v>
      </c>
      <c r="AC1529" t="s">
        <v>136</v>
      </c>
      <c r="AD1529" t="s">
        <v>419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419</v>
      </c>
      <c r="AC1530" t="s">
        <v>136</v>
      </c>
      <c r="AD1530" t="s">
        <v>419</v>
      </c>
      <c r="AE1530" t="s">
        <v>560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421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419</v>
      </c>
      <c r="AC1531" t="s">
        <v>136</v>
      </c>
      <c r="AD1531" t="s">
        <v>136</v>
      </c>
      <c r="AE1531" t="s">
        <v>560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550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419</v>
      </c>
      <c r="AC1532" t="s">
        <v>421</v>
      </c>
      <c r="AD1532" t="s">
        <v>419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425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419</v>
      </c>
      <c r="AC1533" t="s">
        <v>421</v>
      </c>
      <c r="AD1533" t="s">
        <v>419</v>
      </c>
      <c r="AE1533" t="s">
        <v>560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420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419</v>
      </c>
      <c r="AC1534" t="s">
        <v>572</v>
      </c>
      <c r="AD1534" t="s">
        <v>419</v>
      </c>
      <c r="AE1534" t="s">
        <v>560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419</v>
      </c>
      <c r="AC1535" t="s">
        <v>572</v>
      </c>
      <c r="AD1535" t="s">
        <v>136</v>
      </c>
      <c r="AE1535" t="s">
        <v>560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419</v>
      </c>
      <c r="AC1536" t="s">
        <v>420</v>
      </c>
      <c r="AD1536" t="s">
        <v>419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421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419</v>
      </c>
      <c r="AC1537" t="s">
        <v>420</v>
      </c>
      <c r="AD1537" t="s">
        <v>419</v>
      </c>
      <c r="AE1537" t="s">
        <v>560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420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419</v>
      </c>
      <c r="AC1538" t="s">
        <v>560</v>
      </c>
      <c r="AD1538" t="s">
        <v>419</v>
      </c>
      <c r="AE1538" t="s">
        <v>560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421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419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421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421</v>
      </c>
      <c r="E1541" t="s">
        <v>421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560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421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572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420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420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420</v>
      </c>
      <c r="AD1546" t="s">
        <v>400</v>
      </c>
      <c r="AE1546" t="s">
        <v>560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550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560</v>
      </c>
      <c r="AD1547" t="s">
        <v>400</v>
      </c>
      <c r="AE1547" t="s">
        <v>560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550</v>
      </c>
      <c r="E1548" t="s">
        <v>421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571</v>
      </c>
      <c r="AD1548" t="s">
        <v>571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550</v>
      </c>
      <c r="E1549" t="s">
        <v>550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571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420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419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420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419</v>
      </c>
      <c r="AD1551" t="s">
        <v>136</v>
      </c>
      <c r="AE1551" t="s">
        <v>560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420</v>
      </c>
      <c r="E1552" t="s">
        <v>420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560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423</v>
      </c>
      <c r="E1553" t="s">
        <v>423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560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549</v>
      </c>
      <c r="E1555" t="s">
        <v>549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420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419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420</v>
      </c>
      <c r="AE1556" t="s">
        <v>560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573</v>
      </c>
      <c r="AD1557" t="s">
        <v>136</v>
      </c>
      <c r="AE1557" t="s">
        <v>560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573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421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573</v>
      </c>
      <c r="AD1559" t="s">
        <v>401</v>
      </c>
      <c r="AE1559" t="s">
        <v>560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550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421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420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421</v>
      </c>
      <c r="AD1561" t="s">
        <v>136</v>
      </c>
      <c r="AE1561" t="s">
        <v>560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419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421</v>
      </c>
      <c r="AD1562" t="s">
        <v>401</v>
      </c>
      <c r="AE1562" t="s">
        <v>560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421</v>
      </c>
      <c r="AD1563" t="s">
        <v>421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421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560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421</v>
      </c>
      <c r="E1566" t="s">
        <v>421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560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572</v>
      </c>
      <c r="AD1568" t="s">
        <v>398</v>
      </c>
      <c r="AE1568" t="s">
        <v>560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550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572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550</v>
      </c>
      <c r="E1570" t="s">
        <v>550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572</v>
      </c>
      <c r="AD1570" t="s">
        <v>136</v>
      </c>
      <c r="AE1570" t="s">
        <v>560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425</v>
      </c>
      <c r="E1571" t="s">
        <v>425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572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420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572</v>
      </c>
      <c r="AD1572" t="s">
        <v>402</v>
      </c>
      <c r="AE1572" t="s">
        <v>560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420</v>
      </c>
      <c r="E1573" t="s">
        <v>420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572</v>
      </c>
      <c r="AD1573" t="s">
        <v>572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427</v>
      </c>
      <c r="E1574" t="s">
        <v>427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572</v>
      </c>
      <c r="AD1574" t="s">
        <v>572</v>
      </c>
      <c r="AE1574" t="s">
        <v>560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422</v>
      </c>
      <c r="AD1575" t="s">
        <v>136</v>
      </c>
      <c r="AE1575" t="s">
        <v>560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419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425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425</v>
      </c>
      <c r="AD1577" t="s">
        <v>136</v>
      </c>
      <c r="AE1577" t="s">
        <v>560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425</v>
      </c>
      <c r="AD1578" t="s">
        <v>425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425</v>
      </c>
      <c r="AD1579" t="s">
        <v>425</v>
      </c>
      <c r="AE1579" t="s">
        <v>560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420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550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420</v>
      </c>
      <c r="AD1581" t="s">
        <v>136</v>
      </c>
      <c r="AE1581" t="s">
        <v>560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420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420</v>
      </c>
      <c r="AD1582" t="s">
        <v>401</v>
      </c>
      <c r="AE1582" t="s">
        <v>560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420</v>
      </c>
      <c r="AD1583" t="s">
        <v>425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420</v>
      </c>
      <c r="AD1584" t="s">
        <v>420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420</v>
      </c>
      <c r="AD1585" t="s">
        <v>420</v>
      </c>
      <c r="AE1585" t="s">
        <v>560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421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560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421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560</v>
      </c>
      <c r="AD1587" t="s">
        <v>136</v>
      </c>
      <c r="AE1587" t="s">
        <v>560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421</v>
      </c>
      <c r="E1588" t="s">
        <v>421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560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427</v>
      </c>
      <c r="AD1589" t="s">
        <v>136</v>
      </c>
      <c r="AE1589" t="s">
        <v>560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571</v>
      </c>
      <c r="AD1590" t="s">
        <v>136</v>
      </c>
      <c r="AE1590" t="s">
        <v>560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550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571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550</v>
      </c>
      <c r="E1592" t="s">
        <v>550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571</v>
      </c>
      <c r="AD1592" t="s">
        <v>401</v>
      </c>
      <c r="AE1592" t="s">
        <v>560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420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419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420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419</v>
      </c>
      <c r="AD1594" t="s">
        <v>401</v>
      </c>
      <c r="AE1594" t="s">
        <v>560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420</v>
      </c>
      <c r="E1595" t="s">
        <v>420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427</v>
      </c>
      <c r="E1596" t="s">
        <v>427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560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560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421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573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573</v>
      </c>
      <c r="AD1602" t="s">
        <v>401</v>
      </c>
      <c r="AE1602" t="s">
        <v>560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573</v>
      </c>
      <c r="AD1603" t="s">
        <v>420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421</v>
      </c>
      <c r="AD1604" t="s">
        <v>136</v>
      </c>
      <c r="AE1604" t="s">
        <v>560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421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421</v>
      </c>
      <c r="AD1606" t="s">
        <v>401</v>
      </c>
      <c r="AE1606" t="s">
        <v>560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560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424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560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572</v>
      </c>
      <c r="AD1610" t="s">
        <v>419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572</v>
      </c>
      <c r="AD1611" t="s">
        <v>136</v>
      </c>
      <c r="AE1611" t="s">
        <v>560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572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572</v>
      </c>
      <c r="AD1613" t="s">
        <v>401</v>
      </c>
      <c r="AE1613" t="s">
        <v>560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419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572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572</v>
      </c>
      <c r="AD1615" t="s">
        <v>420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422</v>
      </c>
      <c r="AD1616" t="s">
        <v>136</v>
      </c>
      <c r="AE1616" t="s">
        <v>560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422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422</v>
      </c>
      <c r="AD1618" t="s">
        <v>401</v>
      </c>
      <c r="AE1618" t="s">
        <v>560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422</v>
      </c>
      <c r="AD1619" t="s">
        <v>422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422</v>
      </c>
      <c r="E1620" t="s">
        <v>422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425</v>
      </c>
      <c r="AD1620" t="s">
        <v>136</v>
      </c>
      <c r="AE1620" t="s">
        <v>560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420</v>
      </c>
      <c r="E1621" t="s">
        <v>420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425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425</v>
      </c>
      <c r="AD1622" t="s">
        <v>401</v>
      </c>
      <c r="AE1622" t="s">
        <v>560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420</v>
      </c>
      <c r="AD1623" t="s">
        <v>400</v>
      </c>
      <c r="AE1623" t="s">
        <v>560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423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420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419</v>
      </c>
      <c r="E1625" t="s">
        <v>419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420</v>
      </c>
      <c r="AD1625" t="s">
        <v>136</v>
      </c>
      <c r="AE1625" t="s">
        <v>560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420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420</v>
      </c>
      <c r="AD1627" t="s">
        <v>401</v>
      </c>
      <c r="AE1627" t="s">
        <v>560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420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420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420</v>
      </c>
      <c r="AD1629" t="s">
        <v>420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560</v>
      </c>
      <c r="AD1630" t="s">
        <v>136</v>
      </c>
      <c r="AE1630" t="s">
        <v>560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421</v>
      </c>
      <c r="E1631" t="s">
        <v>421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560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550</v>
      </c>
      <c r="E1632" t="s">
        <v>550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560</v>
      </c>
      <c r="AD1632" t="s">
        <v>401</v>
      </c>
      <c r="AE1632" t="s">
        <v>560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420</v>
      </c>
      <c r="E1633" t="s">
        <v>420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475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427</v>
      </c>
      <c r="AD1634" t="s">
        <v>136</v>
      </c>
      <c r="AE1634" t="s">
        <v>560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427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420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427</v>
      </c>
      <c r="AD1636" t="s">
        <v>401</v>
      </c>
      <c r="AE1636" t="s">
        <v>560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423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421</v>
      </c>
      <c r="AC1638" t="s">
        <v>136</v>
      </c>
      <c r="AD1638" t="s">
        <v>136</v>
      </c>
      <c r="AE1638" t="s">
        <v>560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421</v>
      </c>
      <c r="E1639" t="s">
        <v>421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421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422</v>
      </c>
      <c r="E1640" t="s">
        <v>422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421</v>
      </c>
      <c r="AC1640" t="s">
        <v>136</v>
      </c>
      <c r="AD1640" t="s">
        <v>421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420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421</v>
      </c>
      <c r="AC1641" t="s">
        <v>136</v>
      </c>
      <c r="AD1641" t="s">
        <v>421</v>
      </c>
      <c r="AE1641" t="s">
        <v>560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420</v>
      </c>
      <c r="E1642" t="s">
        <v>420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421</v>
      </c>
      <c r="AC1642" t="s">
        <v>573</v>
      </c>
      <c r="AD1642" t="s">
        <v>421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427</v>
      </c>
      <c r="E1643" t="s">
        <v>427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421</v>
      </c>
      <c r="AC1643" t="s">
        <v>421</v>
      </c>
      <c r="AD1643" t="s">
        <v>136</v>
      </c>
      <c r="AE1643" t="s">
        <v>560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421</v>
      </c>
      <c r="AC1644" t="s">
        <v>421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423</v>
      </c>
      <c r="E1645" t="s">
        <v>423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421</v>
      </c>
      <c r="AC1645" t="s">
        <v>421</v>
      </c>
      <c r="AD1645" t="s">
        <v>401</v>
      </c>
      <c r="AE1645" t="s">
        <v>560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421</v>
      </c>
      <c r="AC1646" t="s">
        <v>421</v>
      </c>
      <c r="AD1646" t="s">
        <v>421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421</v>
      </c>
      <c r="AC1647" t="s">
        <v>421</v>
      </c>
      <c r="AD1647" t="s">
        <v>421</v>
      </c>
      <c r="AE1647" t="s">
        <v>560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421</v>
      </c>
      <c r="AC1648" t="s">
        <v>572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420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421</v>
      </c>
      <c r="AC1649" t="s">
        <v>420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421</v>
      </c>
      <c r="AC1650" t="s">
        <v>420</v>
      </c>
      <c r="AD1650" t="s">
        <v>421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421</v>
      </c>
      <c r="AC1651" t="s">
        <v>560</v>
      </c>
      <c r="AD1651" t="s">
        <v>136</v>
      </c>
      <c r="AE1651" t="s">
        <v>560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421</v>
      </c>
      <c r="E1652" t="s">
        <v>421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421</v>
      </c>
      <c r="AC1652" t="s">
        <v>560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425</v>
      </c>
      <c r="E1653" t="s">
        <v>425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421</v>
      </c>
      <c r="AC1653" t="s">
        <v>560</v>
      </c>
      <c r="AD1653" t="s">
        <v>421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420</v>
      </c>
      <c r="E1654" t="s">
        <v>420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421</v>
      </c>
      <c r="AC1654" t="s">
        <v>560</v>
      </c>
      <c r="AD1654" t="s">
        <v>421</v>
      </c>
      <c r="AE1654" t="s">
        <v>560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421</v>
      </c>
      <c r="AC1655" t="s">
        <v>427</v>
      </c>
      <c r="AD1655" t="s">
        <v>421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419</v>
      </c>
      <c r="E1656" t="s">
        <v>419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571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571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571</v>
      </c>
      <c r="AD1658" t="s">
        <v>402</v>
      </c>
      <c r="AE1658" t="s">
        <v>560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420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419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560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421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420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560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421</v>
      </c>
      <c r="E1663" t="s">
        <v>421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422</v>
      </c>
      <c r="E1664" t="s">
        <v>422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560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425</v>
      </c>
      <c r="E1665" t="s">
        <v>425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572</v>
      </c>
      <c r="AE1665" t="s">
        <v>560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420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573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420</v>
      </c>
      <c r="E1667" t="s">
        <v>420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573</v>
      </c>
      <c r="AD1667" t="s">
        <v>402</v>
      </c>
      <c r="AE1667" t="s">
        <v>560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427</v>
      </c>
      <c r="E1668" t="s">
        <v>427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421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421</v>
      </c>
      <c r="AD1669" t="s">
        <v>136</v>
      </c>
      <c r="AE1669" t="s">
        <v>560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421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421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421</v>
      </c>
      <c r="AD1672" t="s">
        <v>402</v>
      </c>
      <c r="AE1672" t="s">
        <v>560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560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421</v>
      </c>
      <c r="AE1676" t="s">
        <v>560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560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420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572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572</v>
      </c>
      <c r="AD1681" t="s">
        <v>136</v>
      </c>
      <c r="AE1681" t="s">
        <v>560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572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572</v>
      </c>
      <c r="AD1683" t="s">
        <v>401</v>
      </c>
      <c r="AE1683" t="s">
        <v>560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572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572</v>
      </c>
      <c r="AD1685" t="s">
        <v>402</v>
      </c>
      <c r="AE1685" t="s">
        <v>560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419</v>
      </c>
      <c r="E1686" t="s">
        <v>419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422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422</v>
      </c>
      <c r="AD1687" t="s">
        <v>402</v>
      </c>
      <c r="AE1687" t="s">
        <v>560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420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420</v>
      </c>
      <c r="AD1689" t="s">
        <v>136</v>
      </c>
      <c r="AE1689" t="s">
        <v>560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420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420</v>
      </c>
      <c r="AD1691" t="s">
        <v>402</v>
      </c>
      <c r="AE1691" t="s">
        <v>560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560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419</v>
      </c>
      <c r="E1693" t="s">
        <v>419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560</v>
      </c>
      <c r="AD1693" t="s">
        <v>136</v>
      </c>
      <c r="AE1693" t="s">
        <v>560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419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560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560</v>
      </c>
      <c r="AD1695" t="s">
        <v>402</v>
      </c>
      <c r="AE1695" t="s">
        <v>560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560</v>
      </c>
      <c r="AD1696" t="s">
        <v>420</v>
      </c>
      <c r="AE1696" t="s">
        <v>560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427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427</v>
      </c>
      <c r="AD1698" t="s">
        <v>402</v>
      </c>
      <c r="AE1698" t="s">
        <v>560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421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572</v>
      </c>
      <c r="AC1699" t="s">
        <v>400</v>
      </c>
      <c r="AD1699" t="s">
        <v>572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572</v>
      </c>
      <c r="AC1700" t="s">
        <v>136</v>
      </c>
      <c r="AD1700" t="s">
        <v>136</v>
      </c>
      <c r="AE1700" t="s">
        <v>560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572</v>
      </c>
      <c r="AC1701" t="s">
        <v>136</v>
      </c>
      <c r="AD1701" t="s">
        <v>572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572</v>
      </c>
      <c r="AC1702" t="s">
        <v>136</v>
      </c>
      <c r="AD1702" t="s">
        <v>572</v>
      </c>
      <c r="AE1702" t="s">
        <v>560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572</v>
      </c>
      <c r="AC1703" t="s">
        <v>573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550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572</v>
      </c>
      <c r="AC1704" t="s">
        <v>573</v>
      </c>
      <c r="AD1704" t="s">
        <v>572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420</v>
      </c>
      <c r="E1705" t="s">
        <v>420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572</v>
      </c>
      <c r="AC1705" t="s">
        <v>573</v>
      </c>
      <c r="AD1705" t="s">
        <v>572</v>
      </c>
      <c r="AE1705" t="s">
        <v>560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572</v>
      </c>
      <c r="AC1706" t="s">
        <v>402</v>
      </c>
      <c r="AD1706" t="s">
        <v>572</v>
      </c>
      <c r="AE1706" t="s">
        <v>560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572</v>
      </c>
      <c r="AC1707" t="s">
        <v>572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572</v>
      </c>
      <c r="AC1708" t="s">
        <v>572</v>
      </c>
      <c r="AD1708" t="s">
        <v>136</v>
      </c>
      <c r="AE1708" t="s">
        <v>560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572</v>
      </c>
      <c r="AC1709" t="s">
        <v>572</v>
      </c>
      <c r="AD1709" t="s">
        <v>572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419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572</v>
      </c>
      <c r="AC1710" t="s">
        <v>572</v>
      </c>
      <c r="AD1710" t="s">
        <v>572</v>
      </c>
      <c r="AE1710" t="s">
        <v>560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572</v>
      </c>
      <c r="AC1711" t="s">
        <v>572</v>
      </c>
      <c r="AD1711" t="s">
        <v>422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572</v>
      </c>
      <c r="AC1712" t="s">
        <v>572</v>
      </c>
      <c r="AD1712" t="s">
        <v>425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421</v>
      </c>
      <c r="E1713" t="s">
        <v>421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572</v>
      </c>
      <c r="AC1713" t="s">
        <v>420</v>
      </c>
      <c r="AD1713" t="s">
        <v>572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572</v>
      </c>
      <c r="AC1714" t="s">
        <v>560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572</v>
      </c>
      <c r="AC1715" t="s">
        <v>560</v>
      </c>
      <c r="AD1715" t="s">
        <v>136</v>
      </c>
      <c r="AE1715" t="s">
        <v>560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421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572</v>
      </c>
      <c r="AC1716" t="s">
        <v>560</v>
      </c>
      <c r="AD1716" t="s">
        <v>572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572</v>
      </c>
      <c r="AC1717" t="s">
        <v>560</v>
      </c>
      <c r="AD1717" t="s">
        <v>572</v>
      </c>
      <c r="AE1717" t="s">
        <v>560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550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572</v>
      </c>
      <c r="AC1718" t="s">
        <v>427</v>
      </c>
      <c r="AD1718" t="s">
        <v>572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550</v>
      </c>
      <c r="E1719" t="s">
        <v>550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422</v>
      </c>
      <c r="AC1719" t="s">
        <v>136</v>
      </c>
      <c r="AD1719" t="s">
        <v>422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420</v>
      </c>
      <c r="E1720" t="s">
        <v>420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422</v>
      </c>
      <c r="AC1720" t="s">
        <v>421</v>
      </c>
      <c r="AD1720" t="s">
        <v>422</v>
      </c>
      <c r="AE1720" t="s">
        <v>560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422</v>
      </c>
      <c r="AC1721" t="s">
        <v>422</v>
      </c>
      <c r="AD1721" t="s">
        <v>136</v>
      </c>
      <c r="AE1721" t="s">
        <v>560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422</v>
      </c>
      <c r="AC1722" t="s">
        <v>422</v>
      </c>
      <c r="AD1722" t="s">
        <v>422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421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422</v>
      </c>
      <c r="AC1723" t="s">
        <v>425</v>
      </c>
      <c r="AD1723" t="s">
        <v>425</v>
      </c>
      <c r="AE1723" t="s">
        <v>560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550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422</v>
      </c>
      <c r="AC1724" t="s">
        <v>420</v>
      </c>
      <c r="AD1724" t="s">
        <v>422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422</v>
      </c>
      <c r="AC1725" t="s">
        <v>560</v>
      </c>
      <c r="AD1725" t="s">
        <v>422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425</v>
      </c>
      <c r="AC1726" t="s">
        <v>136</v>
      </c>
      <c r="AD1726" t="s">
        <v>136</v>
      </c>
      <c r="AE1726" t="s">
        <v>560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421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425</v>
      </c>
      <c r="AC1727" t="s">
        <v>136</v>
      </c>
      <c r="AD1727" t="s">
        <v>425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421</v>
      </c>
      <c r="E1728" t="s">
        <v>421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425</v>
      </c>
      <c r="AC1728" t="s">
        <v>136</v>
      </c>
      <c r="AD1728" t="s">
        <v>425</v>
      </c>
      <c r="AE1728" t="s">
        <v>560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425</v>
      </c>
      <c r="AC1729" t="s">
        <v>573</v>
      </c>
      <c r="AD1729" t="s">
        <v>425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425</v>
      </c>
      <c r="AC1730" t="s">
        <v>421</v>
      </c>
      <c r="AD1730" t="s">
        <v>425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550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425</v>
      </c>
      <c r="AC1731" t="s">
        <v>421</v>
      </c>
      <c r="AD1731" t="s">
        <v>425</v>
      </c>
      <c r="AE1731" t="s">
        <v>560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550</v>
      </c>
      <c r="E1732" t="s">
        <v>550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425</v>
      </c>
      <c r="AC1732" t="s">
        <v>422</v>
      </c>
      <c r="AD1732" t="s">
        <v>425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425</v>
      </c>
      <c r="E1733" t="s">
        <v>425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425</v>
      </c>
      <c r="AC1733" t="s">
        <v>425</v>
      </c>
      <c r="AD1733" t="s">
        <v>421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420</v>
      </c>
      <c r="E1734" t="s">
        <v>420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425</v>
      </c>
      <c r="AC1734" t="s">
        <v>425</v>
      </c>
      <c r="AD1734" t="s">
        <v>425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423</v>
      </c>
      <c r="E1735" t="s">
        <v>423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425</v>
      </c>
      <c r="AC1735" t="s">
        <v>425</v>
      </c>
      <c r="AD1735" t="s">
        <v>425</v>
      </c>
      <c r="AE1735" t="s">
        <v>560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419</v>
      </c>
      <c r="E1736" t="s">
        <v>419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425</v>
      </c>
      <c r="AC1736" t="s">
        <v>560</v>
      </c>
      <c r="AD1736" t="s">
        <v>425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425</v>
      </c>
      <c r="AC1737" t="s">
        <v>560</v>
      </c>
      <c r="AD1737" t="s">
        <v>425</v>
      </c>
      <c r="AE1737" t="s">
        <v>560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550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425</v>
      </c>
      <c r="AC1738" t="s">
        <v>427</v>
      </c>
      <c r="AD1738" t="s">
        <v>425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420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420</v>
      </c>
      <c r="AC1739" t="s">
        <v>419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419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420</v>
      </c>
      <c r="AC1740" t="s">
        <v>419</v>
      </c>
      <c r="AD1740" t="s">
        <v>420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420</v>
      </c>
      <c r="AC1741" t="s">
        <v>136</v>
      </c>
      <c r="AD1741" t="s">
        <v>136</v>
      </c>
      <c r="AE1741" t="s">
        <v>560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420</v>
      </c>
      <c r="AC1742" t="s">
        <v>136</v>
      </c>
      <c r="AD1742" t="s">
        <v>402</v>
      </c>
      <c r="AE1742" t="s">
        <v>560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421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420</v>
      </c>
      <c r="AC1743" t="s">
        <v>136</v>
      </c>
      <c r="AD1743" t="s">
        <v>572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421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420</v>
      </c>
      <c r="AC1744" t="s">
        <v>136</v>
      </c>
      <c r="AD1744" t="s">
        <v>420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421</v>
      </c>
      <c r="E1745" t="s">
        <v>421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420</v>
      </c>
      <c r="AC1745" t="s">
        <v>136</v>
      </c>
      <c r="AD1745" t="s">
        <v>420</v>
      </c>
      <c r="AE1745" t="s">
        <v>560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420</v>
      </c>
      <c r="AC1746" t="s">
        <v>136</v>
      </c>
      <c r="AD1746" t="s">
        <v>475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420</v>
      </c>
      <c r="AC1747" t="s">
        <v>573</v>
      </c>
      <c r="AD1747" t="s">
        <v>420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420</v>
      </c>
      <c r="AC1748" t="s">
        <v>573</v>
      </c>
      <c r="AD1748" t="s">
        <v>420</v>
      </c>
      <c r="AE1748" t="s">
        <v>560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550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420</v>
      </c>
      <c r="AC1749" t="s">
        <v>421</v>
      </c>
      <c r="AD1749" t="s">
        <v>420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550</v>
      </c>
      <c r="E1750" t="s">
        <v>550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420</v>
      </c>
      <c r="AC1750" t="s">
        <v>421</v>
      </c>
      <c r="AD1750" t="s">
        <v>420</v>
      </c>
      <c r="AE1750" t="s">
        <v>560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420</v>
      </c>
      <c r="E1751" t="s">
        <v>420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420</v>
      </c>
      <c r="AC1751" t="s">
        <v>402</v>
      </c>
      <c r="AD1751" t="s">
        <v>420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420</v>
      </c>
      <c r="AC1752" t="s">
        <v>572</v>
      </c>
      <c r="AD1752" t="s">
        <v>420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420</v>
      </c>
      <c r="AC1753" t="s">
        <v>425</v>
      </c>
      <c r="AD1753" t="s">
        <v>420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420</v>
      </c>
      <c r="AC1754" t="s">
        <v>420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421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420</v>
      </c>
      <c r="AC1755" t="s">
        <v>420</v>
      </c>
      <c r="AD1755" t="s">
        <v>136</v>
      </c>
      <c r="AE1755" t="s">
        <v>560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550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420</v>
      </c>
      <c r="AC1756" t="s">
        <v>420</v>
      </c>
      <c r="AD1756" t="s">
        <v>420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420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420</v>
      </c>
      <c r="AC1757" t="s">
        <v>420</v>
      </c>
      <c r="AD1757" t="s">
        <v>420</v>
      </c>
      <c r="AE1757" t="s">
        <v>560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420</v>
      </c>
      <c r="AC1758" t="s">
        <v>420</v>
      </c>
      <c r="AD1758" t="s">
        <v>475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420</v>
      </c>
      <c r="AC1759" t="s">
        <v>560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420</v>
      </c>
      <c r="AC1760" t="s">
        <v>560</v>
      </c>
      <c r="AD1760" t="s">
        <v>136</v>
      </c>
      <c r="AE1760" t="s">
        <v>560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421</v>
      </c>
      <c r="E1761" t="s">
        <v>419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420</v>
      </c>
      <c r="AC1761" t="s">
        <v>560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421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420</v>
      </c>
      <c r="AC1762" t="s">
        <v>560</v>
      </c>
      <c r="AD1762" t="s">
        <v>420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421</v>
      </c>
      <c r="E1763" t="s">
        <v>421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420</v>
      </c>
      <c r="AC1763" t="s">
        <v>560</v>
      </c>
      <c r="AD1763" t="s">
        <v>420</v>
      </c>
      <c r="AE1763" t="s">
        <v>560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420</v>
      </c>
      <c r="AC1764" t="s">
        <v>475</v>
      </c>
      <c r="AD1764" t="s">
        <v>420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420</v>
      </c>
      <c r="AC1765" t="s">
        <v>427</v>
      </c>
      <c r="AD1765" t="s">
        <v>420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550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427</v>
      </c>
      <c r="AC1766" t="s">
        <v>136</v>
      </c>
      <c r="AD1766" t="s">
        <v>427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550</v>
      </c>
      <c r="E1767" t="s">
        <v>550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427</v>
      </c>
      <c r="AC1767" t="s">
        <v>136</v>
      </c>
      <c r="AD1767" t="s">
        <v>427</v>
      </c>
      <c r="AE1767" t="s">
        <v>560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420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427</v>
      </c>
      <c r="AC1768" t="s">
        <v>421</v>
      </c>
      <c r="AD1768" t="s">
        <v>427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420</v>
      </c>
      <c r="E1769" t="s">
        <v>420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427</v>
      </c>
      <c r="AC1769" t="s">
        <v>422</v>
      </c>
      <c r="AD1769" t="s">
        <v>427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427</v>
      </c>
      <c r="AC1770" t="s">
        <v>560</v>
      </c>
      <c r="AD1770" t="s">
        <v>427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427</v>
      </c>
      <c r="AC1771" t="s">
        <v>427</v>
      </c>
      <c r="AD1771" t="s">
        <v>427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572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572</v>
      </c>
      <c r="AD1774" t="s">
        <v>403</v>
      </c>
      <c r="AE1774" t="s">
        <v>560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420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420</v>
      </c>
      <c r="AD1776" t="s">
        <v>403</v>
      </c>
      <c r="AE1776" t="s">
        <v>560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560</v>
      </c>
      <c r="AD1777" t="s">
        <v>136</v>
      </c>
      <c r="AE1777" t="s">
        <v>560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560</v>
      </c>
      <c r="AD1778" t="s">
        <v>403</v>
      </c>
      <c r="AE1778" t="s">
        <v>560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427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423</v>
      </c>
      <c r="AC1780" t="s">
        <v>560</v>
      </c>
      <c r="AD1780" t="s">
        <v>423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560</v>
      </c>
      <c r="AE1781" t="s">
        <v>560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571</v>
      </c>
      <c r="AC1782" t="s">
        <v>571</v>
      </c>
      <c r="AD1782" t="s">
        <v>571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419</v>
      </c>
      <c r="E1783" t="s">
        <v>419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571</v>
      </c>
      <c r="AC1783" t="s">
        <v>571</v>
      </c>
      <c r="AD1783" t="s">
        <v>572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571</v>
      </c>
      <c r="AC1784" t="s">
        <v>136</v>
      </c>
      <c r="AD1784" t="s">
        <v>571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571</v>
      </c>
      <c r="AC1785" t="s">
        <v>136</v>
      </c>
      <c r="AD1785" t="s">
        <v>136</v>
      </c>
      <c r="AE1785" t="s">
        <v>560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571</v>
      </c>
      <c r="AC1786" t="s">
        <v>421</v>
      </c>
      <c r="AD1786" t="s">
        <v>571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571</v>
      </c>
      <c r="AC1787" t="s">
        <v>560</v>
      </c>
      <c r="AD1787" t="s">
        <v>571</v>
      </c>
      <c r="AE1787" t="s">
        <v>560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419</v>
      </c>
      <c r="AC1788" t="s">
        <v>419</v>
      </c>
      <c r="AD1788" t="s">
        <v>419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419</v>
      </c>
      <c r="E1789" t="s">
        <v>419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419</v>
      </c>
      <c r="AC1789" t="s">
        <v>419</v>
      </c>
      <c r="AD1789" t="s">
        <v>419</v>
      </c>
      <c r="AE1789" t="s">
        <v>560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419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419</v>
      </c>
      <c r="AC1790" t="s">
        <v>419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419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419</v>
      </c>
      <c r="AC1791" t="s">
        <v>136</v>
      </c>
      <c r="AD1791" t="s">
        <v>419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419</v>
      </c>
      <c r="AC1792" t="s">
        <v>136</v>
      </c>
      <c r="AD1792" t="s">
        <v>136</v>
      </c>
      <c r="AE1792" t="s">
        <v>560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419</v>
      </c>
      <c r="AC1793" t="s">
        <v>572</v>
      </c>
      <c r="AD1793" t="s">
        <v>419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420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419</v>
      </c>
      <c r="AC1794" t="s">
        <v>572</v>
      </c>
      <c r="AD1794" t="s">
        <v>419</v>
      </c>
      <c r="AE1794" t="s">
        <v>560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419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419</v>
      </c>
      <c r="AC1795" t="s">
        <v>572</v>
      </c>
      <c r="AD1795" t="s">
        <v>136</v>
      </c>
      <c r="AE1795" t="s">
        <v>560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419</v>
      </c>
      <c r="AC1796" t="s">
        <v>572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419</v>
      </c>
      <c r="AC1797" t="s">
        <v>420</v>
      </c>
      <c r="AD1797" t="s">
        <v>419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421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419</v>
      </c>
      <c r="AC1798" t="s">
        <v>420</v>
      </c>
      <c r="AD1798" t="s">
        <v>419</v>
      </c>
      <c r="AE1798" t="s">
        <v>560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419</v>
      </c>
      <c r="AC1799" t="s">
        <v>420</v>
      </c>
      <c r="AD1799" t="s">
        <v>400</v>
      </c>
      <c r="AE1799" t="s">
        <v>560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420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419</v>
      </c>
      <c r="AC1800" t="s">
        <v>420</v>
      </c>
      <c r="AD1800" t="s">
        <v>136</v>
      </c>
      <c r="AE1800" t="s">
        <v>560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419</v>
      </c>
      <c r="AC1801" t="s">
        <v>420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550</v>
      </c>
      <c r="E1802" t="s">
        <v>550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419</v>
      </c>
      <c r="AC1802" t="s">
        <v>427</v>
      </c>
      <c r="AD1802" t="s">
        <v>419</v>
      </c>
      <c r="AE1802" t="s">
        <v>560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422</v>
      </c>
      <c r="E1803" t="s">
        <v>427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420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560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420</v>
      </c>
      <c r="E1805" t="s">
        <v>420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560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421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419</v>
      </c>
      <c r="E1807" t="s">
        <v>419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421</v>
      </c>
      <c r="AD1807" t="s">
        <v>136</v>
      </c>
      <c r="AE1807" t="s">
        <v>560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572</v>
      </c>
      <c r="AD1808" t="s">
        <v>400</v>
      </c>
      <c r="AE1808" t="s">
        <v>560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420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420</v>
      </c>
      <c r="AD1810" t="s">
        <v>400</v>
      </c>
      <c r="AE1810" t="s">
        <v>560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421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560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422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560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425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560</v>
      </c>
      <c r="AD1813" t="s">
        <v>572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420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571</v>
      </c>
      <c r="AD1814" t="s">
        <v>136</v>
      </c>
      <c r="AE1814" t="s">
        <v>560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419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419</v>
      </c>
      <c r="AD1816" t="s">
        <v>136</v>
      </c>
      <c r="AE1816" t="s">
        <v>560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421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421</v>
      </c>
      <c r="E1818" t="s">
        <v>421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560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550</v>
      </c>
      <c r="E1820" t="s">
        <v>550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560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422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422</v>
      </c>
      <c r="E1822" t="s">
        <v>422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421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425</v>
      </c>
      <c r="E1823" t="s">
        <v>425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560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420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572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420</v>
      </c>
      <c r="E1825" t="s">
        <v>420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420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427</v>
      </c>
      <c r="E1826" t="s">
        <v>427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420</v>
      </c>
      <c r="AE1826" t="s">
        <v>560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573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573</v>
      </c>
      <c r="AD1828" t="s">
        <v>136</v>
      </c>
      <c r="AE1828" t="s">
        <v>560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573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421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573</v>
      </c>
      <c r="AD1830" t="s">
        <v>401</v>
      </c>
      <c r="AE1830" t="s">
        <v>560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425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421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420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421</v>
      </c>
      <c r="AD1832" t="s">
        <v>136</v>
      </c>
      <c r="AE1832" t="s">
        <v>560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421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421</v>
      </c>
      <c r="AD1834" t="s">
        <v>401</v>
      </c>
      <c r="AE1834" t="s">
        <v>560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420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421</v>
      </c>
      <c r="AD1835" t="s">
        <v>421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421</v>
      </c>
      <c r="E1836" t="s">
        <v>421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421</v>
      </c>
      <c r="AD1836" t="s">
        <v>421</v>
      </c>
      <c r="AE1836" t="s">
        <v>560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421</v>
      </c>
      <c r="AD1837" t="s">
        <v>402</v>
      </c>
      <c r="AE1837" t="s">
        <v>560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550</v>
      </c>
      <c r="E1838" t="s">
        <v>550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421</v>
      </c>
      <c r="AD1838" t="s">
        <v>425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422</v>
      </c>
      <c r="E1839" t="s">
        <v>422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421</v>
      </c>
      <c r="AD1839" t="s">
        <v>420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425</v>
      </c>
      <c r="E1840" t="s">
        <v>425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420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560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420</v>
      </c>
      <c r="E1842" t="s">
        <v>420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427</v>
      </c>
      <c r="E1843" t="s">
        <v>427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560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572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572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572</v>
      </c>
      <c r="AD1846" t="s">
        <v>136</v>
      </c>
      <c r="AE1846" t="s">
        <v>560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572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421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572</v>
      </c>
      <c r="AD1848" t="s">
        <v>401</v>
      </c>
      <c r="AE1848" t="s">
        <v>560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420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572</v>
      </c>
      <c r="AD1849" t="s">
        <v>402</v>
      </c>
      <c r="AE1849" t="s">
        <v>560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572</v>
      </c>
      <c r="AD1850" t="s">
        <v>572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572</v>
      </c>
      <c r="AD1851" t="s">
        <v>572</v>
      </c>
      <c r="AE1851" t="s">
        <v>560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420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572</v>
      </c>
      <c r="AD1852" t="s">
        <v>420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421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572</v>
      </c>
      <c r="AD1853" t="s">
        <v>420</v>
      </c>
      <c r="AE1853" t="s">
        <v>560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421</v>
      </c>
      <c r="E1854" t="s">
        <v>421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572</v>
      </c>
      <c r="AD1854" t="s">
        <v>427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422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550</v>
      </c>
      <c r="E1856" t="s">
        <v>550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422</v>
      </c>
      <c r="AD1856" t="s">
        <v>136</v>
      </c>
      <c r="AE1856" t="s">
        <v>560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550</v>
      </c>
      <c r="E1857" t="s">
        <v>425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422</v>
      </c>
      <c r="AD1857" t="s">
        <v>422</v>
      </c>
      <c r="AE1857" t="s">
        <v>560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422</v>
      </c>
      <c r="E1858" t="s">
        <v>422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425</v>
      </c>
      <c r="AD1858" t="s">
        <v>136</v>
      </c>
      <c r="AE1858" t="s">
        <v>560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425</v>
      </c>
      <c r="E1859" t="s">
        <v>421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425</v>
      </c>
      <c r="AD1859" t="s">
        <v>425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425</v>
      </c>
      <c r="E1860" t="s">
        <v>425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420</v>
      </c>
      <c r="AD1860" t="s">
        <v>419</v>
      </c>
      <c r="AE1860" t="s">
        <v>560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420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420</v>
      </c>
      <c r="AD1861" t="s">
        <v>400</v>
      </c>
      <c r="AE1861" t="s">
        <v>560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420</v>
      </c>
      <c r="E1862" t="s">
        <v>420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420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420</v>
      </c>
      <c r="AD1863" t="s">
        <v>136</v>
      </c>
      <c r="AE1863" t="s">
        <v>560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420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420</v>
      </c>
      <c r="AD1865" t="s">
        <v>401</v>
      </c>
      <c r="AE1865" t="s">
        <v>560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421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420</v>
      </c>
      <c r="AD1866" t="s">
        <v>402</v>
      </c>
      <c r="AE1866" t="s">
        <v>560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425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420</v>
      </c>
      <c r="AD1867" t="s">
        <v>420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420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420</v>
      </c>
      <c r="AD1868" t="s">
        <v>420</v>
      </c>
      <c r="AE1868" t="s">
        <v>560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427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560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549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560</v>
      </c>
      <c r="AD1870" t="s">
        <v>136</v>
      </c>
      <c r="AE1870" t="s">
        <v>560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560</v>
      </c>
      <c r="AD1871" t="s">
        <v>402</v>
      </c>
      <c r="AE1871" t="s">
        <v>560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560</v>
      </c>
      <c r="AD1872" t="s">
        <v>420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421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560</v>
      </c>
      <c r="AD1873" t="s">
        <v>420</v>
      </c>
      <c r="AE1873" t="s">
        <v>560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421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475</v>
      </c>
      <c r="AD1874" t="s">
        <v>136</v>
      </c>
      <c r="AE1874" t="s">
        <v>560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421</v>
      </c>
      <c r="E1875" t="s">
        <v>421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427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550</v>
      </c>
      <c r="E1876" t="s">
        <v>550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427</v>
      </c>
      <c r="AD1876" t="s">
        <v>136</v>
      </c>
      <c r="AE1876" t="s">
        <v>560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422</v>
      </c>
      <c r="E1877" t="s">
        <v>422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427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425</v>
      </c>
      <c r="E1878" t="s">
        <v>425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427</v>
      </c>
      <c r="AD1878" t="s">
        <v>402</v>
      </c>
      <c r="AE1878" t="s">
        <v>560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420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427</v>
      </c>
      <c r="AD1879" t="s">
        <v>427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420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423</v>
      </c>
      <c r="AD1880" t="s">
        <v>136</v>
      </c>
      <c r="AE1880" t="s">
        <v>560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420</v>
      </c>
      <c r="E1881" t="s">
        <v>421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571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420</v>
      </c>
      <c r="E1882" t="s">
        <v>420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571</v>
      </c>
      <c r="AD1882" t="s">
        <v>401</v>
      </c>
      <c r="AE1882" t="s">
        <v>560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419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419</v>
      </c>
      <c r="AD1884" t="s">
        <v>401</v>
      </c>
      <c r="AE1884" t="s">
        <v>560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571</v>
      </c>
      <c r="AE1886" t="s">
        <v>560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560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560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420</v>
      </c>
      <c r="E1891" t="s">
        <v>420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420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420</v>
      </c>
      <c r="AE1892" t="s">
        <v>560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573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419</v>
      </c>
      <c r="E1894" t="s">
        <v>419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573</v>
      </c>
      <c r="AD1894" t="s">
        <v>136</v>
      </c>
      <c r="AE1894" t="s">
        <v>560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419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573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573</v>
      </c>
      <c r="AD1896" t="s">
        <v>401</v>
      </c>
      <c r="AE1896" t="s">
        <v>560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573</v>
      </c>
      <c r="AD1897" t="s">
        <v>420</v>
      </c>
      <c r="AE1897" t="s">
        <v>560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421</v>
      </c>
      <c r="AD1898" t="s">
        <v>136</v>
      </c>
      <c r="AE1898" t="s">
        <v>560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421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421</v>
      </c>
      <c r="AD1900" t="s">
        <v>401</v>
      </c>
      <c r="AE1900" t="s">
        <v>560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550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421</v>
      </c>
      <c r="AD1901" t="s">
        <v>421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421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419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560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419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572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572</v>
      </c>
      <c r="AD1906" t="s">
        <v>136</v>
      </c>
      <c r="AE1906" t="s">
        <v>560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572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419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572</v>
      </c>
      <c r="AD1908" t="s">
        <v>401</v>
      </c>
      <c r="AE1908" t="s">
        <v>560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572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572</v>
      </c>
      <c r="AD1910" t="s">
        <v>402</v>
      </c>
      <c r="AE1910" t="s">
        <v>560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420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572</v>
      </c>
      <c r="AD1911" t="s">
        <v>572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421</v>
      </c>
      <c r="E1912" t="s">
        <v>421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422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422</v>
      </c>
      <c r="AD1913" t="s">
        <v>401</v>
      </c>
      <c r="AE1913" t="s">
        <v>560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425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425</v>
      </c>
      <c r="AD1915" t="s">
        <v>401</v>
      </c>
      <c r="AE1915" t="s">
        <v>560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550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425</v>
      </c>
      <c r="AD1916" t="s">
        <v>425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420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420</v>
      </c>
      <c r="AD1917" t="s">
        <v>419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420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420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420</v>
      </c>
      <c r="E1919" t="s">
        <v>420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420</v>
      </c>
      <c r="AD1919" t="s">
        <v>136</v>
      </c>
      <c r="AE1919" t="s">
        <v>560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420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420</v>
      </c>
      <c r="AD1921" t="s">
        <v>401</v>
      </c>
      <c r="AE1921" t="s">
        <v>560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420</v>
      </c>
      <c r="AD1922" t="s">
        <v>421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550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420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420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420</v>
      </c>
      <c r="AD1924" t="s">
        <v>420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419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420</v>
      </c>
      <c r="AD1925" t="s">
        <v>420</v>
      </c>
      <c r="AE1925" t="s">
        <v>560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560</v>
      </c>
      <c r="AD1926" t="s">
        <v>136</v>
      </c>
      <c r="AE1926" t="s">
        <v>560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560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421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560</v>
      </c>
      <c r="AD1928" t="s">
        <v>401</v>
      </c>
      <c r="AE1928" t="s">
        <v>560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421</v>
      </c>
      <c r="E1929" t="s">
        <v>421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475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427</v>
      </c>
      <c r="AD1930" t="s">
        <v>136</v>
      </c>
      <c r="AE1930" t="s">
        <v>560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427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421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427</v>
      </c>
      <c r="AD1932" t="s">
        <v>401</v>
      </c>
      <c r="AE1932" t="s">
        <v>560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421</v>
      </c>
      <c r="AC1933" t="s">
        <v>419</v>
      </c>
      <c r="AD1933" t="s">
        <v>136</v>
      </c>
      <c r="AE1933" t="s">
        <v>560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420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421</v>
      </c>
      <c r="AC1934" t="s">
        <v>419</v>
      </c>
      <c r="AD1934" t="s">
        <v>421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427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421</v>
      </c>
      <c r="AC1935" t="s">
        <v>419</v>
      </c>
      <c r="AD1935" t="s">
        <v>421</v>
      </c>
      <c r="AE1935" t="s">
        <v>560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550</v>
      </c>
      <c r="E1936" t="s">
        <v>550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421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550</v>
      </c>
      <c r="E1937" t="s">
        <v>427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421</v>
      </c>
      <c r="AC1937" t="s">
        <v>136</v>
      </c>
      <c r="AD1937" t="s">
        <v>136</v>
      </c>
      <c r="AE1937" t="s">
        <v>560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425</v>
      </c>
      <c r="E1938" t="s">
        <v>425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421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420</v>
      </c>
      <c r="E1939" t="s">
        <v>420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421</v>
      </c>
      <c r="AC1939" t="s">
        <v>136</v>
      </c>
      <c r="AD1939" t="s">
        <v>401</v>
      </c>
      <c r="AE1939" t="s">
        <v>560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421</v>
      </c>
      <c r="AC1940" t="s">
        <v>136</v>
      </c>
      <c r="AD1940" t="s">
        <v>421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421</v>
      </c>
      <c r="AC1941" t="s">
        <v>136</v>
      </c>
      <c r="AD1941" t="s">
        <v>421</v>
      </c>
      <c r="AE1941" t="s">
        <v>560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421</v>
      </c>
      <c r="AC1942" t="s">
        <v>136</v>
      </c>
      <c r="AD1942" t="s">
        <v>402</v>
      </c>
      <c r="AE1942" t="s">
        <v>560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420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421</v>
      </c>
      <c r="AC1943" t="s">
        <v>573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419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421</v>
      </c>
      <c r="AC1944" t="s">
        <v>573</v>
      </c>
      <c r="AD1944" t="s">
        <v>421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421</v>
      </c>
      <c r="AC1945" t="s">
        <v>421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421</v>
      </c>
      <c r="AC1946" t="s">
        <v>421</v>
      </c>
      <c r="AD1946" t="s">
        <v>136</v>
      </c>
      <c r="AE1946" t="s">
        <v>560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421</v>
      </c>
      <c r="E1947" t="s">
        <v>421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421</v>
      </c>
      <c r="AC1947" t="s">
        <v>421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421</v>
      </c>
      <c r="AC1948" t="s">
        <v>421</v>
      </c>
      <c r="AD1948" t="s">
        <v>421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550</v>
      </c>
      <c r="E1949" t="s">
        <v>550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421</v>
      </c>
      <c r="AC1949" t="s">
        <v>421</v>
      </c>
      <c r="AD1949" t="s">
        <v>421</v>
      </c>
      <c r="AE1949" t="s">
        <v>560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550</v>
      </c>
      <c r="E1950" t="s">
        <v>422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421</v>
      </c>
      <c r="AC1950" t="s">
        <v>421</v>
      </c>
      <c r="AD1950" t="s">
        <v>425</v>
      </c>
      <c r="AE1950" t="s">
        <v>560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425</v>
      </c>
      <c r="E1951" t="s">
        <v>425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421</v>
      </c>
      <c r="AC1951" t="s">
        <v>421</v>
      </c>
      <c r="AD1951" t="s">
        <v>420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420</v>
      </c>
      <c r="E1952" t="s">
        <v>420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421</v>
      </c>
      <c r="AC1952" t="s">
        <v>402</v>
      </c>
      <c r="AD1952" t="s">
        <v>136</v>
      </c>
      <c r="AE1952" t="s">
        <v>560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421</v>
      </c>
      <c r="AC1953" t="s">
        <v>402</v>
      </c>
      <c r="AD1953" t="s">
        <v>421</v>
      </c>
      <c r="AE1953" t="s">
        <v>560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421</v>
      </c>
      <c r="AC1954" t="s">
        <v>572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421</v>
      </c>
      <c r="AC1955" t="s">
        <v>572</v>
      </c>
      <c r="AD1955" t="s">
        <v>421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421</v>
      </c>
      <c r="AC1956" t="s">
        <v>422</v>
      </c>
      <c r="AD1956" t="s">
        <v>421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421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421</v>
      </c>
      <c r="AC1957" t="s">
        <v>425</v>
      </c>
      <c r="AD1957" t="s">
        <v>421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421</v>
      </c>
      <c r="E1958" t="s">
        <v>421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421</v>
      </c>
      <c r="AC1958" t="s">
        <v>425</v>
      </c>
      <c r="AD1958" t="s">
        <v>425</v>
      </c>
      <c r="AE1958" t="s">
        <v>560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421</v>
      </c>
      <c r="AC1959" t="s">
        <v>420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550</v>
      </c>
      <c r="E1960" t="s">
        <v>550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421</v>
      </c>
      <c r="AC1960" t="s">
        <v>420</v>
      </c>
      <c r="AD1960" t="s">
        <v>136</v>
      </c>
      <c r="AE1960" t="s">
        <v>560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425</v>
      </c>
      <c r="E1961" t="s">
        <v>425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421</v>
      </c>
      <c r="AC1961" t="s">
        <v>420</v>
      </c>
      <c r="AD1961" t="s">
        <v>401</v>
      </c>
      <c r="AE1961" t="s">
        <v>560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420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421</v>
      </c>
      <c r="AC1962" t="s">
        <v>420</v>
      </c>
      <c r="AD1962" t="s">
        <v>421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420</v>
      </c>
      <c r="E1963" t="s">
        <v>420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421</v>
      </c>
      <c r="AC1963" t="s">
        <v>420</v>
      </c>
      <c r="AD1963" t="s">
        <v>421</v>
      </c>
      <c r="AE1963" t="s">
        <v>560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421</v>
      </c>
      <c r="AC1964" t="s">
        <v>560</v>
      </c>
      <c r="AD1964" t="s">
        <v>419</v>
      </c>
      <c r="AE1964" t="s">
        <v>560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550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421</v>
      </c>
      <c r="AC1965" t="s">
        <v>560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420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421</v>
      </c>
      <c r="AC1966" t="s">
        <v>560</v>
      </c>
      <c r="AD1966" t="s">
        <v>136</v>
      </c>
      <c r="AE1966" t="s">
        <v>560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421</v>
      </c>
      <c r="AC1967" t="s">
        <v>560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421</v>
      </c>
      <c r="AC1968" t="s">
        <v>560</v>
      </c>
      <c r="AD1968" t="s">
        <v>421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421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421</v>
      </c>
      <c r="AC1969" t="s">
        <v>560</v>
      </c>
      <c r="AD1969" t="s">
        <v>421</v>
      </c>
      <c r="AE1969" t="s">
        <v>560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421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421</v>
      </c>
      <c r="AC1970" t="s">
        <v>560</v>
      </c>
      <c r="AD1970" t="s">
        <v>402</v>
      </c>
      <c r="AE1970" t="s">
        <v>560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421</v>
      </c>
      <c r="E1971" t="s">
        <v>421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421</v>
      </c>
      <c r="AC1971" t="s">
        <v>475</v>
      </c>
      <c r="AD1971" t="s">
        <v>136</v>
      </c>
      <c r="AE1971" t="s">
        <v>560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571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550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571</v>
      </c>
      <c r="AD1973" t="s">
        <v>402</v>
      </c>
      <c r="AE1973" t="s">
        <v>560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550</v>
      </c>
      <c r="E1974" t="s">
        <v>550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419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425</v>
      </c>
      <c r="E1975" t="s">
        <v>425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560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420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420</v>
      </c>
      <c r="E1977" t="s">
        <v>420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560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427</v>
      </c>
      <c r="E1978" t="s">
        <v>427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560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572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549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573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573</v>
      </c>
      <c r="AD1982" t="s">
        <v>402</v>
      </c>
      <c r="AE1982" t="s">
        <v>560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423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421</v>
      </c>
      <c r="AD1983" t="s">
        <v>400</v>
      </c>
      <c r="AE1983" t="s">
        <v>560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421</v>
      </c>
      <c r="AD1984" t="s">
        <v>136</v>
      </c>
      <c r="AE1984" t="s">
        <v>560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421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421</v>
      </c>
      <c r="AD1986" t="s">
        <v>402</v>
      </c>
      <c r="AE1986" t="s">
        <v>560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560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560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420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427</v>
      </c>
      <c r="AE1992" t="s">
        <v>560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572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572</v>
      </c>
      <c r="AD1994" t="s">
        <v>136</v>
      </c>
      <c r="AE1994" t="s">
        <v>560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419</v>
      </c>
      <c r="E1995" t="s">
        <v>419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572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572</v>
      </c>
      <c r="AD1996" t="s">
        <v>402</v>
      </c>
      <c r="AE1996" t="s">
        <v>560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572</v>
      </c>
      <c r="AD1997" t="s">
        <v>572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422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422</v>
      </c>
      <c r="AD1999" t="s">
        <v>402</v>
      </c>
      <c r="AE1999" t="s">
        <v>560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419</v>
      </c>
      <c r="E2000" t="s">
        <v>419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420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419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420</v>
      </c>
      <c r="AD2001" t="s">
        <v>136</v>
      </c>
      <c r="AE2001" t="s">
        <v>560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420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420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420</v>
      </c>
      <c r="AD2004" t="s">
        <v>402</v>
      </c>
      <c r="AE2004" t="s">
        <v>560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420</v>
      </c>
      <c r="AD2005" t="s">
        <v>420</v>
      </c>
      <c r="AE2005" t="s">
        <v>560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420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560</v>
      </c>
      <c r="AD2006" t="s">
        <v>400</v>
      </c>
      <c r="AE2006" t="s">
        <v>560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421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560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421</v>
      </c>
      <c r="E2008" t="s">
        <v>421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560</v>
      </c>
      <c r="AD2008" t="s">
        <v>136</v>
      </c>
      <c r="AE2008" t="s">
        <v>560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560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420</v>
      </c>
      <c r="E2010" t="s">
        <v>420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560</v>
      </c>
      <c r="AD2010" t="s">
        <v>402</v>
      </c>
      <c r="AE2010" t="s">
        <v>560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419</v>
      </c>
      <c r="E2011" t="s">
        <v>419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427</v>
      </c>
      <c r="AD2011" t="s">
        <v>136</v>
      </c>
      <c r="AE2011" t="s">
        <v>560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427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427</v>
      </c>
      <c r="AD2013" t="s">
        <v>402</v>
      </c>
      <c r="AE2013" t="s">
        <v>560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420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572</v>
      </c>
      <c r="AC2014" t="s">
        <v>419</v>
      </c>
      <c r="AD2014" t="s">
        <v>419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572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572</v>
      </c>
      <c r="AC2016" t="s">
        <v>136</v>
      </c>
      <c r="AD2016" t="s">
        <v>136</v>
      </c>
      <c r="AE2016" t="s">
        <v>560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420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572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572</v>
      </c>
      <c r="AC2018" t="s">
        <v>136</v>
      </c>
      <c r="AD2018" t="s">
        <v>402</v>
      </c>
      <c r="AE2018" t="s">
        <v>560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420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572</v>
      </c>
      <c r="AC2019" t="s">
        <v>136</v>
      </c>
      <c r="AD2019" t="s">
        <v>572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420</v>
      </c>
      <c r="E2020" t="s">
        <v>420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572</v>
      </c>
      <c r="AC2020" t="s">
        <v>136</v>
      </c>
      <c r="AD2020" t="s">
        <v>572</v>
      </c>
      <c r="AE2020" t="s">
        <v>560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572</v>
      </c>
      <c r="AC2021" t="s">
        <v>136</v>
      </c>
      <c r="AD2021" t="s">
        <v>420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572</v>
      </c>
      <c r="AC2022" t="s">
        <v>573</v>
      </c>
      <c r="AD2022" t="s">
        <v>136</v>
      </c>
      <c r="AE2022" t="s">
        <v>560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572</v>
      </c>
      <c r="AC2023" t="s">
        <v>573</v>
      </c>
      <c r="AD2023" t="s">
        <v>572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572</v>
      </c>
      <c r="AC2024" t="s">
        <v>573</v>
      </c>
      <c r="AD2024" t="s">
        <v>572</v>
      </c>
      <c r="AE2024" t="s">
        <v>560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420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572</v>
      </c>
      <c r="AC2025" t="s">
        <v>402</v>
      </c>
      <c r="AD2025" t="s">
        <v>136</v>
      </c>
      <c r="AE2025" t="s">
        <v>560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572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420</v>
      </c>
      <c r="E2027" t="s">
        <v>420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572</v>
      </c>
      <c r="AC2027" t="s">
        <v>402</v>
      </c>
      <c r="AD2027" t="s">
        <v>402</v>
      </c>
      <c r="AE2027" t="s">
        <v>560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572</v>
      </c>
      <c r="AC2028" t="s">
        <v>402</v>
      </c>
      <c r="AD2028" t="s">
        <v>572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572</v>
      </c>
      <c r="AC2029" t="s">
        <v>402</v>
      </c>
      <c r="AD2029" t="s">
        <v>572</v>
      </c>
      <c r="AE2029" t="s">
        <v>560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572</v>
      </c>
      <c r="AC2030" t="s">
        <v>572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420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572</v>
      </c>
      <c r="AC2031" t="s">
        <v>572</v>
      </c>
      <c r="AD2031" t="s">
        <v>136</v>
      </c>
      <c r="AE2031" t="s">
        <v>560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572</v>
      </c>
      <c r="AC2032" t="s">
        <v>572</v>
      </c>
      <c r="AD2032" t="s">
        <v>572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420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572</v>
      </c>
      <c r="AC2033" t="s">
        <v>572</v>
      </c>
      <c r="AD2033" t="s">
        <v>572</v>
      </c>
      <c r="AE2033" t="s">
        <v>560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421</v>
      </c>
      <c r="E2034" t="s">
        <v>421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572</v>
      </c>
      <c r="AC2034" t="s">
        <v>420</v>
      </c>
      <c r="AD2034" t="s">
        <v>136</v>
      </c>
      <c r="AE2034" t="s">
        <v>560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420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572</v>
      </c>
      <c r="AC2035" t="s">
        <v>420</v>
      </c>
      <c r="AD2035" t="s">
        <v>572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420</v>
      </c>
      <c r="E2036" t="s">
        <v>420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572</v>
      </c>
      <c r="AC2036" t="s">
        <v>560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572</v>
      </c>
      <c r="AC2037" t="s">
        <v>560</v>
      </c>
      <c r="AD2037" t="s">
        <v>136</v>
      </c>
      <c r="AE2037" t="s">
        <v>560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572</v>
      </c>
      <c r="AC2038" t="s">
        <v>560</v>
      </c>
      <c r="AD2038" t="s">
        <v>402</v>
      </c>
      <c r="AE2038" t="s">
        <v>560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421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572</v>
      </c>
      <c r="AC2039" t="s">
        <v>560</v>
      </c>
      <c r="AD2039" t="s">
        <v>572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420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572</v>
      </c>
      <c r="AC2040" t="s">
        <v>560</v>
      </c>
      <c r="AD2040" t="s">
        <v>572</v>
      </c>
      <c r="AE2040" t="s">
        <v>560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572</v>
      </c>
      <c r="AC2041" t="s">
        <v>560</v>
      </c>
      <c r="AD2041" t="s">
        <v>420</v>
      </c>
      <c r="AE2041" t="s">
        <v>560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422</v>
      </c>
      <c r="AC2042" t="s">
        <v>136</v>
      </c>
      <c r="AD2042" t="s">
        <v>136</v>
      </c>
      <c r="AE2042" t="s">
        <v>560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420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422</v>
      </c>
      <c r="AC2043" t="s">
        <v>136</v>
      </c>
      <c r="AD2043" t="s">
        <v>422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421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422</v>
      </c>
      <c r="AC2044" t="s">
        <v>136</v>
      </c>
      <c r="AD2044" t="s">
        <v>422</v>
      </c>
      <c r="AE2044" t="s">
        <v>560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421</v>
      </c>
      <c r="E2045" t="s">
        <v>421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422</v>
      </c>
      <c r="AC2045" t="s">
        <v>421</v>
      </c>
      <c r="AD2045" t="s">
        <v>422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422</v>
      </c>
      <c r="AC2046" t="s">
        <v>421</v>
      </c>
      <c r="AD2046" t="s">
        <v>422</v>
      </c>
      <c r="AE2046" t="s">
        <v>560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422</v>
      </c>
      <c r="AC2047" t="s">
        <v>422</v>
      </c>
      <c r="AD2047" t="s">
        <v>422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550</v>
      </c>
      <c r="E2048" t="s">
        <v>550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422</v>
      </c>
      <c r="AC2048" t="s">
        <v>422</v>
      </c>
      <c r="AD2048" t="s">
        <v>422</v>
      </c>
      <c r="AE2048" t="s">
        <v>560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420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422</v>
      </c>
      <c r="AC2049" t="s">
        <v>420</v>
      </c>
      <c r="AD2049" t="s">
        <v>422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420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422</v>
      </c>
      <c r="AC2050" t="s">
        <v>560</v>
      </c>
      <c r="AD2050" t="s">
        <v>136</v>
      </c>
      <c r="AE2050" t="s">
        <v>560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420</v>
      </c>
      <c r="E2051" t="s">
        <v>420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422</v>
      </c>
      <c r="AC2051" t="s">
        <v>560</v>
      </c>
      <c r="AD2051" t="s">
        <v>402</v>
      </c>
      <c r="AE2051" t="s">
        <v>560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422</v>
      </c>
      <c r="AC2052" t="s">
        <v>560</v>
      </c>
      <c r="AD2052" t="s">
        <v>422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425</v>
      </c>
      <c r="AC2053" t="s">
        <v>136</v>
      </c>
      <c r="AD2053" t="s">
        <v>136</v>
      </c>
      <c r="AE2053" t="s">
        <v>560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423</v>
      </c>
      <c r="E2054" t="s">
        <v>423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425</v>
      </c>
      <c r="AC2054" t="s">
        <v>136</v>
      </c>
      <c r="AD2054" t="s">
        <v>425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425</v>
      </c>
      <c r="AC2055" t="s">
        <v>136</v>
      </c>
      <c r="AD2055" t="s">
        <v>425</v>
      </c>
      <c r="AE2055" t="s">
        <v>560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425</v>
      </c>
      <c r="AC2056" t="s">
        <v>573</v>
      </c>
      <c r="AD2056" t="s">
        <v>425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425</v>
      </c>
      <c r="AC2057" t="s">
        <v>421</v>
      </c>
      <c r="AD2057" t="s">
        <v>425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423</v>
      </c>
      <c r="E2058" t="s">
        <v>423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425</v>
      </c>
      <c r="AC2058" t="s">
        <v>425</v>
      </c>
      <c r="AD2058" t="s">
        <v>136</v>
      </c>
      <c r="AE2058" t="s">
        <v>560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425</v>
      </c>
      <c r="AC2059" t="s">
        <v>425</v>
      </c>
      <c r="AD2059" t="s">
        <v>425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425</v>
      </c>
      <c r="AC2060" t="s">
        <v>425</v>
      </c>
      <c r="AD2060" t="s">
        <v>425</v>
      </c>
      <c r="AE2060" t="s">
        <v>560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425</v>
      </c>
      <c r="AC2061" t="s">
        <v>420</v>
      </c>
      <c r="AD2061" t="s">
        <v>422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425</v>
      </c>
      <c r="AC2062" t="s">
        <v>560</v>
      </c>
      <c r="AD2062" t="s">
        <v>425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425</v>
      </c>
      <c r="AC2063" t="s">
        <v>560</v>
      </c>
      <c r="AD2063" t="s">
        <v>425</v>
      </c>
      <c r="AE2063" t="s">
        <v>560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420</v>
      </c>
      <c r="AC2064" t="s">
        <v>419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420</v>
      </c>
      <c r="AC2065" t="s">
        <v>419</v>
      </c>
      <c r="AD2065" t="s">
        <v>136</v>
      </c>
      <c r="AE2065" t="s">
        <v>560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420</v>
      </c>
      <c r="AC2066" t="s">
        <v>419</v>
      </c>
      <c r="AD2066" t="s">
        <v>420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420</v>
      </c>
      <c r="AC2067" t="s">
        <v>400</v>
      </c>
      <c r="AD2067" t="s">
        <v>420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420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419</v>
      </c>
      <c r="E2069" t="s">
        <v>419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420</v>
      </c>
      <c r="AC2069" t="s">
        <v>136</v>
      </c>
      <c r="AD2069" t="s">
        <v>136</v>
      </c>
      <c r="AE2069" t="s">
        <v>560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420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420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420</v>
      </c>
      <c r="AC2071" t="s">
        <v>136</v>
      </c>
      <c r="AD2071" t="s">
        <v>401</v>
      </c>
      <c r="AE2071" t="s">
        <v>560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420</v>
      </c>
      <c r="AC2072" t="s">
        <v>136</v>
      </c>
      <c r="AD2072" t="s">
        <v>402</v>
      </c>
      <c r="AE2072" t="s">
        <v>560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420</v>
      </c>
      <c r="AC2073" t="s">
        <v>136</v>
      </c>
      <c r="AD2073" t="s">
        <v>420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420</v>
      </c>
      <c r="AC2074" t="s">
        <v>136</v>
      </c>
      <c r="AD2074" t="s">
        <v>420</v>
      </c>
      <c r="AE2074" t="s">
        <v>560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421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420</v>
      </c>
      <c r="AC2075" t="s">
        <v>573</v>
      </c>
      <c r="AD2075" t="s">
        <v>136</v>
      </c>
      <c r="AE2075" t="s">
        <v>560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420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420</v>
      </c>
      <c r="AC2076" t="s">
        <v>573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420</v>
      </c>
      <c r="AC2077" t="s">
        <v>573</v>
      </c>
      <c r="AD2077" t="s">
        <v>401</v>
      </c>
      <c r="AE2077" t="s">
        <v>560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420</v>
      </c>
      <c r="AC2078" t="s">
        <v>573</v>
      </c>
      <c r="AD2078" t="s">
        <v>420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420</v>
      </c>
      <c r="AC2079" t="s">
        <v>573</v>
      </c>
      <c r="AD2079" t="s">
        <v>420</v>
      </c>
      <c r="AE2079" t="s">
        <v>560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422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420</v>
      </c>
      <c r="AC2080" t="s">
        <v>421</v>
      </c>
      <c r="AD2080" t="s">
        <v>136</v>
      </c>
      <c r="AE2080" t="s">
        <v>560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420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420</v>
      </c>
      <c r="AC2081" t="s">
        <v>421</v>
      </c>
      <c r="AD2081" t="s">
        <v>421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420</v>
      </c>
      <c r="E2082" t="s">
        <v>420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420</v>
      </c>
      <c r="AC2082" t="s">
        <v>421</v>
      </c>
      <c r="AD2082" t="s">
        <v>420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427</v>
      </c>
      <c r="E2083" t="s">
        <v>427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420</v>
      </c>
      <c r="AC2083" t="s">
        <v>421</v>
      </c>
      <c r="AD2083" t="s">
        <v>420</v>
      </c>
      <c r="AE2083" t="s">
        <v>560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420</v>
      </c>
      <c r="AC2084" t="s">
        <v>402</v>
      </c>
      <c r="AD2084" t="s">
        <v>136</v>
      </c>
      <c r="AE2084" t="s">
        <v>560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423</v>
      </c>
      <c r="E2085" t="s">
        <v>423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420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420</v>
      </c>
      <c r="AC2086" t="s">
        <v>402</v>
      </c>
      <c r="AD2086" t="s">
        <v>420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419</v>
      </c>
      <c r="E2087" t="s">
        <v>419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420</v>
      </c>
      <c r="AC2087" t="s">
        <v>402</v>
      </c>
      <c r="AD2087" t="s">
        <v>420</v>
      </c>
      <c r="AE2087" t="s">
        <v>560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420</v>
      </c>
      <c r="AC2088" t="s">
        <v>572</v>
      </c>
      <c r="AD2088" t="s">
        <v>136</v>
      </c>
      <c r="AE2088" t="s">
        <v>560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420</v>
      </c>
      <c r="AC2089" t="s">
        <v>572</v>
      </c>
      <c r="AD2089" t="s">
        <v>420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421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420</v>
      </c>
      <c r="AC2090" t="s">
        <v>422</v>
      </c>
      <c r="AD2090" t="s">
        <v>401</v>
      </c>
      <c r="AE2090" t="s">
        <v>560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420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420</v>
      </c>
      <c r="AC2091" t="s">
        <v>425</v>
      </c>
      <c r="AD2091" t="s">
        <v>420</v>
      </c>
      <c r="AE2091" t="s">
        <v>560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420</v>
      </c>
      <c r="AC2092" t="s">
        <v>420</v>
      </c>
      <c r="AD2092" t="s">
        <v>571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420</v>
      </c>
      <c r="AC2093" t="s">
        <v>420</v>
      </c>
      <c r="AD2093" t="s">
        <v>419</v>
      </c>
      <c r="AE2093" t="s">
        <v>560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421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420</v>
      </c>
      <c r="AC2094" t="s">
        <v>420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420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420</v>
      </c>
      <c r="AC2095" t="s">
        <v>420</v>
      </c>
      <c r="AD2095" t="s">
        <v>136</v>
      </c>
      <c r="AE2095" t="s">
        <v>560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421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420</v>
      </c>
      <c r="AC2096" t="s">
        <v>420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421</v>
      </c>
      <c r="E2097" t="s">
        <v>421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420</v>
      </c>
      <c r="AC2097" t="s">
        <v>420</v>
      </c>
      <c r="AD2097" t="s">
        <v>401</v>
      </c>
      <c r="AE2097" t="s">
        <v>560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420</v>
      </c>
      <c r="AC2098" t="s">
        <v>420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420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420</v>
      </c>
      <c r="AC2099" t="s">
        <v>420</v>
      </c>
      <c r="AD2099" t="s">
        <v>402</v>
      </c>
      <c r="AE2099" t="s">
        <v>560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550</v>
      </c>
      <c r="E2100" t="s">
        <v>425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420</v>
      </c>
      <c r="AC2100" t="s">
        <v>420</v>
      </c>
      <c r="AD2100" t="s">
        <v>420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422</v>
      </c>
      <c r="E2101" t="s">
        <v>422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420</v>
      </c>
      <c r="AC2101" t="s">
        <v>420</v>
      </c>
      <c r="AD2101" t="s">
        <v>420</v>
      </c>
      <c r="AE2101" t="s">
        <v>560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425</v>
      </c>
      <c r="E2102" t="s">
        <v>425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420</v>
      </c>
      <c r="AC2102" t="s">
        <v>420</v>
      </c>
      <c r="AD2102" t="s">
        <v>475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420</v>
      </c>
      <c r="E2103" t="s">
        <v>420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420</v>
      </c>
      <c r="AC2103" t="s">
        <v>560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420</v>
      </c>
      <c r="E2104" t="s">
        <v>475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420</v>
      </c>
      <c r="AC2104" t="s">
        <v>560</v>
      </c>
      <c r="AD2104" t="s">
        <v>136</v>
      </c>
      <c r="AE2104" t="s">
        <v>560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427</v>
      </c>
      <c r="E2105" t="s">
        <v>427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420</v>
      </c>
      <c r="AC2105" t="s">
        <v>560</v>
      </c>
      <c r="AD2105" t="s">
        <v>402</v>
      </c>
      <c r="AE2105" t="s">
        <v>560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420</v>
      </c>
      <c r="AC2106" t="s">
        <v>560</v>
      </c>
      <c r="AD2106" t="s">
        <v>572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423</v>
      </c>
      <c r="E2107" t="s">
        <v>423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420</v>
      </c>
      <c r="AC2107" t="s">
        <v>560</v>
      </c>
      <c r="AD2107" t="s">
        <v>420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420</v>
      </c>
      <c r="AC2108" t="s">
        <v>560</v>
      </c>
      <c r="AD2108" t="s">
        <v>420</v>
      </c>
      <c r="AE2108" t="s">
        <v>560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421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420</v>
      </c>
      <c r="AC2109" t="s">
        <v>560</v>
      </c>
      <c r="AD2109" t="s">
        <v>475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420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420</v>
      </c>
      <c r="AC2110" t="s">
        <v>475</v>
      </c>
      <c r="AD2110" t="s">
        <v>420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419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420</v>
      </c>
      <c r="AC2111" t="s">
        <v>427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420</v>
      </c>
      <c r="AC2112" t="s">
        <v>427</v>
      </c>
      <c r="AD2112" t="s">
        <v>136</v>
      </c>
      <c r="AE2112" t="s">
        <v>560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420</v>
      </c>
      <c r="AC2113" t="s">
        <v>427</v>
      </c>
      <c r="AD2113" t="s">
        <v>420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425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475</v>
      </c>
      <c r="AC2114" t="s">
        <v>136</v>
      </c>
      <c r="AD2114" t="s">
        <v>420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420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475</v>
      </c>
      <c r="AC2115" t="s">
        <v>420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421</v>
      </c>
      <c r="E2116" t="s">
        <v>421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475</v>
      </c>
      <c r="AC2116" t="s">
        <v>420</v>
      </c>
      <c r="AD2116" t="s">
        <v>420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427</v>
      </c>
      <c r="AC2117" t="s">
        <v>136</v>
      </c>
      <c r="AD2117" t="s">
        <v>136</v>
      </c>
      <c r="AE2117" t="s">
        <v>560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550</v>
      </c>
      <c r="E2118" t="s">
        <v>550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427</v>
      </c>
      <c r="AC2118" t="s">
        <v>136</v>
      </c>
      <c r="AD2118" t="s">
        <v>402</v>
      </c>
      <c r="AE2118" t="s">
        <v>560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550</v>
      </c>
      <c r="E2119" t="s">
        <v>420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427</v>
      </c>
      <c r="AC2119" t="s">
        <v>136</v>
      </c>
      <c r="AD2119" t="s">
        <v>427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422</v>
      </c>
      <c r="E2120" t="s">
        <v>422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427</v>
      </c>
      <c r="AC2120" t="s">
        <v>421</v>
      </c>
      <c r="AD2120" t="s">
        <v>427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425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427</v>
      </c>
      <c r="AC2121" t="s">
        <v>572</v>
      </c>
      <c r="AD2121" t="s">
        <v>427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425</v>
      </c>
      <c r="E2122" t="s">
        <v>425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427</v>
      </c>
      <c r="AC2122" t="s">
        <v>420</v>
      </c>
      <c r="AD2122" t="s">
        <v>427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420</v>
      </c>
      <c r="E2123" t="s">
        <v>420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427</v>
      </c>
      <c r="AC2123" t="s">
        <v>560</v>
      </c>
      <c r="AD2123" t="s">
        <v>136</v>
      </c>
      <c r="AE2123" t="s">
        <v>560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475</v>
      </c>
      <c r="E2124" t="s">
        <v>420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427</v>
      </c>
      <c r="AC2124" t="s">
        <v>560</v>
      </c>
      <c r="AD2124" t="s">
        <v>427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427</v>
      </c>
      <c r="AC2125" t="s">
        <v>427</v>
      </c>
      <c r="AD2125" t="s">
        <v>136</v>
      </c>
      <c r="AE2125" t="s">
        <v>560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423</v>
      </c>
      <c r="E2126" t="s">
        <v>423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427</v>
      </c>
      <c r="AC2126" t="s">
        <v>427</v>
      </c>
      <c r="AD2126" t="s">
        <v>427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427</v>
      </c>
      <c r="AC2127" t="s">
        <v>427</v>
      </c>
      <c r="AD2127" t="s">
        <v>427</v>
      </c>
      <c r="AE2127" t="s">
        <v>560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425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560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420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420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421</v>
      </c>
      <c r="E2132" t="s">
        <v>421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550</v>
      </c>
      <c r="E2134" t="s">
        <v>550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422</v>
      </c>
      <c r="E2135" t="s">
        <v>422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422</v>
      </c>
      <c r="E2136" t="s">
        <v>425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425</v>
      </c>
      <c r="E2137" t="s">
        <v>425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420</v>
      </c>
      <c r="E2138" t="s">
        <v>420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420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421</v>
      </c>
      <c r="E2145" t="s">
        <v>421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550</v>
      </c>
      <c r="E2146" t="s">
        <v>550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422</v>
      </c>
      <c r="E2147" t="s">
        <v>422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425</v>
      </c>
      <c r="E2148" t="s">
        <v>425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420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420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420</v>
      </c>
      <c r="E2151" t="s">
        <v>420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427</v>
      </c>
      <c r="E2152" t="s">
        <v>427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421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420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425</v>
      </c>
      <c r="E2170" t="s">
        <v>425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420</v>
      </c>
      <c r="E2171" t="s">
        <v>420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549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425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421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421</v>
      </c>
      <c r="E2179" t="s">
        <v>421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550</v>
      </c>
      <c r="E2181" t="s">
        <v>550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425</v>
      </c>
      <c r="E2182" t="s">
        <v>425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420</v>
      </c>
      <c r="E2183" t="s">
        <v>420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549</v>
      </c>
      <c r="E2185" t="s">
        <v>549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420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419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421</v>
      </c>
      <c r="E2191" t="s">
        <v>421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550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550</v>
      </c>
      <c r="E2194" t="s">
        <v>550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425</v>
      </c>
      <c r="E2195" t="s">
        <v>425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420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420</v>
      </c>
      <c r="E2197" t="s">
        <v>420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427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427</v>
      </c>
      <c r="E2199" t="s">
        <v>427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420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421</v>
      </c>
      <c r="E2205" t="s">
        <v>421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550</v>
      </c>
      <c r="E2206" t="s">
        <v>550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422</v>
      </c>
      <c r="E2207" t="s">
        <v>422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425</v>
      </c>
      <c r="E2208" t="s">
        <v>425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420</v>
      </c>
      <c r="E2209" t="s">
        <v>420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420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421</v>
      </c>
      <c r="E2214" t="s">
        <v>421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550</v>
      </c>
      <c r="E2216" t="s">
        <v>550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420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420</v>
      </c>
      <c r="E2218" t="s">
        <v>420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427</v>
      </c>
      <c r="E2219" t="s">
        <v>427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419</v>
      </c>
      <c r="E2229" t="s">
        <v>419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419</v>
      </c>
      <c r="E2234" t="s">
        <v>419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419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419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425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420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550</v>
      </c>
      <c r="E2245" t="s">
        <v>550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420</v>
      </c>
      <c r="E2246" t="s">
        <v>420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419</v>
      </c>
      <c r="E2249" t="s">
        <v>419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420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421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550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420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427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421</v>
      </c>
      <c r="E2259" t="s">
        <v>421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550</v>
      </c>
      <c r="E2261" t="s">
        <v>550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420</v>
      </c>
      <c r="E2262" t="s">
        <v>420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419</v>
      </c>
      <c r="E2263" t="s">
        <v>419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550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420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421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421</v>
      </c>
      <c r="E2272" t="s">
        <v>421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550</v>
      </c>
      <c r="E2273" t="s">
        <v>550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425</v>
      </c>
      <c r="E2274" t="s">
        <v>425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420</v>
      </c>
      <c r="E2275" t="s">
        <v>420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550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420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422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550</v>
      </c>
      <c r="E2282" t="s">
        <v>550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420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420</v>
      </c>
      <c r="E2284" t="s">
        <v>420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419</v>
      </c>
      <c r="E2285" t="s">
        <v>419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419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421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550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420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420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421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421</v>
      </c>
      <c r="E2296" t="s">
        <v>421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550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550</v>
      </c>
      <c r="E2298" t="s">
        <v>550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420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420</v>
      </c>
      <c r="E2300" t="s">
        <v>420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420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420</v>
      </c>
      <c r="E2324" t="s">
        <v>420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419</v>
      </c>
      <c r="E2326" t="s">
        <v>419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420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549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420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421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421</v>
      </c>
      <c r="E2336" t="s">
        <v>421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420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550</v>
      </c>
      <c r="E2340" t="s">
        <v>550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422</v>
      </c>
      <c r="E2341" t="s">
        <v>422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420</v>
      </c>
      <c r="E2342" t="s">
        <v>420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549</v>
      </c>
      <c r="E2345" t="s">
        <v>549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419</v>
      </c>
      <c r="E2346" t="s">
        <v>419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421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420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421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420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421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421</v>
      </c>
      <c r="E2356" t="s">
        <v>421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550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550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550</v>
      </c>
      <c r="E2361" t="s">
        <v>550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422</v>
      </c>
      <c r="E2362" t="s">
        <v>422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425</v>
      </c>
      <c r="E2363" t="s">
        <v>425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420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420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420</v>
      </c>
      <c r="E2366" t="s">
        <v>420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427</v>
      </c>
      <c r="E2367" t="s">
        <v>427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423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419</v>
      </c>
      <c r="E2370" t="s">
        <v>419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419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421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420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419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420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421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421</v>
      </c>
      <c r="E2381" t="s">
        <v>421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550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550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550</v>
      </c>
      <c r="E2386" t="s">
        <v>550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422</v>
      </c>
      <c r="E2387" t="s">
        <v>422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422</v>
      </c>
      <c r="E2388" t="s">
        <v>427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425</v>
      </c>
      <c r="E2389" t="s">
        <v>425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420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420</v>
      </c>
      <c r="E2391" t="s">
        <v>420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420</v>
      </c>
      <c r="E2392" t="s">
        <v>475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427</v>
      </c>
      <c r="E2393" t="s">
        <v>427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419</v>
      </c>
      <c r="E2394" t="s">
        <v>419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420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421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421</v>
      </c>
      <c r="E2402" t="s">
        <v>421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550</v>
      </c>
      <c r="E2405" t="s">
        <v>550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420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420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420</v>
      </c>
      <c r="E2408" t="s">
        <v>420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427</v>
      </c>
      <c r="E2409" t="s">
        <v>427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419</v>
      </c>
      <c r="E2411" t="s">
        <v>419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419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421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422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420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420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421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421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421</v>
      </c>
      <c r="E2425" t="s">
        <v>421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550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550</v>
      </c>
      <c r="E2428" t="s">
        <v>550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422</v>
      </c>
      <c r="E2429" t="s">
        <v>422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425</v>
      </c>
      <c r="E2430" t="s">
        <v>425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420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420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420</v>
      </c>
      <c r="E2433" t="s">
        <v>420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427</v>
      </c>
      <c r="E2434" t="s">
        <v>427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419</v>
      </c>
      <c r="E2444" t="s">
        <v>419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419</v>
      </c>
      <c r="E2451" t="s">
        <v>419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419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419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550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421</v>
      </c>
      <c r="E2460" t="s">
        <v>421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550</v>
      </c>
      <c r="E2465" t="s">
        <v>550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422</v>
      </c>
      <c r="E2466" t="s">
        <v>422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420</v>
      </c>
      <c r="E2467" t="s">
        <v>420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427</v>
      </c>
      <c r="E2468" t="s">
        <v>427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421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550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420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421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421</v>
      </c>
      <c r="E2478" t="s">
        <v>421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550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420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550</v>
      </c>
      <c r="E2483" t="s">
        <v>550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420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420</v>
      </c>
      <c r="E2485" t="s">
        <v>420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549</v>
      </c>
      <c r="E2487" t="s">
        <v>549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419</v>
      </c>
      <c r="E2488" t="s">
        <v>419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421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550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420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421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421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421</v>
      </c>
      <c r="E2498" t="s">
        <v>421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550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550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550</v>
      </c>
      <c r="E2503" t="s">
        <v>550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420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420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420</v>
      </c>
      <c r="E2506" t="s">
        <v>420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427</v>
      </c>
      <c r="E2507" t="s">
        <v>427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549</v>
      </c>
      <c r="E2510" t="s">
        <v>549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550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420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421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421</v>
      </c>
      <c r="E2518" t="s">
        <v>421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550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550</v>
      </c>
      <c r="E2522" t="s">
        <v>550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420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420</v>
      </c>
      <c r="E2524" t="s">
        <v>420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419</v>
      </c>
      <c r="E2526" t="s">
        <v>419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419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421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550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420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550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421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421</v>
      </c>
      <c r="E2537" t="s">
        <v>421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550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550</v>
      </c>
      <c r="E2541" t="s">
        <v>550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550</v>
      </c>
      <c r="E2542" t="s">
        <v>420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420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420</v>
      </c>
      <c r="E2544" t="s">
        <v>420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475</v>
      </c>
      <c r="E2545" t="s">
        <v>420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420</v>
      </c>
      <c r="E2561" t="s">
        <v>420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419</v>
      </c>
      <c r="E2564" t="s">
        <v>419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419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419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419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419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421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420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423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421</v>
      </c>
      <c r="E2578" t="s">
        <v>421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550</v>
      </c>
      <c r="E2582" t="s">
        <v>550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425</v>
      </c>
      <c r="E2583" t="s">
        <v>425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420</v>
      </c>
      <c r="E2584" t="s">
        <v>420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427</v>
      </c>
      <c r="E2585" t="s">
        <v>427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423</v>
      </c>
      <c r="E2587" t="s">
        <v>423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419</v>
      </c>
      <c r="E2589" t="s">
        <v>419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420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421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550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422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421</v>
      </c>
      <c r="E2598" t="s">
        <v>421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550</v>
      </c>
      <c r="E2601" t="s">
        <v>550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422</v>
      </c>
      <c r="E2602" t="s">
        <v>422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425</v>
      </c>
      <c r="E2603" t="s">
        <v>425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420</v>
      </c>
      <c r="E2604" t="s">
        <v>420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427</v>
      </c>
      <c r="E2605" t="s">
        <v>427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550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420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421</v>
      </c>
      <c r="E2613" t="s">
        <v>421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550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550</v>
      </c>
      <c r="E2616" t="s">
        <v>550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422</v>
      </c>
      <c r="E2617" t="s">
        <v>422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425</v>
      </c>
      <c r="E2618" t="s">
        <v>425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420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420</v>
      </c>
      <c r="E2620" t="s">
        <v>420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550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420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420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421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550</v>
      </c>
      <c r="E2631" t="s">
        <v>550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422</v>
      </c>
      <c r="E2632" t="s">
        <v>422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425</v>
      </c>
      <c r="E2633" t="s">
        <v>425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420</v>
      </c>
      <c r="E2634" t="s">
        <v>420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419</v>
      </c>
      <c r="E2637" t="s">
        <v>419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550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420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421</v>
      </c>
      <c r="E2643" t="s">
        <v>421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550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550</v>
      </c>
      <c r="E2646" t="s">
        <v>550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422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422</v>
      </c>
      <c r="E2648" t="s">
        <v>422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425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425</v>
      </c>
      <c r="E2650" t="s">
        <v>422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425</v>
      </c>
      <c r="E2651" t="s">
        <v>425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420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420</v>
      </c>
      <c r="E2653" t="s">
        <v>420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427</v>
      </c>
      <c r="E2654" t="s">
        <v>427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420</v>
      </c>
      <c r="E2660" t="s">
        <v>420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419</v>
      </c>
      <c r="E2662" t="s">
        <v>419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419</v>
      </c>
      <c r="E2667" t="s">
        <v>419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419</v>
      </c>
      <c r="E2673" t="s">
        <v>419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419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419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421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550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421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421</v>
      </c>
      <c r="E2684" t="s">
        <v>421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420</v>
      </c>
      <c r="E2687" t="s">
        <v>420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419</v>
      </c>
      <c r="E2690" t="s">
        <v>419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419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421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550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420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419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421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550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421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421</v>
      </c>
      <c r="E2705" t="s">
        <v>421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421</v>
      </c>
      <c r="E2706" t="s">
        <v>425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550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550</v>
      </c>
      <c r="E2709" t="s">
        <v>550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422</v>
      </c>
      <c r="E2710" t="s">
        <v>422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420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420</v>
      </c>
      <c r="E2712" t="s">
        <v>420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420</v>
      </c>
      <c r="E2713" t="s">
        <v>475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427</v>
      </c>
      <c r="E2714" t="s">
        <v>427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419</v>
      </c>
      <c r="E2717" t="s">
        <v>419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421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550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420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419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421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421</v>
      </c>
      <c r="E2727" t="s">
        <v>421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550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550</v>
      </c>
      <c r="E2730" t="s">
        <v>550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422</v>
      </c>
      <c r="E2731" t="s">
        <v>422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420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420</v>
      </c>
      <c r="E2733" t="s">
        <v>420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427</v>
      </c>
      <c r="E2734" t="s">
        <v>427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419</v>
      </c>
      <c r="E2735" t="s">
        <v>419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421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550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420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420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421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421</v>
      </c>
      <c r="E2746" t="s">
        <v>421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550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550</v>
      </c>
      <c r="E2748" t="s">
        <v>550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420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420</v>
      </c>
      <c r="E2750" t="s">
        <v>420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419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421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550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420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420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421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421</v>
      </c>
      <c r="E2763" t="s">
        <v>421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550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550</v>
      </c>
      <c r="E2766" t="s">
        <v>550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420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420</v>
      </c>
      <c r="E2768" t="s">
        <v>420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427</v>
      </c>
      <c r="E2769" t="s">
        <v>427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420</v>
      </c>
      <c r="E2782" t="s">
        <v>420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419</v>
      </c>
      <c r="E2783" t="s">
        <v>419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419</v>
      </c>
      <c r="E2791" t="s">
        <v>419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419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419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421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425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420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421</v>
      </c>
      <c r="E2801" t="s">
        <v>421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550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420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550</v>
      </c>
      <c r="E2808" t="s">
        <v>550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420</v>
      </c>
      <c r="E2809" t="s">
        <v>420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423</v>
      </c>
      <c r="E2811" t="s">
        <v>423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419</v>
      </c>
      <c r="E2813" t="s">
        <v>419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419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419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420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421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421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421</v>
      </c>
      <c r="E2825" t="s">
        <v>421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420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550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550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550</v>
      </c>
      <c r="E2831" t="s">
        <v>550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420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420</v>
      </c>
      <c r="E2833" t="s">
        <v>420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427</v>
      </c>
      <c r="E2834" t="s">
        <v>427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423</v>
      </c>
      <c r="E2836" t="s">
        <v>423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549</v>
      </c>
      <c r="E2838" t="s">
        <v>549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419</v>
      </c>
      <c r="E2839" t="s">
        <v>419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421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550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420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419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421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421</v>
      </c>
      <c r="E2850" t="s">
        <v>421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550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550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550</v>
      </c>
      <c r="E2855" t="s">
        <v>550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420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420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420</v>
      </c>
      <c r="E2858" t="s">
        <v>420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419</v>
      </c>
      <c r="E2861" t="s">
        <v>419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421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420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421</v>
      </c>
      <c r="E2868" t="s">
        <v>421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550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550</v>
      </c>
      <c r="E2872" t="s">
        <v>550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420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420</v>
      </c>
      <c r="E2874" t="s">
        <v>420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427</v>
      </c>
      <c r="E2875" t="s">
        <v>427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421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550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420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427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420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421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421</v>
      </c>
      <c r="E2890" t="s">
        <v>421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421</v>
      </c>
      <c r="E2891" t="s">
        <v>420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550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550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550</v>
      </c>
      <c r="E2896" t="s">
        <v>550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422</v>
      </c>
      <c r="E2897" t="s">
        <v>422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420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420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420</v>
      </c>
      <c r="E2900" t="s">
        <v>550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420</v>
      </c>
      <c r="E2901" t="s">
        <v>420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427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427</v>
      </c>
      <c r="E2903" t="s">
        <v>427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4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41" t="s">
        <v>476</v>
      </c>
      <c r="B1" s="1341"/>
      <c r="C1" s="1341"/>
      <c r="D1" s="1341"/>
      <c r="E1" s="1341"/>
      <c r="F1" s="1341"/>
      <c r="G1" s="1341"/>
      <c r="H1" s="1341"/>
      <c r="I1" s="1341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408</v>
      </c>
      <c r="X4" s="58" t="s">
        <v>408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408</v>
      </c>
      <c r="AV4" s="58" t="s">
        <v>408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410</v>
      </c>
      <c r="O6" t="s">
        <v>411</v>
      </c>
      <c r="P6" t="s">
        <v>412</v>
      </c>
      <c r="Q6" t="s">
        <v>413</v>
      </c>
      <c r="R6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t="s">
        <v>393</v>
      </c>
      <c r="AG6" s="122" t="s">
        <v>394</v>
      </c>
      <c r="AH6" s="122" t="s">
        <v>409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410</v>
      </c>
      <c r="AO6" s="122" t="s">
        <v>411</v>
      </c>
      <c r="AP6" s="122" t="s">
        <v>412</v>
      </c>
      <c r="AQ6" s="122" t="s">
        <v>413</v>
      </c>
      <c r="AR6" t="s">
        <v>414</v>
      </c>
      <c r="AS6" t="s">
        <v>415</v>
      </c>
      <c r="AT6" t="s">
        <v>416</v>
      </c>
      <c r="AU6" t="s">
        <v>417</v>
      </c>
      <c r="AV6" s="122" t="s">
        <v>418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560</v>
      </c>
      <c r="AE7" t="s">
        <v>560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419</v>
      </c>
      <c r="AC8" t="s">
        <v>420</v>
      </c>
      <c r="AD8" t="s">
        <v>419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419</v>
      </c>
      <c r="AC9" t="s">
        <v>420</v>
      </c>
      <c r="AD9" t="s">
        <v>419</v>
      </c>
      <c r="AE9" t="s">
        <v>560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419</v>
      </c>
      <c r="AC10" t="s">
        <v>427</v>
      </c>
      <c r="AD10" t="s">
        <v>419</v>
      </c>
      <c r="AE10" t="s">
        <v>560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560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560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421</v>
      </c>
      <c r="AD13" t="s">
        <v>400</v>
      </c>
      <c r="AE13" t="s">
        <v>560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572</v>
      </c>
      <c r="AD14" t="s">
        <v>400</v>
      </c>
      <c r="AE14" t="s">
        <v>560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420</v>
      </c>
      <c r="AD15" t="s">
        <v>400</v>
      </c>
      <c r="AE15" t="s">
        <v>560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427</v>
      </c>
      <c r="E16" t="s">
        <v>427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420</v>
      </c>
      <c r="AD16" t="s">
        <v>136</v>
      </c>
      <c r="AE16" t="s">
        <v>560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560</v>
      </c>
      <c r="AD17" t="s">
        <v>400</v>
      </c>
      <c r="AE17" t="s">
        <v>560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427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427</v>
      </c>
      <c r="AD19" t="s">
        <v>400</v>
      </c>
      <c r="AE19" t="s">
        <v>560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421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427</v>
      </c>
      <c r="AD20" t="s">
        <v>136</v>
      </c>
      <c r="AE20" t="s">
        <v>560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423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571</v>
      </c>
      <c r="AD22" t="s">
        <v>136</v>
      </c>
      <c r="AE22" t="s">
        <v>560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419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419</v>
      </c>
      <c r="AD24" t="s">
        <v>136</v>
      </c>
      <c r="AE24" t="s">
        <v>560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560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560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419</v>
      </c>
      <c r="E28" t="s">
        <v>419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573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573</v>
      </c>
      <c r="AD29" t="s">
        <v>136</v>
      </c>
      <c r="AE29" t="s">
        <v>560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573</v>
      </c>
      <c r="AD30" t="s">
        <v>401</v>
      </c>
      <c r="AE30" t="s">
        <v>560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419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421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421</v>
      </c>
      <c r="AD32" t="s">
        <v>136</v>
      </c>
      <c r="AE32" t="s">
        <v>560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421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560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420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560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572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572</v>
      </c>
      <c r="AD37" t="s">
        <v>136</v>
      </c>
      <c r="AE37" t="s">
        <v>560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550</v>
      </c>
      <c r="E38" t="s">
        <v>550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572</v>
      </c>
      <c r="AD38" t="s">
        <v>401</v>
      </c>
      <c r="AE38" t="s">
        <v>560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420</v>
      </c>
      <c r="E39" t="s">
        <v>420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572</v>
      </c>
      <c r="AD39" t="s">
        <v>402</v>
      </c>
      <c r="AE39" t="s">
        <v>560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427</v>
      </c>
      <c r="E40" t="s">
        <v>427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422</v>
      </c>
      <c r="AD40" t="s">
        <v>136</v>
      </c>
      <c r="AE40" t="s">
        <v>560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425</v>
      </c>
      <c r="AD41" t="s">
        <v>136</v>
      </c>
      <c r="AE41" t="s">
        <v>560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420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420</v>
      </c>
      <c r="AD43" t="s">
        <v>136</v>
      </c>
      <c r="AE43" t="s">
        <v>560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420</v>
      </c>
      <c r="AD44" t="s">
        <v>401</v>
      </c>
      <c r="AE44" t="s">
        <v>560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421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420</v>
      </c>
      <c r="AD45" t="s">
        <v>402</v>
      </c>
      <c r="AE45" t="s">
        <v>560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421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420</v>
      </c>
      <c r="AD46" t="s">
        <v>420</v>
      </c>
      <c r="AE46" t="s">
        <v>560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421</v>
      </c>
      <c r="E47" t="s">
        <v>421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560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560</v>
      </c>
      <c r="AD48" t="s">
        <v>136</v>
      </c>
      <c r="AE48" t="s">
        <v>560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420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560</v>
      </c>
      <c r="AD49" t="s">
        <v>402</v>
      </c>
      <c r="AE49" t="s">
        <v>560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550</v>
      </c>
      <c r="E50" t="s">
        <v>550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475</v>
      </c>
      <c r="AD50" t="s">
        <v>136</v>
      </c>
      <c r="AE50" t="s">
        <v>560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420</v>
      </c>
      <c r="E51" t="s">
        <v>420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427</v>
      </c>
      <c r="AD51" t="s">
        <v>400</v>
      </c>
      <c r="AE51" t="s">
        <v>560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475</v>
      </c>
      <c r="E52" t="s">
        <v>475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427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427</v>
      </c>
      <c r="AD53" t="s">
        <v>136</v>
      </c>
      <c r="AE53" t="s">
        <v>560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549</v>
      </c>
      <c r="E54" t="s">
        <v>549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427</v>
      </c>
      <c r="AD54" t="s">
        <v>402</v>
      </c>
      <c r="AE54" t="s">
        <v>560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419</v>
      </c>
      <c r="E55" t="s">
        <v>419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560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423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423</v>
      </c>
      <c r="AD57" t="s">
        <v>136</v>
      </c>
      <c r="AE57" t="s">
        <v>560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549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477</v>
      </c>
      <c r="AC58" t="s">
        <v>419</v>
      </c>
      <c r="AD58" t="s">
        <v>477</v>
      </c>
      <c r="AE58" t="s">
        <v>560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478</v>
      </c>
      <c r="AC59" t="s">
        <v>419</v>
      </c>
      <c r="AD59" t="s">
        <v>478</v>
      </c>
      <c r="AE59" t="s">
        <v>560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424</v>
      </c>
      <c r="AC60" t="s">
        <v>427</v>
      </c>
      <c r="AD60" t="s">
        <v>477</v>
      </c>
      <c r="AE60" t="s">
        <v>560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420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424</v>
      </c>
      <c r="AC61" t="s">
        <v>427</v>
      </c>
      <c r="AD61" t="s">
        <v>424</v>
      </c>
      <c r="AE61" t="s">
        <v>560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421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419</v>
      </c>
      <c r="AD62" t="s">
        <v>419</v>
      </c>
      <c r="AE62" t="s">
        <v>560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421</v>
      </c>
      <c r="E63" t="s">
        <v>421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419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419</v>
      </c>
      <c r="AD64" t="s">
        <v>401</v>
      </c>
      <c r="AE64" t="s">
        <v>560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550</v>
      </c>
      <c r="E65" t="s">
        <v>550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560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422</v>
      </c>
      <c r="E66" t="s">
        <v>422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425</v>
      </c>
      <c r="E67" t="s">
        <v>425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560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420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573</v>
      </c>
      <c r="AD68" t="s">
        <v>401</v>
      </c>
      <c r="AE68" t="s">
        <v>560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420</v>
      </c>
      <c r="E69" t="s">
        <v>420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421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427</v>
      </c>
      <c r="E70" t="s">
        <v>427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421</v>
      </c>
      <c r="AD70" t="s">
        <v>401</v>
      </c>
      <c r="AE70" t="s">
        <v>560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419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572</v>
      </c>
      <c r="AD71" t="s">
        <v>136</v>
      </c>
      <c r="AE71" t="s">
        <v>560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572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572</v>
      </c>
      <c r="AD73" t="s">
        <v>401</v>
      </c>
      <c r="AE73" t="s">
        <v>560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422</v>
      </c>
      <c r="AD74" t="s">
        <v>401</v>
      </c>
      <c r="AE74" t="s">
        <v>560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420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425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420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420</v>
      </c>
      <c r="AD77" t="s">
        <v>136</v>
      </c>
      <c r="AE77" t="s">
        <v>560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421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420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421</v>
      </c>
      <c r="E79" t="s">
        <v>421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420</v>
      </c>
      <c r="AD79" t="s">
        <v>401</v>
      </c>
      <c r="AE79" t="s">
        <v>560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420</v>
      </c>
      <c r="AD80" t="s">
        <v>427</v>
      </c>
      <c r="AE80" t="s">
        <v>560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550</v>
      </c>
      <c r="E81" t="s">
        <v>550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560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422</v>
      </c>
      <c r="E82" t="s">
        <v>422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560</v>
      </c>
      <c r="AD82" t="s">
        <v>136</v>
      </c>
      <c r="AE82" t="s">
        <v>560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425</v>
      </c>
      <c r="E83" t="s">
        <v>425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560</v>
      </c>
      <c r="AD83" t="s">
        <v>424</v>
      </c>
      <c r="AE83" t="s">
        <v>560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420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560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420</v>
      </c>
      <c r="E85" t="s">
        <v>420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560</v>
      </c>
      <c r="AD85" t="s">
        <v>401</v>
      </c>
      <c r="AE85" t="s">
        <v>560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427</v>
      </c>
      <c r="E86" t="s">
        <v>427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560</v>
      </c>
      <c r="AD86" t="s">
        <v>427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475</v>
      </c>
      <c r="AD87" t="s">
        <v>401</v>
      </c>
      <c r="AE87" t="s">
        <v>560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549</v>
      </c>
      <c r="E88" t="s">
        <v>549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427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427</v>
      </c>
      <c r="AD89" t="s">
        <v>136</v>
      </c>
      <c r="AE89" t="s">
        <v>560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420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427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427</v>
      </c>
      <c r="AD91" t="s">
        <v>401</v>
      </c>
      <c r="AE91" t="s">
        <v>560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420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423</v>
      </c>
      <c r="AD93" t="s">
        <v>136</v>
      </c>
      <c r="AE93" t="s">
        <v>560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421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423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421</v>
      </c>
      <c r="E95" t="s">
        <v>421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423</v>
      </c>
      <c r="AD95" t="s">
        <v>401</v>
      </c>
      <c r="AE95" t="s">
        <v>560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571</v>
      </c>
      <c r="AD96" t="s">
        <v>402</v>
      </c>
      <c r="AE96" t="s">
        <v>560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550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560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550</v>
      </c>
      <c r="E98" t="s">
        <v>550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560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422</v>
      </c>
      <c r="E99" t="s">
        <v>422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560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425</v>
      </c>
      <c r="E100" t="s">
        <v>425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420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560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420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572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420</v>
      </c>
      <c r="E103" t="s">
        <v>420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572</v>
      </c>
      <c r="AD103" t="s">
        <v>402</v>
      </c>
      <c r="AE103" t="s">
        <v>560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427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420</v>
      </c>
      <c r="AD104" t="s">
        <v>136</v>
      </c>
      <c r="AE104" t="s">
        <v>560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427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420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427</v>
      </c>
      <c r="E106" t="s">
        <v>427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420</v>
      </c>
      <c r="AD106" t="s">
        <v>402</v>
      </c>
      <c r="AE106" t="s">
        <v>560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560</v>
      </c>
      <c r="AD107" t="s">
        <v>136</v>
      </c>
      <c r="AE107" t="s">
        <v>560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560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477</v>
      </c>
      <c r="E109" t="s">
        <v>477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560</v>
      </c>
      <c r="AD109" t="s">
        <v>402</v>
      </c>
      <c r="AE109" t="s">
        <v>560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478</v>
      </c>
      <c r="E110" t="s">
        <v>478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475</v>
      </c>
      <c r="AD110" t="s">
        <v>402</v>
      </c>
      <c r="AE110" t="s">
        <v>560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427</v>
      </c>
      <c r="AD111" t="s">
        <v>136</v>
      </c>
      <c r="AE111" t="s">
        <v>560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427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427</v>
      </c>
      <c r="AD113" t="s">
        <v>402</v>
      </c>
      <c r="AE113" t="s">
        <v>560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427</v>
      </c>
      <c r="AD114" t="s">
        <v>420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423</v>
      </c>
      <c r="AD115" t="s">
        <v>402</v>
      </c>
      <c r="AE115" t="s">
        <v>560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420</v>
      </c>
      <c r="AC116" t="s">
        <v>420</v>
      </c>
      <c r="AD116" t="s">
        <v>420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420</v>
      </c>
      <c r="AC117" t="s">
        <v>420</v>
      </c>
      <c r="AD117" t="s">
        <v>420</v>
      </c>
      <c r="AE117" t="s">
        <v>560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427</v>
      </c>
      <c r="AC118" t="s">
        <v>136</v>
      </c>
      <c r="AD118" t="s">
        <v>136</v>
      </c>
      <c r="AE118" t="s">
        <v>560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427</v>
      </c>
      <c r="AC119" t="s">
        <v>136</v>
      </c>
      <c r="AD119" t="s">
        <v>427</v>
      </c>
      <c r="AE119" t="s">
        <v>560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427</v>
      </c>
      <c r="AC120" t="s">
        <v>573</v>
      </c>
      <c r="AD120" t="s">
        <v>427</v>
      </c>
      <c r="AE120" t="s">
        <v>560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427</v>
      </c>
      <c r="AC121" t="s">
        <v>560</v>
      </c>
      <c r="AD121" t="s">
        <v>136</v>
      </c>
      <c r="AE121" t="s">
        <v>560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427</v>
      </c>
      <c r="AC122" t="s">
        <v>560</v>
      </c>
      <c r="AD122" t="s">
        <v>427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419</v>
      </c>
      <c r="E123" t="s">
        <v>419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427</v>
      </c>
      <c r="AC123" t="s">
        <v>560</v>
      </c>
      <c r="AD123" t="s">
        <v>427</v>
      </c>
      <c r="AE123" t="s">
        <v>560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419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427</v>
      </c>
      <c r="AC124" t="s">
        <v>427</v>
      </c>
      <c r="AD124" t="s">
        <v>136</v>
      </c>
      <c r="AE124" t="s">
        <v>560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427</v>
      </c>
      <c r="AC125" t="s">
        <v>427</v>
      </c>
      <c r="AD125" t="s">
        <v>427</v>
      </c>
      <c r="AE125" t="s">
        <v>560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420</v>
      </c>
      <c r="AD127" t="s">
        <v>403</v>
      </c>
      <c r="AE127" t="s">
        <v>560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420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560</v>
      </c>
      <c r="AD128" t="s">
        <v>136</v>
      </c>
      <c r="AE128" t="s">
        <v>560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560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420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560</v>
      </c>
      <c r="AD130" t="s">
        <v>403</v>
      </c>
      <c r="AE130" t="s">
        <v>560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421</v>
      </c>
      <c r="E131" t="s">
        <v>421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427</v>
      </c>
      <c r="AD131" t="s">
        <v>403</v>
      </c>
      <c r="AE131" t="s">
        <v>560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423</v>
      </c>
      <c r="AD132" t="s">
        <v>403</v>
      </c>
      <c r="AE132" t="s">
        <v>560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419</v>
      </c>
      <c r="E133" t="s">
        <v>419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423</v>
      </c>
      <c r="AC133" t="s">
        <v>560</v>
      </c>
      <c r="AD133" t="s">
        <v>423</v>
      </c>
      <c r="AE133" t="s">
        <v>560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419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423</v>
      </c>
      <c r="AC134" t="s">
        <v>423</v>
      </c>
      <c r="AD134" t="s">
        <v>423</v>
      </c>
      <c r="AE134" t="s">
        <v>560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560</v>
      </c>
      <c r="AE135" t="s">
        <v>560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419</v>
      </c>
      <c r="AC136" t="s">
        <v>419</v>
      </c>
      <c r="AD136" t="s">
        <v>419</v>
      </c>
      <c r="AE136" t="s">
        <v>560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419</v>
      </c>
      <c r="AC137" t="s">
        <v>400</v>
      </c>
      <c r="AD137" t="s">
        <v>400</v>
      </c>
      <c r="AE137" t="s">
        <v>560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419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419</v>
      </c>
      <c r="AC138" t="s">
        <v>421</v>
      </c>
      <c r="AD138" t="s">
        <v>419</v>
      </c>
      <c r="AE138" t="s">
        <v>560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419</v>
      </c>
      <c r="AC139" t="s">
        <v>420</v>
      </c>
      <c r="AD139" t="s">
        <v>419</v>
      </c>
      <c r="AE139" t="s">
        <v>560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571</v>
      </c>
      <c r="AD140" t="s">
        <v>400</v>
      </c>
      <c r="AE140" t="s">
        <v>560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560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420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560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420</v>
      </c>
      <c r="E144" t="s">
        <v>420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421</v>
      </c>
      <c r="AD144" t="s">
        <v>400</v>
      </c>
      <c r="AE144" t="s">
        <v>560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427</v>
      </c>
      <c r="E145" t="s">
        <v>427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572</v>
      </c>
      <c r="AD145" t="s">
        <v>400</v>
      </c>
      <c r="AE145" t="s">
        <v>560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422</v>
      </c>
      <c r="AD146" t="s">
        <v>400</v>
      </c>
      <c r="AE146" t="s">
        <v>560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423</v>
      </c>
      <c r="E147" t="s">
        <v>423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420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419</v>
      </c>
      <c r="E148" t="s">
        <v>419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420</v>
      </c>
      <c r="AD148" t="s">
        <v>400</v>
      </c>
      <c r="AE148" t="s">
        <v>560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419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420</v>
      </c>
      <c r="AD149" t="s">
        <v>136</v>
      </c>
      <c r="AE149" t="s">
        <v>560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560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560</v>
      </c>
      <c r="AD151" t="s">
        <v>400</v>
      </c>
      <c r="AE151" t="s">
        <v>560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427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427</v>
      </c>
      <c r="AD153" t="s">
        <v>400</v>
      </c>
      <c r="AE153" t="s">
        <v>560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421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427</v>
      </c>
      <c r="AD154" t="s">
        <v>136</v>
      </c>
      <c r="AE154" t="s">
        <v>560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423</v>
      </c>
      <c r="AD155" t="s">
        <v>400</v>
      </c>
      <c r="AE155" t="s">
        <v>560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420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419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419</v>
      </c>
      <c r="AD157" t="s">
        <v>136</v>
      </c>
      <c r="AE157" t="s">
        <v>560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560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425</v>
      </c>
      <c r="E159" t="s">
        <v>425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420</v>
      </c>
      <c r="E160" t="s">
        <v>420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560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560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419</v>
      </c>
      <c r="E163" t="s">
        <v>419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573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573</v>
      </c>
      <c r="AD164" t="s">
        <v>136</v>
      </c>
      <c r="AE164" t="s">
        <v>560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573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420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421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421</v>
      </c>
      <c r="AD167" t="s">
        <v>136</v>
      </c>
      <c r="AE167" t="s">
        <v>560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425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560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427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572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421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572</v>
      </c>
      <c r="AD171" t="s">
        <v>136</v>
      </c>
      <c r="AE171" t="s">
        <v>560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421</v>
      </c>
      <c r="E172" t="s">
        <v>421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422</v>
      </c>
      <c r="AD172" t="s">
        <v>136</v>
      </c>
      <c r="AE172" t="s">
        <v>560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425</v>
      </c>
      <c r="AD173" t="s">
        <v>136</v>
      </c>
      <c r="AE173" t="s">
        <v>560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420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420</v>
      </c>
      <c r="AD174" t="s">
        <v>400</v>
      </c>
      <c r="AE174" t="s">
        <v>560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420</v>
      </c>
      <c r="E175" t="s">
        <v>420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420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427</v>
      </c>
      <c r="E176" t="s">
        <v>427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420</v>
      </c>
      <c r="AD176" t="s">
        <v>136</v>
      </c>
      <c r="AE176" t="s">
        <v>560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420</v>
      </c>
      <c r="AD177" t="s">
        <v>401</v>
      </c>
      <c r="AE177" t="s">
        <v>560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560</v>
      </c>
      <c r="AD178" t="s">
        <v>419</v>
      </c>
      <c r="AE178" t="s">
        <v>560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560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560</v>
      </c>
      <c r="AD180" t="s">
        <v>136</v>
      </c>
      <c r="AE180" t="s">
        <v>560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560</v>
      </c>
      <c r="AD181" t="s">
        <v>402</v>
      </c>
      <c r="AE181" t="s">
        <v>560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427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550</v>
      </c>
      <c r="E183" t="s">
        <v>550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427</v>
      </c>
      <c r="AD183" t="s">
        <v>136</v>
      </c>
      <c r="AE183" t="s">
        <v>560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420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423</v>
      </c>
      <c r="AD184" t="s">
        <v>136</v>
      </c>
      <c r="AE184" t="s">
        <v>560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420</v>
      </c>
      <c r="E185" t="s">
        <v>420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477</v>
      </c>
      <c r="AC185" t="s">
        <v>420</v>
      </c>
      <c r="AD185" t="s">
        <v>477</v>
      </c>
      <c r="AE185" t="s">
        <v>560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427</v>
      </c>
      <c r="E186" t="s">
        <v>427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424</v>
      </c>
      <c r="AC186" t="s">
        <v>420</v>
      </c>
      <c r="AD186" t="s">
        <v>424</v>
      </c>
      <c r="AE186" t="s">
        <v>560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424</v>
      </c>
      <c r="AC187" t="s">
        <v>560</v>
      </c>
      <c r="AD187" t="s">
        <v>424</v>
      </c>
      <c r="AE187" t="s">
        <v>560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419</v>
      </c>
      <c r="E188" t="s">
        <v>419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424</v>
      </c>
      <c r="AC188" t="s">
        <v>427</v>
      </c>
      <c r="AD188" t="s">
        <v>424</v>
      </c>
      <c r="AE188" t="s">
        <v>560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571</v>
      </c>
      <c r="AD189" t="s">
        <v>401</v>
      </c>
      <c r="AE189" t="s">
        <v>560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419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419</v>
      </c>
      <c r="AD191" t="s">
        <v>401</v>
      </c>
      <c r="AE191" t="s">
        <v>560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421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420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560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560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420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573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421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573</v>
      </c>
      <c r="AD197" t="s">
        <v>401</v>
      </c>
      <c r="AE197" t="s">
        <v>560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421</v>
      </c>
      <c r="E198" t="s">
        <v>421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421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421</v>
      </c>
      <c r="AD199" t="s">
        <v>401</v>
      </c>
      <c r="AE199" t="s">
        <v>560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550</v>
      </c>
      <c r="E200" t="s">
        <v>550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422</v>
      </c>
      <c r="E201" t="s">
        <v>422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560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420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572</v>
      </c>
      <c r="AD202" t="s">
        <v>136</v>
      </c>
      <c r="AE202" t="s">
        <v>560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420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572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420</v>
      </c>
      <c r="E204" t="s">
        <v>420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572</v>
      </c>
      <c r="AD204" t="s">
        <v>401</v>
      </c>
      <c r="AE204" t="s">
        <v>560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427</v>
      </c>
      <c r="E205" t="s">
        <v>427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422</v>
      </c>
      <c r="AD205" t="s">
        <v>401</v>
      </c>
      <c r="AE205" t="s">
        <v>560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425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419</v>
      </c>
      <c r="E207" t="s">
        <v>419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425</v>
      </c>
      <c r="AD207" t="s">
        <v>401</v>
      </c>
      <c r="AE207" t="s">
        <v>560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420</v>
      </c>
      <c r="AD208" t="s">
        <v>136</v>
      </c>
      <c r="AE208" t="s">
        <v>560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420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420</v>
      </c>
      <c r="AD210" t="s">
        <v>401</v>
      </c>
      <c r="AE210" t="s">
        <v>560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420</v>
      </c>
      <c r="AD211" t="s">
        <v>420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560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560</v>
      </c>
      <c r="AD213" t="s">
        <v>401</v>
      </c>
      <c r="AE213" t="s">
        <v>560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560</v>
      </c>
      <c r="AD214" t="s">
        <v>421</v>
      </c>
      <c r="AE214" t="s">
        <v>560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475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475</v>
      </c>
      <c r="AD216" t="s">
        <v>401</v>
      </c>
      <c r="AE216" t="s">
        <v>560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427</v>
      </c>
      <c r="AD217" t="s">
        <v>136</v>
      </c>
      <c r="AE217" t="s">
        <v>560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420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427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427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427</v>
      </c>
      <c r="AD219" t="s">
        <v>401</v>
      </c>
      <c r="AE219" t="s">
        <v>560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427</v>
      </c>
      <c r="AD220" t="s">
        <v>427</v>
      </c>
      <c r="AE220" t="s">
        <v>560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419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423</v>
      </c>
      <c r="AD221" t="s">
        <v>136</v>
      </c>
      <c r="AE221" t="s">
        <v>560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423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423</v>
      </c>
      <c r="AD223" t="s">
        <v>401</v>
      </c>
      <c r="AE223" t="s">
        <v>560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560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421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421</v>
      </c>
      <c r="AD227" t="s">
        <v>402</v>
      </c>
      <c r="AE227" t="s">
        <v>560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560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420</v>
      </c>
      <c r="E229" t="s">
        <v>420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427</v>
      </c>
      <c r="E230" t="s">
        <v>427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560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572</v>
      </c>
      <c r="AD231" t="s">
        <v>136</v>
      </c>
      <c r="AE231" t="s">
        <v>560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419</v>
      </c>
      <c r="E232" t="s">
        <v>419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572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419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572</v>
      </c>
      <c r="AD233" t="s">
        <v>402</v>
      </c>
      <c r="AE233" t="s">
        <v>560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422</v>
      </c>
      <c r="AD234" t="s">
        <v>136</v>
      </c>
      <c r="AE234" t="s">
        <v>560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422</v>
      </c>
      <c r="AD235" t="s">
        <v>402</v>
      </c>
      <c r="AE235" t="s">
        <v>560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420</v>
      </c>
      <c r="AD236" t="s">
        <v>136</v>
      </c>
      <c r="AE236" t="s">
        <v>560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420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420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420</v>
      </c>
      <c r="AD238" t="s">
        <v>402</v>
      </c>
      <c r="AE238" t="s">
        <v>560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420</v>
      </c>
      <c r="AD239" t="s">
        <v>427</v>
      </c>
      <c r="AE239" t="s">
        <v>560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560</v>
      </c>
      <c r="AD240" t="s">
        <v>136</v>
      </c>
      <c r="AE240" t="s">
        <v>560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475</v>
      </c>
      <c r="E241" t="s">
        <v>475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560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427</v>
      </c>
      <c r="E242" t="s">
        <v>427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560</v>
      </c>
      <c r="AD242" t="s">
        <v>402</v>
      </c>
      <c r="AE242" t="s">
        <v>560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427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423</v>
      </c>
      <c r="E244" t="s">
        <v>423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427</v>
      </c>
      <c r="AD244" t="s">
        <v>402</v>
      </c>
      <c r="AE244" t="s">
        <v>560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419</v>
      </c>
      <c r="E245" t="s">
        <v>419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423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419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423</v>
      </c>
      <c r="AD246" t="s">
        <v>402</v>
      </c>
      <c r="AE246" t="s">
        <v>560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419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572</v>
      </c>
      <c r="AC247" t="s">
        <v>136</v>
      </c>
      <c r="AD247" t="s">
        <v>136</v>
      </c>
      <c r="AE247" t="s">
        <v>560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419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572</v>
      </c>
      <c r="AC248" t="s">
        <v>427</v>
      </c>
      <c r="AD248" t="s">
        <v>136</v>
      </c>
      <c r="AE248" t="s">
        <v>560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420</v>
      </c>
      <c r="AC249" t="s">
        <v>136</v>
      </c>
      <c r="AD249" t="s">
        <v>420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420</v>
      </c>
      <c r="AC250" t="s">
        <v>560</v>
      </c>
      <c r="AD250" t="s">
        <v>136</v>
      </c>
      <c r="AE250" t="s">
        <v>560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420</v>
      </c>
      <c r="AC251" t="s">
        <v>427</v>
      </c>
      <c r="AD251" t="s">
        <v>420</v>
      </c>
      <c r="AE251" t="s">
        <v>560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475</v>
      </c>
      <c r="AC252" t="s">
        <v>475</v>
      </c>
      <c r="AD252" t="s">
        <v>475</v>
      </c>
      <c r="AE252" t="s">
        <v>560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475</v>
      </c>
      <c r="AC253" t="s">
        <v>427</v>
      </c>
      <c r="AD253" t="s">
        <v>475</v>
      </c>
      <c r="AE253" t="s">
        <v>560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427</v>
      </c>
      <c r="AC254" t="s">
        <v>136</v>
      </c>
      <c r="AD254" t="s">
        <v>136</v>
      </c>
      <c r="AE254" t="s">
        <v>560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420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427</v>
      </c>
      <c r="AC255" t="s">
        <v>573</v>
      </c>
      <c r="AD255" t="s">
        <v>427</v>
      </c>
      <c r="AE255" t="s">
        <v>560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549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427</v>
      </c>
      <c r="AC256" t="s">
        <v>420</v>
      </c>
      <c r="AD256" t="s">
        <v>427</v>
      </c>
      <c r="AE256" t="s">
        <v>560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419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427</v>
      </c>
      <c r="AC257" t="s">
        <v>560</v>
      </c>
      <c r="AD257" t="s">
        <v>427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427</v>
      </c>
      <c r="AC258" t="s">
        <v>560</v>
      </c>
      <c r="AD258" t="s">
        <v>427</v>
      </c>
      <c r="AE258" t="s">
        <v>560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427</v>
      </c>
      <c r="AC259" t="s">
        <v>427</v>
      </c>
      <c r="AD259" t="s">
        <v>136</v>
      </c>
      <c r="AE259" t="s">
        <v>560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560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421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421</v>
      </c>
      <c r="AD261" t="s">
        <v>403</v>
      </c>
      <c r="AE261" t="s">
        <v>560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560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420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420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427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420</v>
      </c>
      <c r="AD264" t="s">
        <v>403</v>
      </c>
      <c r="AE264" t="s">
        <v>560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421</v>
      </c>
      <c r="E265" t="s">
        <v>421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560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421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560</v>
      </c>
      <c r="AD266" t="s">
        <v>403</v>
      </c>
      <c r="AE266" t="s">
        <v>560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427</v>
      </c>
      <c r="AD267" t="s">
        <v>403</v>
      </c>
      <c r="AE267" t="s">
        <v>560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550</v>
      </c>
      <c r="E268" t="s">
        <v>550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560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420</v>
      </c>
      <c r="E269" t="s">
        <v>420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423</v>
      </c>
      <c r="AD269" t="s">
        <v>403</v>
      </c>
      <c r="AE269" t="s">
        <v>560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427</v>
      </c>
      <c r="E270" t="s">
        <v>427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423</v>
      </c>
      <c r="AC270" t="s">
        <v>560</v>
      </c>
      <c r="AD270" t="s">
        <v>423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423</v>
      </c>
      <c r="AC271" t="s">
        <v>560</v>
      </c>
      <c r="AD271" t="s">
        <v>423</v>
      </c>
      <c r="AE271" t="s">
        <v>560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423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560</v>
      </c>
      <c r="AE272" t="s">
        <v>560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423</v>
      </c>
      <c r="E273" t="s">
        <v>423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419</v>
      </c>
      <c r="AC273" t="s">
        <v>419</v>
      </c>
      <c r="AD273" t="s">
        <v>419</v>
      </c>
      <c r="AE273" t="s">
        <v>560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419</v>
      </c>
      <c r="AC274" t="s">
        <v>421</v>
      </c>
      <c r="AD274" t="s">
        <v>419</v>
      </c>
      <c r="AE274" t="s">
        <v>560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549</v>
      </c>
      <c r="E275" t="s">
        <v>549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419</v>
      </c>
      <c r="AC275" t="s">
        <v>420</v>
      </c>
      <c r="AD275" t="s">
        <v>419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419</v>
      </c>
      <c r="E276" t="s">
        <v>419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419</v>
      </c>
      <c r="AC276" t="s">
        <v>420</v>
      </c>
      <c r="AD276" t="s">
        <v>419</v>
      </c>
      <c r="AE276" t="s">
        <v>560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419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419</v>
      </c>
      <c r="AC277" t="s">
        <v>420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419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419</v>
      </c>
      <c r="AC278" t="s">
        <v>560</v>
      </c>
      <c r="AD278" t="s">
        <v>419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419</v>
      </c>
      <c r="AC279" t="s">
        <v>560</v>
      </c>
      <c r="AD279" t="s">
        <v>419</v>
      </c>
      <c r="AE279" t="s">
        <v>560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419</v>
      </c>
      <c r="AC280" t="s">
        <v>427</v>
      </c>
      <c r="AD280" t="s">
        <v>419</v>
      </c>
      <c r="AE280" t="s">
        <v>560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571</v>
      </c>
      <c r="AD281" t="s">
        <v>400</v>
      </c>
      <c r="AE281" t="s">
        <v>560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419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419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420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419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560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560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573</v>
      </c>
      <c r="AD287" t="s">
        <v>400</v>
      </c>
      <c r="AE287" t="s">
        <v>560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421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421</v>
      </c>
      <c r="AD288" t="s">
        <v>419</v>
      </c>
      <c r="AE288" t="s">
        <v>560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420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421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421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421</v>
      </c>
      <c r="AD290" t="s">
        <v>400</v>
      </c>
      <c r="AE290" t="s">
        <v>560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421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560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421</v>
      </c>
      <c r="E292" t="s">
        <v>421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572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572</v>
      </c>
      <c r="AD293" t="s">
        <v>400</v>
      </c>
      <c r="AE293" t="s">
        <v>560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550</v>
      </c>
      <c r="E294" t="s">
        <v>550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422</v>
      </c>
      <c r="AD294" t="s">
        <v>400</v>
      </c>
      <c r="AE294" t="s">
        <v>560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420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420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420</v>
      </c>
      <c r="E296" t="s">
        <v>420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420</v>
      </c>
      <c r="AD296" t="s">
        <v>400</v>
      </c>
      <c r="AE296" t="s">
        <v>560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427</v>
      </c>
      <c r="E297" t="s">
        <v>427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420</v>
      </c>
      <c r="AD297" t="s">
        <v>136</v>
      </c>
      <c r="AE297" t="s">
        <v>560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420</v>
      </c>
      <c r="AD298" t="s">
        <v>402</v>
      </c>
      <c r="AE298" t="s">
        <v>560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423</v>
      </c>
      <c r="E299" t="s">
        <v>423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560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560</v>
      </c>
      <c r="AD300" t="s">
        <v>400</v>
      </c>
      <c r="AE300" t="s">
        <v>560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427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427</v>
      </c>
      <c r="AD302" t="s">
        <v>400</v>
      </c>
      <c r="AE302" t="s">
        <v>560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423</v>
      </c>
      <c r="AD303" t="s">
        <v>400</v>
      </c>
      <c r="AE303" t="s">
        <v>560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571</v>
      </c>
      <c r="AD304" t="s">
        <v>136</v>
      </c>
      <c r="AE304" t="s">
        <v>560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420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419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549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419</v>
      </c>
      <c r="AD306" t="s">
        <v>136</v>
      </c>
      <c r="AE306" t="s">
        <v>560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419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560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560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421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560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420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573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421</v>
      </c>
      <c r="E312" t="s">
        <v>421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573</v>
      </c>
      <c r="AD312" t="s">
        <v>136</v>
      </c>
      <c r="AE312" t="s">
        <v>560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573</v>
      </c>
      <c r="AD313" t="s">
        <v>401</v>
      </c>
      <c r="AE313" t="s">
        <v>560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550</v>
      </c>
      <c r="E314" t="s">
        <v>550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421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425</v>
      </c>
      <c r="E315" t="s">
        <v>425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421</v>
      </c>
      <c r="AD315" t="s">
        <v>136</v>
      </c>
      <c r="AE315" t="s">
        <v>560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420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420</v>
      </c>
      <c r="E317" t="s">
        <v>420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560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427</v>
      </c>
      <c r="E318" t="s">
        <v>427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560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572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419</v>
      </c>
      <c r="E320" t="s">
        <v>419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572</v>
      </c>
      <c r="AD320" t="s">
        <v>136</v>
      </c>
      <c r="AE320" t="s">
        <v>560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422</v>
      </c>
      <c r="AD321" t="s">
        <v>136</v>
      </c>
      <c r="AE321" t="s">
        <v>560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425</v>
      </c>
      <c r="AD322" t="s">
        <v>136</v>
      </c>
      <c r="AE322" t="s">
        <v>560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420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420</v>
      </c>
      <c r="AD323" t="s">
        <v>419</v>
      </c>
      <c r="AE323" t="s">
        <v>560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549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420</v>
      </c>
      <c r="AD324" t="s">
        <v>400</v>
      </c>
      <c r="AE324" t="s">
        <v>560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419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420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420</v>
      </c>
      <c r="AD326" t="s">
        <v>136</v>
      </c>
      <c r="AE326" t="s">
        <v>560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420</v>
      </c>
      <c r="AD327" t="s">
        <v>401</v>
      </c>
      <c r="AE327" t="s">
        <v>560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421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420</v>
      </c>
      <c r="AD328" t="s">
        <v>402</v>
      </c>
      <c r="AE328" t="s">
        <v>560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420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420</v>
      </c>
      <c r="AD329" t="s">
        <v>420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421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420</v>
      </c>
      <c r="AD330" t="s">
        <v>420</v>
      </c>
      <c r="AE330" t="s">
        <v>560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421</v>
      </c>
      <c r="E331" t="s">
        <v>421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560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560</v>
      </c>
      <c r="AD332" t="s">
        <v>136</v>
      </c>
      <c r="AE332" t="s">
        <v>560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550</v>
      </c>
      <c r="E333" t="s">
        <v>550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427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425</v>
      </c>
      <c r="E334" t="s">
        <v>425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427</v>
      </c>
      <c r="AD334" t="s">
        <v>136</v>
      </c>
      <c r="AE334" t="s">
        <v>560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420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423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420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423</v>
      </c>
      <c r="AD336" t="s">
        <v>136</v>
      </c>
      <c r="AE336" t="s">
        <v>560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420</v>
      </c>
      <c r="E337" t="s">
        <v>420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477</v>
      </c>
      <c r="AC337" t="s">
        <v>572</v>
      </c>
      <c r="AD337" t="s">
        <v>477</v>
      </c>
      <c r="AE337" t="s">
        <v>560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427</v>
      </c>
      <c r="E338" t="s">
        <v>427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477</v>
      </c>
      <c r="AC338" t="s">
        <v>420</v>
      </c>
      <c r="AD338" t="s">
        <v>477</v>
      </c>
      <c r="AE338" t="s">
        <v>560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419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571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571</v>
      </c>
      <c r="AD340" t="s">
        <v>401</v>
      </c>
      <c r="AE340" t="s">
        <v>560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419</v>
      </c>
      <c r="AD341" t="s">
        <v>419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419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421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419</v>
      </c>
      <c r="AD343" t="s">
        <v>401</v>
      </c>
      <c r="AE343" t="s">
        <v>560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420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560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421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421</v>
      </c>
      <c r="E348" t="s">
        <v>421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560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573</v>
      </c>
      <c r="AD349" t="s">
        <v>419</v>
      </c>
      <c r="AE349" t="s">
        <v>560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550</v>
      </c>
      <c r="E350" t="s">
        <v>550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573</v>
      </c>
      <c r="AD350" t="s">
        <v>400</v>
      </c>
      <c r="AE350" t="s">
        <v>560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422</v>
      </c>
      <c r="E351" t="s">
        <v>422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573</v>
      </c>
      <c r="AD351" t="s">
        <v>136</v>
      </c>
      <c r="AE351" t="s">
        <v>560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425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573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425</v>
      </c>
      <c r="E353" t="s">
        <v>425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573</v>
      </c>
      <c r="AD353" t="s">
        <v>401</v>
      </c>
      <c r="AE353" t="s">
        <v>560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420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573</v>
      </c>
      <c r="AD354" t="s">
        <v>421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420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573</v>
      </c>
      <c r="AD355" t="s">
        <v>421</v>
      </c>
      <c r="AE355" t="s">
        <v>560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420</v>
      </c>
      <c r="E356" t="s">
        <v>420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573</v>
      </c>
      <c r="AD356" t="s">
        <v>420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427</v>
      </c>
      <c r="E357" t="s">
        <v>427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421</v>
      </c>
      <c r="AD357" t="s">
        <v>136</v>
      </c>
      <c r="AE357" t="s">
        <v>560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421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421</v>
      </c>
      <c r="AD359" t="s">
        <v>401</v>
      </c>
      <c r="AE359" t="s">
        <v>560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421</v>
      </c>
      <c r="AD360" t="s">
        <v>421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421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424</v>
      </c>
      <c r="E363" t="s">
        <v>424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560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419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572</v>
      </c>
      <c r="AD364" t="s">
        <v>136</v>
      </c>
      <c r="AE364" t="s">
        <v>560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572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572</v>
      </c>
      <c r="AD366" t="s">
        <v>401</v>
      </c>
      <c r="AE366" t="s">
        <v>560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572</v>
      </c>
      <c r="AD367" t="s">
        <v>421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427</v>
      </c>
      <c r="E368" t="s">
        <v>427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422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422</v>
      </c>
      <c r="AD369" t="s">
        <v>401</v>
      </c>
      <c r="AE369" t="s">
        <v>560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425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423</v>
      </c>
      <c r="E371" t="s">
        <v>423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425</v>
      </c>
      <c r="AD371" t="s">
        <v>401</v>
      </c>
      <c r="AE371" t="s">
        <v>560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420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419</v>
      </c>
      <c r="E373" t="s">
        <v>419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420</v>
      </c>
      <c r="AD373" t="s">
        <v>136</v>
      </c>
      <c r="AE373" t="s">
        <v>560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420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419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420</v>
      </c>
      <c r="AD375" t="s">
        <v>401</v>
      </c>
      <c r="AE375" t="s">
        <v>560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420</v>
      </c>
      <c r="AD376" t="s">
        <v>421</v>
      </c>
      <c r="AE376" t="s">
        <v>560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420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420</v>
      </c>
      <c r="AD378" t="s">
        <v>420</v>
      </c>
      <c r="AE378" t="s">
        <v>560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560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560</v>
      </c>
      <c r="AD380" t="s">
        <v>401</v>
      </c>
      <c r="AE380" t="s">
        <v>560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560</v>
      </c>
      <c r="AD381" t="s">
        <v>421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427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560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427</v>
      </c>
      <c r="E383" t="s">
        <v>427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475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475</v>
      </c>
      <c r="AD384" t="s">
        <v>401</v>
      </c>
      <c r="AE384" t="s">
        <v>560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423</v>
      </c>
      <c r="E385" t="s">
        <v>423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427</v>
      </c>
      <c r="AD385" t="s">
        <v>136</v>
      </c>
      <c r="AE385" t="s">
        <v>560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427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419</v>
      </c>
      <c r="E387" t="s">
        <v>419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427</v>
      </c>
      <c r="AD387" t="s">
        <v>401</v>
      </c>
      <c r="AE387" t="s">
        <v>560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560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560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423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419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423</v>
      </c>
      <c r="AD391" t="s">
        <v>401</v>
      </c>
      <c r="AE391" t="s">
        <v>560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423</v>
      </c>
      <c r="AD392" t="s">
        <v>423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423</v>
      </c>
      <c r="AD393" t="s">
        <v>423</v>
      </c>
      <c r="AE393" t="s">
        <v>560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421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421</v>
      </c>
      <c r="AC394" t="s">
        <v>423</v>
      </c>
      <c r="AD394" t="s">
        <v>421</v>
      </c>
      <c r="AE394" t="s">
        <v>560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420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571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571</v>
      </c>
      <c r="AD396" t="s">
        <v>402</v>
      </c>
      <c r="AE396" t="s">
        <v>560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420</v>
      </c>
      <c r="E397" t="s">
        <v>420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427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560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573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573</v>
      </c>
      <c r="AD400" t="s">
        <v>402</v>
      </c>
      <c r="AE400" t="s">
        <v>560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419</v>
      </c>
      <c r="E401" t="s">
        <v>419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421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419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421</v>
      </c>
      <c r="AD402" t="s">
        <v>402</v>
      </c>
      <c r="AE402" t="s">
        <v>560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560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560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419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572</v>
      </c>
      <c r="AD406" t="s">
        <v>136</v>
      </c>
      <c r="AE406" t="s">
        <v>560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572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572</v>
      </c>
      <c r="AD408" t="s">
        <v>402</v>
      </c>
      <c r="AE408" t="s">
        <v>560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421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422</v>
      </c>
      <c r="AD409" t="s">
        <v>402</v>
      </c>
      <c r="AE409" t="s">
        <v>560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420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425</v>
      </c>
      <c r="AD410" t="s">
        <v>402</v>
      </c>
      <c r="AE410" t="s">
        <v>560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419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420</v>
      </c>
      <c r="AD411" t="s">
        <v>136</v>
      </c>
      <c r="AE411" t="s">
        <v>560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420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420</v>
      </c>
      <c r="AD413" t="s">
        <v>402</v>
      </c>
      <c r="AE413" t="s">
        <v>560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420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560</v>
      </c>
      <c r="AD414" t="s">
        <v>400</v>
      </c>
      <c r="AE414" t="s">
        <v>560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420</v>
      </c>
      <c r="E415" t="s">
        <v>420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560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475</v>
      </c>
      <c r="E416" t="s">
        <v>475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560</v>
      </c>
      <c r="AD416" t="s">
        <v>402</v>
      </c>
      <c r="AE416" t="s">
        <v>560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427</v>
      </c>
      <c r="E417" t="s">
        <v>427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475</v>
      </c>
      <c r="AD417" t="s">
        <v>402</v>
      </c>
      <c r="AE417" t="s">
        <v>560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427</v>
      </c>
      <c r="AD418" t="s">
        <v>136</v>
      </c>
      <c r="AE418" t="s">
        <v>560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423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427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427</v>
      </c>
      <c r="AD420" t="s">
        <v>402</v>
      </c>
      <c r="AE420" t="s">
        <v>560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549</v>
      </c>
      <c r="E421" t="s">
        <v>549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423</v>
      </c>
      <c r="AD421" t="s">
        <v>402</v>
      </c>
      <c r="AE421" t="s">
        <v>560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419</v>
      </c>
      <c r="E422" t="s">
        <v>419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420</v>
      </c>
      <c r="AC422" t="s">
        <v>136</v>
      </c>
      <c r="AD422" t="s">
        <v>420</v>
      </c>
      <c r="AE422" t="s">
        <v>560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419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420</v>
      </c>
      <c r="AC423" t="s">
        <v>420</v>
      </c>
      <c r="AD423" t="s">
        <v>136</v>
      </c>
      <c r="AE423" t="s">
        <v>560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419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420</v>
      </c>
      <c r="AC424" t="s">
        <v>420</v>
      </c>
      <c r="AD424" t="s">
        <v>420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419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420</v>
      </c>
      <c r="AC425" t="s">
        <v>420</v>
      </c>
      <c r="AD425" t="s">
        <v>420</v>
      </c>
      <c r="AE425" t="s">
        <v>560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419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420</v>
      </c>
      <c r="AC426" t="s">
        <v>560</v>
      </c>
      <c r="AD426" t="s">
        <v>420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420</v>
      </c>
      <c r="AC427" t="s">
        <v>560</v>
      </c>
      <c r="AD427" t="s">
        <v>420</v>
      </c>
      <c r="AE427" t="s">
        <v>560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420</v>
      </c>
      <c r="AC428" t="s">
        <v>427</v>
      </c>
      <c r="AD428" t="s">
        <v>400</v>
      </c>
      <c r="AE428" t="s">
        <v>560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427</v>
      </c>
      <c r="AC429" t="s">
        <v>419</v>
      </c>
      <c r="AD429" t="s">
        <v>427</v>
      </c>
      <c r="AE429" t="s">
        <v>560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427</v>
      </c>
      <c r="AC430" t="s">
        <v>136</v>
      </c>
      <c r="AD430" t="s">
        <v>136</v>
      </c>
      <c r="AE430" t="s">
        <v>560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427</v>
      </c>
      <c r="AC431" t="s">
        <v>573</v>
      </c>
      <c r="AD431" t="s">
        <v>427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419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427</v>
      </c>
      <c r="AC432" t="s">
        <v>573</v>
      </c>
      <c r="AD432" t="s">
        <v>427</v>
      </c>
      <c r="AE432" t="s">
        <v>560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427</v>
      </c>
      <c r="AC433" t="s">
        <v>420</v>
      </c>
      <c r="AD433" t="s">
        <v>427</v>
      </c>
      <c r="AE433" t="s">
        <v>560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427</v>
      </c>
      <c r="AC434" t="s">
        <v>560</v>
      </c>
      <c r="AD434" t="s">
        <v>427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427</v>
      </c>
      <c r="AC435" t="s">
        <v>560</v>
      </c>
      <c r="AD435" t="s">
        <v>427</v>
      </c>
      <c r="AE435" t="s">
        <v>560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421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427</v>
      </c>
      <c r="AC436" t="s">
        <v>427</v>
      </c>
      <c r="AD436" t="s">
        <v>136</v>
      </c>
      <c r="AE436" t="s">
        <v>560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419</v>
      </c>
      <c r="AD437" t="s">
        <v>403</v>
      </c>
      <c r="AE437" t="s">
        <v>560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420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560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421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573</v>
      </c>
      <c r="AD439" t="s">
        <v>403</v>
      </c>
      <c r="AE439" t="s">
        <v>560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421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421</v>
      </c>
      <c r="AD441" t="s">
        <v>403</v>
      </c>
      <c r="AE441" t="s">
        <v>560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560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421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572</v>
      </c>
      <c r="AD443" t="s">
        <v>403</v>
      </c>
      <c r="AE443" t="s">
        <v>560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422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422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420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420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420</v>
      </c>
      <c r="AD446" t="s">
        <v>403</v>
      </c>
      <c r="AE446" t="s">
        <v>560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420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560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420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560</v>
      </c>
      <c r="AD448" t="s">
        <v>403</v>
      </c>
      <c r="AE448" t="s">
        <v>560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420</v>
      </c>
      <c r="E449" t="s">
        <v>420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427</v>
      </c>
      <c r="AD449" t="s">
        <v>403</v>
      </c>
      <c r="AE449" t="s">
        <v>560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427</v>
      </c>
      <c r="E450" t="s">
        <v>427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423</v>
      </c>
      <c r="AD451" t="s">
        <v>403</v>
      </c>
      <c r="AE451" t="s">
        <v>560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423</v>
      </c>
      <c r="E452" t="s">
        <v>423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423</v>
      </c>
      <c r="AC452" t="s">
        <v>560</v>
      </c>
      <c r="AD452" t="s">
        <v>423</v>
      </c>
      <c r="AE452" t="s">
        <v>560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560</v>
      </c>
      <c r="AE453" t="s">
        <v>560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419</v>
      </c>
      <c r="E454" t="s">
        <v>419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419</v>
      </c>
      <c r="AC454" t="s">
        <v>419</v>
      </c>
      <c r="AD454" t="s">
        <v>419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419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419</v>
      </c>
      <c r="AC455" t="s">
        <v>419</v>
      </c>
      <c r="AD455" t="s">
        <v>419</v>
      </c>
      <c r="AE455" t="s">
        <v>560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419</v>
      </c>
      <c r="AC456" t="s">
        <v>419</v>
      </c>
      <c r="AD456" t="s">
        <v>400</v>
      </c>
      <c r="AE456" t="s">
        <v>560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419</v>
      </c>
      <c r="AC457" t="s">
        <v>136</v>
      </c>
      <c r="AD457" t="s">
        <v>419</v>
      </c>
      <c r="AE457" t="s">
        <v>560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419</v>
      </c>
      <c r="AC458" t="s">
        <v>421</v>
      </c>
      <c r="AD458" t="s">
        <v>419</v>
      </c>
      <c r="AE458" t="s">
        <v>560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419</v>
      </c>
      <c r="AC459" t="s">
        <v>421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419</v>
      </c>
      <c r="AC460" t="s">
        <v>572</v>
      </c>
      <c r="AD460" t="s">
        <v>419</v>
      </c>
      <c r="AE460" t="s">
        <v>560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420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419</v>
      </c>
      <c r="AC461" t="s">
        <v>572</v>
      </c>
      <c r="AD461" t="s">
        <v>400</v>
      </c>
      <c r="AE461" t="s">
        <v>560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419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419</v>
      </c>
      <c r="AC462" t="s">
        <v>422</v>
      </c>
      <c r="AD462" t="s">
        <v>419</v>
      </c>
      <c r="AE462" t="s">
        <v>560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419</v>
      </c>
      <c r="AC463" t="s">
        <v>420</v>
      </c>
      <c r="AD463" t="s">
        <v>419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419</v>
      </c>
      <c r="AC464" t="s">
        <v>420</v>
      </c>
      <c r="AD464" t="s">
        <v>419</v>
      </c>
      <c r="AE464" t="s">
        <v>560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419</v>
      </c>
      <c r="AC465" t="s">
        <v>420</v>
      </c>
      <c r="AD465" t="s">
        <v>400</v>
      </c>
      <c r="AE465" t="s">
        <v>560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421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419</v>
      </c>
      <c r="AC466" t="s">
        <v>420</v>
      </c>
      <c r="AD466" t="s">
        <v>401</v>
      </c>
      <c r="AE466" t="s">
        <v>560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420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419</v>
      </c>
      <c r="AC467" t="s">
        <v>427</v>
      </c>
      <c r="AD467" t="s">
        <v>419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421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419</v>
      </c>
      <c r="AC468" t="s">
        <v>427</v>
      </c>
      <c r="AD468" t="s">
        <v>419</v>
      </c>
      <c r="AE468" t="s">
        <v>560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421</v>
      </c>
      <c r="E469" t="s">
        <v>421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419</v>
      </c>
      <c r="AC469" t="s">
        <v>427</v>
      </c>
      <c r="AD469" t="s">
        <v>400</v>
      </c>
      <c r="AE469" t="s">
        <v>560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419</v>
      </c>
      <c r="AD470" t="s">
        <v>419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419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419</v>
      </c>
      <c r="AD472" t="s">
        <v>400</v>
      </c>
      <c r="AE472" t="s">
        <v>560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419</v>
      </c>
      <c r="AE473" t="s">
        <v>560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420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550</v>
      </c>
      <c r="E475" t="s">
        <v>550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560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420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420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560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420</v>
      </c>
      <c r="E478" t="s">
        <v>420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573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475</v>
      </c>
      <c r="E479" t="s">
        <v>420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573</v>
      </c>
      <c r="AD479" t="s">
        <v>400</v>
      </c>
      <c r="AE479" t="s">
        <v>560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427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421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427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421</v>
      </c>
      <c r="AD481" t="s">
        <v>400</v>
      </c>
      <c r="AE481" t="s">
        <v>560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427</v>
      </c>
      <c r="E482" t="s">
        <v>427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572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572</v>
      </c>
      <c r="AD483" t="s">
        <v>400</v>
      </c>
      <c r="AE483" t="s">
        <v>560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423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422</v>
      </c>
      <c r="AD484" t="s">
        <v>400</v>
      </c>
      <c r="AE484" t="s">
        <v>560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423</v>
      </c>
      <c r="E485" t="s">
        <v>423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425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419</v>
      </c>
      <c r="E486" t="s">
        <v>419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425</v>
      </c>
      <c r="AD486" t="s">
        <v>400</v>
      </c>
      <c r="AE486" t="s">
        <v>560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419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420</v>
      </c>
      <c r="AD487" t="s">
        <v>419</v>
      </c>
      <c r="AE487" t="s">
        <v>560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420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420</v>
      </c>
      <c r="AD489" t="s">
        <v>400</v>
      </c>
      <c r="AE489" t="s">
        <v>560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420</v>
      </c>
      <c r="AD490" t="s">
        <v>136</v>
      </c>
      <c r="AE490" t="s">
        <v>560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420</v>
      </c>
      <c r="AD491" t="s">
        <v>402</v>
      </c>
      <c r="AE491" t="s">
        <v>560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560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560</v>
      </c>
      <c r="AD493" t="s">
        <v>400</v>
      </c>
      <c r="AE493" t="s">
        <v>560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420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475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427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427</v>
      </c>
      <c r="AD495" t="s">
        <v>419</v>
      </c>
      <c r="AE495" t="s">
        <v>560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427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427</v>
      </c>
      <c r="AD497" t="s">
        <v>400</v>
      </c>
      <c r="AE497" t="s">
        <v>560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427</v>
      </c>
      <c r="AD498" t="s">
        <v>136</v>
      </c>
      <c r="AE498" t="s">
        <v>560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427</v>
      </c>
      <c r="AD499" t="s">
        <v>401</v>
      </c>
      <c r="AE499" t="s">
        <v>560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420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560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421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423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421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423</v>
      </c>
      <c r="AD502" t="s">
        <v>400</v>
      </c>
      <c r="AE502" t="s">
        <v>560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421</v>
      </c>
      <c r="E503" t="s">
        <v>421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571</v>
      </c>
      <c r="AD503" t="s">
        <v>136</v>
      </c>
      <c r="AE503" t="s">
        <v>560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419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419</v>
      </c>
      <c r="AD505" t="s">
        <v>136</v>
      </c>
      <c r="AE505" t="s">
        <v>560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550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419</v>
      </c>
      <c r="AD506" t="s">
        <v>401</v>
      </c>
      <c r="AE506" t="s">
        <v>560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550</v>
      </c>
      <c r="E507" t="s">
        <v>550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425</v>
      </c>
      <c r="E508" t="s">
        <v>425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560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420</v>
      </c>
      <c r="E509" t="s">
        <v>419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420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560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420</v>
      </c>
      <c r="E511" t="s">
        <v>420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427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560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427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573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427</v>
      </c>
      <c r="E514" t="s">
        <v>427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573</v>
      </c>
      <c r="AD514" t="s">
        <v>136</v>
      </c>
      <c r="AE514" t="s">
        <v>560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573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421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423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421</v>
      </c>
      <c r="AD517" t="s">
        <v>136</v>
      </c>
      <c r="AE517" t="s">
        <v>560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423</v>
      </c>
      <c r="E518" t="s">
        <v>423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560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572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419</v>
      </c>
      <c r="E520" t="s">
        <v>419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572</v>
      </c>
      <c r="AD520" t="s">
        <v>136</v>
      </c>
      <c r="AE520" t="s">
        <v>560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419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422</v>
      </c>
      <c r="AD521" t="s">
        <v>136</v>
      </c>
      <c r="AE521" t="s">
        <v>560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425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425</v>
      </c>
      <c r="AD523" t="s">
        <v>136</v>
      </c>
      <c r="AE523" t="s">
        <v>560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420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420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420</v>
      </c>
      <c r="AD525" t="s">
        <v>136</v>
      </c>
      <c r="AE525" t="s">
        <v>560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419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420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420</v>
      </c>
      <c r="AD527" t="s">
        <v>401</v>
      </c>
      <c r="AE527" t="s">
        <v>560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420</v>
      </c>
      <c r="AD528" t="s">
        <v>402</v>
      </c>
      <c r="AE528" t="s">
        <v>560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421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420</v>
      </c>
      <c r="AD529" t="s">
        <v>420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420</v>
      </c>
      <c r="AD530" t="s">
        <v>403</v>
      </c>
      <c r="AE530" t="s">
        <v>560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420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560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421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560</v>
      </c>
      <c r="AD532" t="s">
        <v>136</v>
      </c>
      <c r="AE532" t="s">
        <v>560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421</v>
      </c>
      <c r="E533" t="s">
        <v>421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427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427</v>
      </c>
      <c r="AD534" t="s">
        <v>136</v>
      </c>
      <c r="AE534" t="s">
        <v>560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560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550</v>
      </c>
      <c r="E537" t="s">
        <v>550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560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420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423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420</v>
      </c>
      <c r="E539" t="s">
        <v>420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423</v>
      </c>
      <c r="AD539" t="s">
        <v>136</v>
      </c>
      <c r="AE539" t="s">
        <v>560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427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477</v>
      </c>
      <c r="AC540" t="s">
        <v>420</v>
      </c>
      <c r="AD540" t="s">
        <v>477</v>
      </c>
      <c r="AE540" t="s">
        <v>560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427</v>
      </c>
      <c r="E541" t="s">
        <v>427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424</v>
      </c>
      <c r="AC541" t="s">
        <v>560</v>
      </c>
      <c r="AD541" t="s">
        <v>424</v>
      </c>
      <c r="AE541" t="s">
        <v>560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571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571</v>
      </c>
      <c r="AD543" t="s">
        <v>401</v>
      </c>
      <c r="AE543" t="s">
        <v>560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549</v>
      </c>
      <c r="E544" t="s">
        <v>549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419</v>
      </c>
      <c r="AD544" t="s">
        <v>136</v>
      </c>
      <c r="AE544" t="s">
        <v>560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419</v>
      </c>
      <c r="E545" t="s">
        <v>419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419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419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419</v>
      </c>
      <c r="AD546" t="s">
        <v>401</v>
      </c>
      <c r="AE546" t="s">
        <v>560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419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419</v>
      </c>
      <c r="AD547" t="s">
        <v>421</v>
      </c>
      <c r="AE547" t="s">
        <v>560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419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419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560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419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560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421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560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550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573</v>
      </c>
      <c r="AD555" t="s">
        <v>419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420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573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427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573</v>
      </c>
      <c r="AD557" t="s">
        <v>136</v>
      </c>
      <c r="AE557" t="s">
        <v>560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419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573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573</v>
      </c>
      <c r="AD559" t="s">
        <v>401</v>
      </c>
      <c r="AE559" t="s">
        <v>560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573</v>
      </c>
      <c r="AD560" t="s">
        <v>421</v>
      </c>
      <c r="AE560" t="s">
        <v>560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573</v>
      </c>
      <c r="AD561" t="s">
        <v>420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421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421</v>
      </c>
      <c r="AD562" t="s">
        <v>136</v>
      </c>
      <c r="AE562" t="s">
        <v>560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421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420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421</v>
      </c>
      <c r="AD564" t="s">
        <v>401</v>
      </c>
      <c r="AE564" t="s">
        <v>560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421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421</v>
      </c>
      <c r="AD565" t="s">
        <v>421</v>
      </c>
      <c r="AE565" t="s">
        <v>560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421</v>
      </c>
      <c r="E566" t="s">
        <v>421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421</v>
      </c>
      <c r="AD566" t="s">
        <v>427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560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550</v>
      </c>
      <c r="E569" t="s">
        <v>419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572</v>
      </c>
      <c r="AD569" t="s">
        <v>136</v>
      </c>
      <c r="AE569" t="s">
        <v>560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550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572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550</v>
      </c>
      <c r="E571" t="s">
        <v>550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572</v>
      </c>
      <c r="AD571" t="s">
        <v>401</v>
      </c>
      <c r="AE571" t="s">
        <v>560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422</v>
      </c>
      <c r="E572" t="s">
        <v>422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422</v>
      </c>
      <c r="AD572" t="s">
        <v>419</v>
      </c>
      <c r="AE572" t="s">
        <v>560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425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422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425</v>
      </c>
      <c r="E574" t="s">
        <v>425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422</v>
      </c>
      <c r="AD574" t="s">
        <v>401</v>
      </c>
      <c r="AE574" t="s">
        <v>560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420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425</v>
      </c>
      <c r="AD575" t="s">
        <v>136</v>
      </c>
      <c r="AE575" t="s">
        <v>560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420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425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420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425</v>
      </c>
      <c r="AD577" t="s">
        <v>401</v>
      </c>
      <c r="AE577" t="s">
        <v>560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420</v>
      </c>
      <c r="E578" t="s">
        <v>420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425</v>
      </c>
      <c r="AD578" t="s">
        <v>425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427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420</v>
      </c>
      <c r="AD579" t="s">
        <v>419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427</v>
      </c>
      <c r="E580" t="s">
        <v>420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420</v>
      </c>
      <c r="AD580" t="s">
        <v>419</v>
      </c>
      <c r="AE580" t="s">
        <v>560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427</v>
      </c>
      <c r="E581" t="s">
        <v>427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420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420</v>
      </c>
      <c r="AD582" t="s">
        <v>136</v>
      </c>
      <c r="AE582" t="s">
        <v>560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420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420</v>
      </c>
      <c r="AD584" t="s">
        <v>401</v>
      </c>
      <c r="AE584" t="s">
        <v>560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420</v>
      </c>
      <c r="AD585" t="s">
        <v>402</v>
      </c>
      <c r="AE585" t="s">
        <v>560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420</v>
      </c>
      <c r="AD586" t="s">
        <v>572</v>
      </c>
      <c r="AE586" t="s">
        <v>560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420</v>
      </c>
      <c r="AD587" t="s">
        <v>420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420</v>
      </c>
      <c r="E588" t="s">
        <v>420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420</v>
      </c>
      <c r="AD588" t="s">
        <v>420</v>
      </c>
      <c r="AE588" t="s">
        <v>560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427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560</v>
      </c>
      <c r="AD589" t="s">
        <v>136</v>
      </c>
      <c r="AE589" t="s">
        <v>560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560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560</v>
      </c>
      <c r="AD591" t="s">
        <v>401</v>
      </c>
      <c r="AE591" t="s">
        <v>560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475</v>
      </c>
      <c r="AD592" t="s">
        <v>419</v>
      </c>
      <c r="AE592" t="s">
        <v>560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475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475</v>
      </c>
      <c r="AD594" t="s">
        <v>401</v>
      </c>
      <c r="AE594" t="s">
        <v>560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427</v>
      </c>
      <c r="AD595" t="s">
        <v>136</v>
      </c>
      <c r="AE595" t="s">
        <v>560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427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427</v>
      </c>
      <c r="AD597" t="s">
        <v>401</v>
      </c>
      <c r="AE597" t="s">
        <v>560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427</v>
      </c>
      <c r="AD598" t="s">
        <v>421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421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427</v>
      </c>
      <c r="AD599" t="s">
        <v>421</v>
      </c>
      <c r="AE599" t="s">
        <v>560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420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427</v>
      </c>
      <c r="AD600" t="s">
        <v>402</v>
      </c>
      <c r="AE600" t="s">
        <v>560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423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427</v>
      </c>
      <c r="AD601" t="s">
        <v>420</v>
      </c>
      <c r="AE601" t="s">
        <v>560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560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560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423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419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423</v>
      </c>
      <c r="AD606" t="s">
        <v>401</v>
      </c>
      <c r="AE606" t="s">
        <v>560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423</v>
      </c>
      <c r="AD607" t="s">
        <v>423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423</v>
      </c>
      <c r="AD608" t="s">
        <v>423</v>
      </c>
      <c r="AE608" t="s">
        <v>560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421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421</v>
      </c>
      <c r="AC609" t="s">
        <v>136</v>
      </c>
      <c r="AD609" t="s">
        <v>421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423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421</v>
      </c>
      <c r="AC610" t="s">
        <v>421</v>
      </c>
      <c r="AD610" t="s">
        <v>421</v>
      </c>
      <c r="AE610" t="s">
        <v>560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421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421</v>
      </c>
      <c r="AC611" t="s">
        <v>420</v>
      </c>
      <c r="AD611" t="s">
        <v>401</v>
      </c>
      <c r="AE611" t="s">
        <v>560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421</v>
      </c>
      <c r="E612" t="s">
        <v>421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421</v>
      </c>
      <c r="AC612" t="s">
        <v>420</v>
      </c>
      <c r="AD612" t="s">
        <v>421</v>
      </c>
      <c r="AE612" t="s">
        <v>560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571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571</v>
      </c>
      <c r="AD614" t="s">
        <v>402</v>
      </c>
      <c r="AE614" t="s">
        <v>560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475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419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419</v>
      </c>
      <c r="AD616" t="s">
        <v>402</v>
      </c>
      <c r="AE616" t="s">
        <v>560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560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419</v>
      </c>
      <c r="E618" t="s">
        <v>419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419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560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419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573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573</v>
      </c>
      <c r="AD621" t="s">
        <v>402</v>
      </c>
      <c r="AE621" t="s">
        <v>560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421</v>
      </c>
      <c r="AD622" t="s">
        <v>400</v>
      </c>
      <c r="AE622" t="s">
        <v>560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421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419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421</v>
      </c>
      <c r="AD624" t="s">
        <v>402</v>
      </c>
      <c r="AE624" t="s">
        <v>560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419</v>
      </c>
      <c r="AE625" t="s">
        <v>560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421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420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560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421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420</v>
      </c>
      <c r="AE629" t="s">
        <v>560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572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550</v>
      </c>
      <c r="E631" t="s">
        <v>550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572</v>
      </c>
      <c r="AD631" t="s">
        <v>136</v>
      </c>
      <c r="AE631" t="s">
        <v>560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420</v>
      </c>
      <c r="E632" t="s">
        <v>420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572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475</v>
      </c>
      <c r="E633" t="s">
        <v>475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572</v>
      </c>
      <c r="AD633" t="s">
        <v>402</v>
      </c>
      <c r="AE633" t="s">
        <v>560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427</v>
      </c>
      <c r="E634" t="s">
        <v>420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422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427</v>
      </c>
      <c r="E635" t="s">
        <v>427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422</v>
      </c>
      <c r="AD635" t="s">
        <v>402</v>
      </c>
      <c r="AE635" t="s">
        <v>560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420</v>
      </c>
      <c r="AD636" t="s">
        <v>400</v>
      </c>
      <c r="AE636" t="s">
        <v>560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423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420</v>
      </c>
      <c r="AD637" t="s">
        <v>136</v>
      </c>
      <c r="AE637" t="s">
        <v>560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420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419</v>
      </c>
      <c r="E639" t="s">
        <v>419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420</v>
      </c>
      <c r="AD639" t="s">
        <v>402</v>
      </c>
      <c r="AE639" t="s">
        <v>560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419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560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419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560</v>
      </c>
      <c r="AD641" t="s">
        <v>402</v>
      </c>
      <c r="AE641" t="s">
        <v>560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475</v>
      </c>
      <c r="AD642" t="s">
        <v>402</v>
      </c>
      <c r="AE642" t="s">
        <v>560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427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427</v>
      </c>
      <c r="AD644" t="s">
        <v>402</v>
      </c>
      <c r="AE644" t="s">
        <v>560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423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423</v>
      </c>
      <c r="AD646" t="s">
        <v>402</v>
      </c>
      <c r="AE646" t="s">
        <v>560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421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572</v>
      </c>
      <c r="AC647" t="s">
        <v>136</v>
      </c>
      <c r="AD647" t="s">
        <v>572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550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572</v>
      </c>
      <c r="AC648" t="s">
        <v>560</v>
      </c>
      <c r="AD648" t="s">
        <v>572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420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420</v>
      </c>
      <c r="AC649" t="s">
        <v>136</v>
      </c>
      <c r="AD649" t="s">
        <v>136</v>
      </c>
      <c r="AE649" t="s">
        <v>560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421</v>
      </c>
      <c r="E650" t="s">
        <v>421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420</v>
      </c>
      <c r="AC650" t="s">
        <v>136</v>
      </c>
      <c r="AD650" t="s">
        <v>420</v>
      </c>
      <c r="AE650" t="s">
        <v>560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420</v>
      </c>
      <c r="AC651" t="s">
        <v>573</v>
      </c>
      <c r="AD651" t="s">
        <v>420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550</v>
      </c>
      <c r="E652" t="s">
        <v>550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420</v>
      </c>
      <c r="AC652" t="s">
        <v>421</v>
      </c>
      <c r="AD652" t="s">
        <v>401</v>
      </c>
      <c r="AE652" t="s">
        <v>560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425</v>
      </c>
      <c r="E653" t="s">
        <v>425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420</v>
      </c>
      <c r="AC653" t="s">
        <v>420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420</v>
      </c>
      <c r="E654" t="s">
        <v>420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420</v>
      </c>
      <c r="AC654" t="s">
        <v>420</v>
      </c>
      <c r="AD654" t="s">
        <v>136</v>
      </c>
      <c r="AE654" t="s">
        <v>560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427</v>
      </c>
      <c r="E655" t="s">
        <v>427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420</v>
      </c>
      <c r="AC655" t="s">
        <v>420</v>
      </c>
      <c r="AD655" t="s">
        <v>420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420</v>
      </c>
      <c r="AC656" t="s">
        <v>420</v>
      </c>
      <c r="AD656" t="s">
        <v>420</v>
      </c>
      <c r="AE656" t="s">
        <v>560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420</v>
      </c>
      <c r="AC657" t="s">
        <v>560</v>
      </c>
      <c r="AD657" t="s">
        <v>136</v>
      </c>
      <c r="AE657" t="s">
        <v>560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419</v>
      </c>
      <c r="E658" t="s">
        <v>419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420</v>
      </c>
      <c r="AC658" t="s">
        <v>560</v>
      </c>
      <c r="AD658" t="s">
        <v>420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419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420</v>
      </c>
      <c r="AC659" t="s">
        <v>560</v>
      </c>
      <c r="AD659" t="s">
        <v>420</v>
      </c>
      <c r="AE659" t="s">
        <v>560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420</v>
      </c>
      <c r="AC660" t="s">
        <v>427</v>
      </c>
      <c r="AD660" t="s">
        <v>136</v>
      </c>
      <c r="AE660" t="s">
        <v>560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475</v>
      </c>
      <c r="AC661" t="s">
        <v>400</v>
      </c>
      <c r="AD661" t="s">
        <v>475</v>
      </c>
      <c r="AE661" t="s">
        <v>560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421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475</v>
      </c>
      <c r="AC662" t="s">
        <v>573</v>
      </c>
      <c r="AD662" t="s">
        <v>475</v>
      </c>
      <c r="AE662" t="s">
        <v>560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420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475</v>
      </c>
      <c r="AC663" t="s">
        <v>420</v>
      </c>
      <c r="AD663" t="s">
        <v>475</v>
      </c>
      <c r="AE663" t="s">
        <v>560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475</v>
      </c>
      <c r="AC664" t="s">
        <v>427</v>
      </c>
      <c r="AD664" t="s">
        <v>475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427</v>
      </c>
      <c r="AC665" t="s">
        <v>136</v>
      </c>
      <c r="AD665" t="s">
        <v>136</v>
      </c>
      <c r="AE665" t="s">
        <v>560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421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427</v>
      </c>
      <c r="AC666" t="s">
        <v>421</v>
      </c>
      <c r="AD666" t="s">
        <v>427</v>
      </c>
      <c r="AE666" t="s">
        <v>560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420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427</v>
      </c>
      <c r="AC667" t="s">
        <v>420</v>
      </c>
      <c r="AD667" t="s">
        <v>427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421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427</v>
      </c>
      <c r="AC668" t="s">
        <v>420</v>
      </c>
      <c r="AD668" t="s">
        <v>427</v>
      </c>
      <c r="AE668" t="s">
        <v>560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421</v>
      </c>
      <c r="E669" t="s">
        <v>421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427</v>
      </c>
      <c r="AC669" t="s">
        <v>560</v>
      </c>
      <c r="AD669" t="s">
        <v>136</v>
      </c>
      <c r="AE669" t="s">
        <v>560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550</v>
      </c>
      <c r="E670" t="s">
        <v>550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427</v>
      </c>
      <c r="AC670" t="s">
        <v>560</v>
      </c>
      <c r="AD670" t="s">
        <v>427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425</v>
      </c>
      <c r="E671" t="s">
        <v>425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427</v>
      </c>
      <c r="AC671" t="s">
        <v>560</v>
      </c>
      <c r="AD671" t="s">
        <v>427</v>
      </c>
      <c r="AE671" t="s">
        <v>560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420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427</v>
      </c>
      <c r="AC672" t="s">
        <v>427</v>
      </c>
      <c r="AD672" t="s">
        <v>427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420</v>
      </c>
      <c r="E673" t="s">
        <v>420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427</v>
      </c>
      <c r="AC673" t="s">
        <v>427</v>
      </c>
      <c r="AD673" t="s">
        <v>427</v>
      </c>
      <c r="AE673" t="s">
        <v>560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427</v>
      </c>
      <c r="E674" t="s">
        <v>427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427</v>
      </c>
      <c r="AC674" t="s">
        <v>423</v>
      </c>
      <c r="AD674" t="s">
        <v>427</v>
      </c>
      <c r="AE674" t="s">
        <v>560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419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549</v>
      </c>
      <c r="E676" t="s">
        <v>549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419</v>
      </c>
      <c r="AD676" t="s">
        <v>403</v>
      </c>
      <c r="AE676" t="s">
        <v>560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419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560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573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421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573</v>
      </c>
      <c r="AD680" t="s">
        <v>403</v>
      </c>
      <c r="AE680" t="s">
        <v>560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420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421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421</v>
      </c>
      <c r="AD682" t="s">
        <v>403</v>
      </c>
      <c r="AE682" t="s">
        <v>560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560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421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572</v>
      </c>
      <c r="AD684" t="s">
        <v>403</v>
      </c>
      <c r="AE684" t="s">
        <v>560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421</v>
      </c>
      <c r="E685" t="s">
        <v>421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422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550</v>
      </c>
      <c r="E686" t="s">
        <v>550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422</v>
      </c>
      <c r="AD686" t="s">
        <v>403</v>
      </c>
      <c r="AE686" t="s">
        <v>560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425</v>
      </c>
      <c r="E687" t="s">
        <v>425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425</v>
      </c>
      <c r="AD687" t="s">
        <v>403</v>
      </c>
      <c r="AE687" t="s">
        <v>560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420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420</v>
      </c>
      <c r="AD688" t="s">
        <v>136</v>
      </c>
      <c r="AE688" t="s">
        <v>560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420</v>
      </c>
      <c r="E689" t="s">
        <v>420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420</v>
      </c>
      <c r="AD689" t="s">
        <v>401</v>
      </c>
      <c r="AE689" t="s">
        <v>560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427</v>
      </c>
      <c r="E690" t="s">
        <v>427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420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420</v>
      </c>
      <c r="AD691" t="s">
        <v>403</v>
      </c>
      <c r="AE691" t="s">
        <v>560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419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560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560</v>
      </c>
      <c r="AD693" t="s">
        <v>403</v>
      </c>
      <c r="AE693" t="s">
        <v>560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427</v>
      </c>
      <c r="AD694" t="s">
        <v>475</v>
      </c>
      <c r="AE694" t="s">
        <v>560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427</v>
      </c>
      <c r="AD695" t="s">
        <v>403</v>
      </c>
      <c r="AE695" t="s">
        <v>560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421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427</v>
      </c>
      <c r="AD696" t="s">
        <v>423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425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560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420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423</v>
      </c>
      <c r="AE698" t="s">
        <v>560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427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423</v>
      </c>
      <c r="AD699" t="s">
        <v>136</v>
      </c>
      <c r="AE699" t="s">
        <v>560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419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423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423</v>
      </c>
      <c r="AD701" t="s">
        <v>403</v>
      </c>
      <c r="AE701" t="s">
        <v>560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423</v>
      </c>
      <c r="AC702" t="s">
        <v>427</v>
      </c>
      <c r="AD702" t="s">
        <v>423</v>
      </c>
      <c r="AE702" t="s">
        <v>560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421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423</v>
      </c>
      <c r="AC703" t="s">
        <v>423</v>
      </c>
      <c r="AD703" t="s">
        <v>423</v>
      </c>
      <c r="AE703" t="s">
        <v>560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420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560</v>
      </c>
      <c r="AE704" t="s">
        <v>560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421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571</v>
      </c>
      <c r="AC705" t="s">
        <v>571</v>
      </c>
      <c r="AD705" t="s">
        <v>571</v>
      </c>
      <c r="AE705" t="s">
        <v>560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421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571</v>
      </c>
      <c r="AC706" t="s">
        <v>573</v>
      </c>
      <c r="AD706" t="s">
        <v>571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421</v>
      </c>
      <c r="E707" t="s">
        <v>421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571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550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571</v>
      </c>
      <c r="AC708" t="s">
        <v>420</v>
      </c>
      <c r="AD708" t="s">
        <v>571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550</v>
      </c>
      <c r="E709" t="s">
        <v>550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419</v>
      </c>
      <c r="AC709" t="s">
        <v>419</v>
      </c>
      <c r="AD709" t="s">
        <v>419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425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419</v>
      </c>
      <c r="AC710" t="s">
        <v>419</v>
      </c>
      <c r="AD710" t="s">
        <v>419</v>
      </c>
      <c r="AE710" t="s">
        <v>560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425</v>
      </c>
      <c r="E711" t="s">
        <v>425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419</v>
      </c>
      <c r="AC711" t="s">
        <v>419</v>
      </c>
      <c r="AD711" t="s">
        <v>136</v>
      </c>
      <c r="AE711" t="s">
        <v>560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420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419</v>
      </c>
      <c r="AC712" t="s">
        <v>400</v>
      </c>
      <c r="AD712" t="s">
        <v>419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420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419</v>
      </c>
      <c r="AC713" t="s">
        <v>136</v>
      </c>
      <c r="AD713" t="s">
        <v>419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420</v>
      </c>
      <c r="E714" t="s">
        <v>420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419</v>
      </c>
      <c r="AC714" t="s">
        <v>136</v>
      </c>
      <c r="AD714" t="s">
        <v>419</v>
      </c>
      <c r="AE714" t="s">
        <v>560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427</v>
      </c>
      <c r="E715" t="s">
        <v>427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419</v>
      </c>
      <c r="AC715" t="s">
        <v>136</v>
      </c>
      <c r="AD715" t="s">
        <v>400</v>
      </c>
      <c r="AE715" t="s">
        <v>560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419</v>
      </c>
      <c r="AC716" t="s">
        <v>573</v>
      </c>
      <c r="AD716" t="s">
        <v>419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419</v>
      </c>
      <c r="AC717" t="s">
        <v>573</v>
      </c>
      <c r="AD717" t="s">
        <v>419</v>
      </c>
      <c r="AE717" t="s">
        <v>560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419</v>
      </c>
      <c r="AC718" t="s">
        <v>421</v>
      </c>
      <c r="AD718" t="s">
        <v>419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419</v>
      </c>
      <c r="AC719" t="s">
        <v>421</v>
      </c>
      <c r="AD719" t="s">
        <v>419</v>
      </c>
      <c r="AE719" t="s">
        <v>560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419</v>
      </c>
      <c r="AC720" t="s">
        <v>421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419</v>
      </c>
      <c r="AC721" t="s">
        <v>421</v>
      </c>
      <c r="AD721" t="s">
        <v>401</v>
      </c>
      <c r="AE721" t="s">
        <v>560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420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419</v>
      </c>
      <c r="AC722" t="s">
        <v>402</v>
      </c>
      <c r="AD722" t="s">
        <v>402</v>
      </c>
      <c r="AE722" t="s">
        <v>560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427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419</v>
      </c>
      <c r="AC723" t="s">
        <v>572</v>
      </c>
      <c r="AD723" t="s">
        <v>419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419</v>
      </c>
      <c r="AC724" t="s">
        <v>572</v>
      </c>
      <c r="AD724" t="s">
        <v>419</v>
      </c>
      <c r="AE724" t="s">
        <v>560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419</v>
      </c>
      <c r="E725" t="s">
        <v>419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419</v>
      </c>
      <c r="AC725" t="s">
        <v>572</v>
      </c>
      <c r="AD725" t="s">
        <v>400</v>
      </c>
      <c r="AE725" t="s">
        <v>560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419</v>
      </c>
      <c r="AC726" t="s">
        <v>422</v>
      </c>
      <c r="AD726" t="s">
        <v>419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419</v>
      </c>
      <c r="AC727" t="s">
        <v>425</v>
      </c>
      <c r="AD727" t="s">
        <v>419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419</v>
      </c>
      <c r="AC728" t="s">
        <v>425</v>
      </c>
      <c r="AD728" t="s">
        <v>401</v>
      </c>
      <c r="AE728" t="s">
        <v>560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419</v>
      </c>
      <c r="AC729" t="s">
        <v>420</v>
      </c>
      <c r="AD729" t="s">
        <v>419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419</v>
      </c>
      <c r="AC730" t="s">
        <v>420</v>
      </c>
      <c r="AD730" t="s">
        <v>419</v>
      </c>
      <c r="AE730" t="s">
        <v>560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419</v>
      </c>
      <c r="AC731" t="s">
        <v>420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550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419</v>
      </c>
      <c r="AC732" t="s">
        <v>420</v>
      </c>
      <c r="AD732" t="s">
        <v>400</v>
      </c>
      <c r="AE732" t="s">
        <v>560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475</v>
      </c>
      <c r="E733" t="s">
        <v>475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419</v>
      </c>
      <c r="AC733" t="s">
        <v>420</v>
      </c>
      <c r="AD733" t="s">
        <v>136</v>
      </c>
      <c r="AE733" t="s">
        <v>560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419</v>
      </c>
      <c r="AC734" t="s">
        <v>420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419</v>
      </c>
      <c r="AC735" t="s">
        <v>420</v>
      </c>
      <c r="AD735" t="s">
        <v>401</v>
      </c>
      <c r="AE735" t="s">
        <v>560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419</v>
      </c>
      <c r="AC736" t="s">
        <v>560</v>
      </c>
      <c r="AD736" t="s">
        <v>419</v>
      </c>
      <c r="AE736" t="s">
        <v>560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419</v>
      </c>
      <c r="AC737" t="s">
        <v>560</v>
      </c>
      <c r="AD737" t="s">
        <v>401</v>
      </c>
      <c r="AE737" t="s">
        <v>560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419</v>
      </c>
      <c r="AC738" t="s">
        <v>475</v>
      </c>
      <c r="AD738" t="s">
        <v>419</v>
      </c>
      <c r="AE738" t="s">
        <v>560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419</v>
      </c>
      <c r="AC739" t="s">
        <v>475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419</v>
      </c>
      <c r="AC740" t="s">
        <v>427</v>
      </c>
      <c r="AD740" t="s">
        <v>419</v>
      </c>
      <c r="AE740" t="s">
        <v>560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419</v>
      </c>
      <c r="AC741" t="s">
        <v>427</v>
      </c>
      <c r="AD741" t="s">
        <v>401</v>
      </c>
      <c r="AE741" t="s">
        <v>560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419</v>
      </c>
      <c r="AC742" t="s">
        <v>423</v>
      </c>
      <c r="AD742" t="s">
        <v>419</v>
      </c>
      <c r="AE742" t="s">
        <v>560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571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571</v>
      </c>
      <c r="AD744" t="s">
        <v>400</v>
      </c>
      <c r="AE744" t="s">
        <v>560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419</v>
      </c>
      <c r="E745" t="s">
        <v>419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419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419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419</v>
      </c>
      <c r="AD746" t="s">
        <v>400</v>
      </c>
      <c r="AE746" t="s">
        <v>560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419</v>
      </c>
      <c r="AE747" t="s">
        <v>560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560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419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560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421</v>
      </c>
      <c r="AE751" t="s">
        <v>560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419</v>
      </c>
      <c r="AE753" t="s">
        <v>560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420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560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550</v>
      </c>
      <c r="E756" t="s">
        <v>550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560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420</v>
      </c>
      <c r="E757" t="s">
        <v>420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573</v>
      </c>
      <c r="AD757" t="s">
        <v>419</v>
      </c>
      <c r="AE757" t="s">
        <v>560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573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423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573</v>
      </c>
      <c r="AD759" t="s">
        <v>400</v>
      </c>
      <c r="AE759" t="s">
        <v>560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421</v>
      </c>
      <c r="AD760" t="s">
        <v>419</v>
      </c>
      <c r="AE760" t="s">
        <v>560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549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421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421</v>
      </c>
      <c r="AD762" t="s">
        <v>400</v>
      </c>
      <c r="AE762" t="s">
        <v>560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421</v>
      </c>
      <c r="AD763" t="s">
        <v>136</v>
      </c>
      <c r="AE763" t="s">
        <v>560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421</v>
      </c>
      <c r="AD764" t="s">
        <v>402</v>
      </c>
      <c r="AE764" t="s">
        <v>560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549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560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572</v>
      </c>
      <c r="AD768" t="s">
        <v>419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572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572</v>
      </c>
      <c r="AD770" t="s">
        <v>400</v>
      </c>
      <c r="AE770" t="s">
        <v>560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422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422</v>
      </c>
      <c r="AD772" t="s">
        <v>400</v>
      </c>
      <c r="AE772" t="s">
        <v>560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422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420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422</v>
      </c>
      <c r="AD774" t="s">
        <v>402</v>
      </c>
      <c r="AE774" t="s">
        <v>560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550</v>
      </c>
      <c r="E775" t="s">
        <v>550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425</v>
      </c>
      <c r="AD775" t="s">
        <v>419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420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425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420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425</v>
      </c>
      <c r="AD777" t="s">
        <v>400</v>
      </c>
      <c r="AE777" t="s">
        <v>560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425</v>
      </c>
      <c r="AD778" t="s">
        <v>402</v>
      </c>
      <c r="AE778" t="s">
        <v>560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423</v>
      </c>
      <c r="E779" t="s">
        <v>423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420</v>
      </c>
      <c r="AD779" t="s">
        <v>419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420</v>
      </c>
      <c r="AD780" t="s">
        <v>419</v>
      </c>
      <c r="AE780" t="s">
        <v>560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419</v>
      </c>
      <c r="E781" t="s">
        <v>419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420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419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420</v>
      </c>
      <c r="AD782" t="s">
        <v>400</v>
      </c>
      <c r="AE782" t="s">
        <v>560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420</v>
      </c>
      <c r="AD783" t="s">
        <v>136</v>
      </c>
      <c r="AE783" t="s">
        <v>560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420</v>
      </c>
      <c r="AD784" t="s">
        <v>401</v>
      </c>
      <c r="AE784" t="s">
        <v>560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420</v>
      </c>
      <c r="AD785" t="s">
        <v>402</v>
      </c>
      <c r="AE785" t="s">
        <v>560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419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420</v>
      </c>
      <c r="AD786" t="s">
        <v>420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560</v>
      </c>
      <c r="AD787" t="s">
        <v>419</v>
      </c>
      <c r="AE787" t="s">
        <v>560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560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560</v>
      </c>
      <c r="AD789" t="s">
        <v>400</v>
      </c>
      <c r="AE789" t="s">
        <v>560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550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475</v>
      </c>
      <c r="AD790" t="s">
        <v>400</v>
      </c>
      <c r="AE790" t="s">
        <v>560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419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427</v>
      </c>
      <c r="AD791" t="s">
        <v>419</v>
      </c>
      <c r="AE791" t="s">
        <v>560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427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427</v>
      </c>
      <c r="AD793" t="s">
        <v>400</v>
      </c>
      <c r="AE793" t="s">
        <v>560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427</v>
      </c>
      <c r="AD794" t="s">
        <v>136</v>
      </c>
      <c r="AE794" t="s">
        <v>560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421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427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423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420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423</v>
      </c>
      <c r="AD797" t="s">
        <v>400</v>
      </c>
      <c r="AE797" t="s">
        <v>560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550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423</v>
      </c>
      <c r="AD798" t="s">
        <v>136</v>
      </c>
      <c r="AE798" t="s">
        <v>560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550</v>
      </c>
      <c r="E799" t="s">
        <v>550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419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420</v>
      </c>
      <c r="E800" t="s">
        <v>420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419</v>
      </c>
      <c r="AD800" t="s">
        <v>136</v>
      </c>
      <c r="AE800" t="s">
        <v>560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427</v>
      </c>
      <c r="E801" t="s">
        <v>427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560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423</v>
      </c>
      <c r="E803" t="s">
        <v>423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560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560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550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420</v>
      </c>
      <c r="AE807" t="s">
        <v>560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573</v>
      </c>
      <c r="AD808" t="s">
        <v>136</v>
      </c>
      <c r="AE808" t="s">
        <v>560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573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421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573</v>
      </c>
      <c r="AD810" t="s">
        <v>401</v>
      </c>
      <c r="AE810" t="s">
        <v>560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421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421</v>
      </c>
      <c r="E812" t="s">
        <v>421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421</v>
      </c>
      <c r="AD812" t="s">
        <v>136</v>
      </c>
      <c r="AE812" t="s">
        <v>560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421</v>
      </c>
      <c r="AD813" t="s">
        <v>401</v>
      </c>
      <c r="AE813" t="s">
        <v>560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560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421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572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572</v>
      </c>
      <c r="AD817" t="s">
        <v>136</v>
      </c>
      <c r="AE817" t="s">
        <v>560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420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572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550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422</v>
      </c>
      <c r="AD819" t="s">
        <v>136</v>
      </c>
      <c r="AE819" t="s">
        <v>560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550</v>
      </c>
      <c r="E820" t="s">
        <v>550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425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420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425</v>
      </c>
      <c r="AD821" t="s">
        <v>136</v>
      </c>
      <c r="AE821" t="s">
        <v>560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420</v>
      </c>
      <c r="E822" t="s">
        <v>420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420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427</v>
      </c>
      <c r="E823" t="s">
        <v>427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420</v>
      </c>
      <c r="AD823" t="s">
        <v>136</v>
      </c>
      <c r="AE823" t="s">
        <v>560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420</v>
      </c>
      <c r="AD824" t="s">
        <v>401</v>
      </c>
      <c r="AE824" t="s">
        <v>560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549</v>
      </c>
      <c r="E825" t="s">
        <v>549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420</v>
      </c>
      <c r="AD825" t="s">
        <v>420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419</v>
      </c>
      <c r="E826" t="s">
        <v>419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560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419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560</v>
      </c>
      <c r="AD827" t="s">
        <v>136</v>
      </c>
      <c r="AE827" t="s">
        <v>560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560</v>
      </c>
      <c r="AD828" t="s">
        <v>401</v>
      </c>
      <c r="AE828" t="s">
        <v>560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427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420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427</v>
      </c>
      <c r="AD830" t="s">
        <v>136</v>
      </c>
      <c r="AE830" t="s">
        <v>560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423</v>
      </c>
      <c r="AD831" t="s">
        <v>136</v>
      </c>
      <c r="AE831" t="s">
        <v>560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571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571</v>
      </c>
      <c r="AD833" t="s">
        <v>401</v>
      </c>
      <c r="AE833" t="s">
        <v>560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421</v>
      </c>
      <c r="E834" t="s">
        <v>421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571</v>
      </c>
      <c r="AD834" t="s">
        <v>421</v>
      </c>
      <c r="AE834" t="s">
        <v>560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419</v>
      </c>
      <c r="AD835" t="s">
        <v>571</v>
      </c>
      <c r="AE835" t="s">
        <v>560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419</v>
      </c>
      <c r="AD836" t="s">
        <v>419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419</v>
      </c>
      <c r="AD837" t="s">
        <v>419</v>
      </c>
      <c r="AE837" t="s">
        <v>560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550</v>
      </c>
      <c r="E838" t="s">
        <v>550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419</v>
      </c>
      <c r="AD838" t="s">
        <v>136</v>
      </c>
      <c r="AE838" t="s">
        <v>560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422</v>
      </c>
      <c r="E839" t="s">
        <v>422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419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420</v>
      </c>
      <c r="E840" t="s">
        <v>420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419</v>
      </c>
      <c r="AD840" t="s">
        <v>401</v>
      </c>
      <c r="AE840" t="s">
        <v>560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419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549</v>
      </c>
      <c r="E842" t="s">
        <v>549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419</v>
      </c>
      <c r="AD842" t="s">
        <v>402</v>
      </c>
      <c r="AE842" t="s">
        <v>560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419</v>
      </c>
      <c r="E843" t="s">
        <v>419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419</v>
      </c>
      <c r="AD843" t="s">
        <v>420</v>
      </c>
      <c r="AE843" t="s">
        <v>560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419</v>
      </c>
      <c r="AE844" t="s">
        <v>560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560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560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550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560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421</v>
      </c>
      <c r="AE849" t="s">
        <v>560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560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550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420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560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421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421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425</v>
      </c>
      <c r="AE855" t="s">
        <v>560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421</v>
      </c>
      <c r="E856" t="s">
        <v>421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420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573</v>
      </c>
      <c r="AD857" t="s">
        <v>419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573</v>
      </c>
      <c r="AD858" t="s">
        <v>419</v>
      </c>
      <c r="AE858" t="s">
        <v>560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427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573</v>
      </c>
      <c r="AD859" t="s">
        <v>136</v>
      </c>
      <c r="AE859" t="s">
        <v>560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550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573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550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573</v>
      </c>
      <c r="AD861" t="s">
        <v>401</v>
      </c>
      <c r="AE861" t="s">
        <v>560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550</v>
      </c>
      <c r="E862" t="s">
        <v>550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573</v>
      </c>
      <c r="AD862" t="s">
        <v>421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550</v>
      </c>
      <c r="E863" t="s">
        <v>420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573</v>
      </c>
      <c r="AD863" t="s">
        <v>421</v>
      </c>
      <c r="AE863" t="s">
        <v>560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420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573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420</v>
      </c>
      <c r="E865" t="s">
        <v>420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573</v>
      </c>
      <c r="AD865" t="s">
        <v>422</v>
      </c>
      <c r="AE865" t="s">
        <v>560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427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573</v>
      </c>
      <c r="AD866" t="s">
        <v>425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427</v>
      </c>
      <c r="E867" t="s">
        <v>427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573</v>
      </c>
      <c r="AD867" t="s">
        <v>420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573</v>
      </c>
      <c r="AD868" t="s">
        <v>420</v>
      </c>
      <c r="AE868" t="s">
        <v>560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573</v>
      </c>
      <c r="AD869" t="s">
        <v>427</v>
      </c>
      <c r="AE869" t="s">
        <v>560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573</v>
      </c>
      <c r="AD870" t="s">
        <v>423</v>
      </c>
      <c r="AE870" t="s">
        <v>560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421</v>
      </c>
      <c r="AD871" t="s">
        <v>571</v>
      </c>
      <c r="AE871" t="s">
        <v>560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421</v>
      </c>
      <c r="AD872" t="s">
        <v>419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421</v>
      </c>
      <c r="AD873" t="s">
        <v>419</v>
      </c>
      <c r="AE873" t="s">
        <v>560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420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421</v>
      </c>
      <c r="AD874" t="s">
        <v>136</v>
      </c>
      <c r="AE874" t="s">
        <v>560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421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421</v>
      </c>
      <c r="AD876" t="s">
        <v>401</v>
      </c>
      <c r="AE876" t="s">
        <v>560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421</v>
      </c>
      <c r="AD877" t="s">
        <v>421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420</v>
      </c>
      <c r="E878" t="s">
        <v>420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421</v>
      </c>
      <c r="AD878" t="s">
        <v>421</v>
      </c>
      <c r="AE878" t="s">
        <v>560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427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421</v>
      </c>
      <c r="AD879" t="s">
        <v>402</v>
      </c>
      <c r="AE879" t="s">
        <v>560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427</v>
      </c>
      <c r="E880" t="s">
        <v>427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560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572</v>
      </c>
      <c r="AD883" t="s">
        <v>419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572</v>
      </c>
      <c r="AD884" t="s">
        <v>419</v>
      </c>
      <c r="AE884" t="s">
        <v>560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572</v>
      </c>
      <c r="AD885" t="s">
        <v>400</v>
      </c>
      <c r="AE885" t="s">
        <v>560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572</v>
      </c>
      <c r="AD886" t="s">
        <v>136</v>
      </c>
      <c r="AE886" t="s">
        <v>560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572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572</v>
      </c>
      <c r="AD888" t="s">
        <v>401</v>
      </c>
      <c r="AE888" t="s">
        <v>560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572</v>
      </c>
      <c r="AD889" t="s">
        <v>421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550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572</v>
      </c>
      <c r="AD890" t="s">
        <v>421</v>
      </c>
      <c r="AE890" t="s">
        <v>560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427</v>
      </c>
      <c r="E891" t="s">
        <v>427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572</v>
      </c>
      <c r="AD891" t="s">
        <v>402</v>
      </c>
      <c r="AE891" t="s">
        <v>560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572</v>
      </c>
      <c r="AD892" t="s">
        <v>572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572</v>
      </c>
      <c r="AD893" t="s">
        <v>420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572</v>
      </c>
      <c r="AD894" t="s">
        <v>420</v>
      </c>
      <c r="AE894" t="s">
        <v>560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422</v>
      </c>
      <c r="AD895" t="s">
        <v>571</v>
      </c>
      <c r="AE895" t="s">
        <v>560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422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420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422</v>
      </c>
      <c r="AD897" t="s">
        <v>401</v>
      </c>
      <c r="AE897" t="s">
        <v>560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419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422</v>
      </c>
      <c r="AD898" t="s">
        <v>421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425</v>
      </c>
      <c r="AD899" t="s">
        <v>419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425</v>
      </c>
      <c r="AD900" t="s">
        <v>136</v>
      </c>
      <c r="AE900" t="s">
        <v>560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425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421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425</v>
      </c>
      <c r="AD902" t="s">
        <v>401</v>
      </c>
      <c r="AE902" t="s">
        <v>560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425</v>
      </c>
      <c r="AD903" t="s">
        <v>421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420</v>
      </c>
      <c r="E904" t="s">
        <v>420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425</v>
      </c>
      <c r="AD904" t="s">
        <v>421</v>
      </c>
      <c r="AE904" t="s">
        <v>560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427</v>
      </c>
      <c r="E905" t="s">
        <v>427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425</v>
      </c>
      <c r="AD905" t="s">
        <v>425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420</v>
      </c>
      <c r="AD906" t="s">
        <v>571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423</v>
      </c>
      <c r="E907" t="s">
        <v>423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420</v>
      </c>
      <c r="AD907" t="s">
        <v>571</v>
      </c>
      <c r="AE907" t="s">
        <v>560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420</v>
      </c>
      <c r="AD908" t="s">
        <v>419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419</v>
      </c>
      <c r="E909" t="s">
        <v>419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420</v>
      </c>
      <c r="AD909" t="s">
        <v>419</v>
      </c>
      <c r="AE909" t="s">
        <v>560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419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420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419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420</v>
      </c>
      <c r="AD911" t="s">
        <v>400</v>
      </c>
      <c r="AE911" t="s">
        <v>560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420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420</v>
      </c>
      <c r="AD913" t="s">
        <v>136</v>
      </c>
      <c r="AE913" t="s">
        <v>560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420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419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420</v>
      </c>
      <c r="AD915" t="s">
        <v>401</v>
      </c>
      <c r="AE915" t="s">
        <v>560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420</v>
      </c>
      <c r="AD916" t="s">
        <v>421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420</v>
      </c>
      <c r="AD917" t="s">
        <v>421</v>
      </c>
      <c r="AE917" t="s">
        <v>560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420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420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420</v>
      </c>
      <c r="AD919" t="s">
        <v>402</v>
      </c>
      <c r="AE919" t="s">
        <v>560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550</v>
      </c>
      <c r="E920" t="s">
        <v>550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420</v>
      </c>
      <c r="AD920" t="s">
        <v>572</v>
      </c>
      <c r="AE920" t="s">
        <v>560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420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420</v>
      </c>
      <c r="AD921" t="s">
        <v>422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427</v>
      </c>
      <c r="E922" t="s">
        <v>427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420</v>
      </c>
      <c r="AD922" t="s">
        <v>420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420</v>
      </c>
      <c r="AD923" t="s">
        <v>420</v>
      </c>
      <c r="AE923" t="s">
        <v>560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420</v>
      </c>
      <c r="AD924" t="s">
        <v>475</v>
      </c>
      <c r="AE924" t="s">
        <v>560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419</v>
      </c>
      <c r="E925" t="s">
        <v>419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560</v>
      </c>
      <c r="AD925" t="s">
        <v>571</v>
      </c>
      <c r="AE925" t="s">
        <v>560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419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560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419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560</v>
      </c>
      <c r="AD927" t="s">
        <v>136</v>
      </c>
      <c r="AE927" t="s">
        <v>560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419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560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560</v>
      </c>
      <c r="AD929" t="s">
        <v>401</v>
      </c>
      <c r="AE929" t="s">
        <v>560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560</v>
      </c>
      <c r="AD930" t="s">
        <v>421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560</v>
      </c>
      <c r="AD931" t="s">
        <v>421</v>
      </c>
      <c r="AE931" t="s">
        <v>560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475</v>
      </c>
      <c r="AD932" t="s">
        <v>419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475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419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475</v>
      </c>
      <c r="AD934" t="s">
        <v>401</v>
      </c>
      <c r="AE934" t="s">
        <v>560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475</v>
      </c>
      <c r="AD935" t="s">
        <v>421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475</v>
      </c>
      <c r="AD936" t="s">
        <v>420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421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427</v>
      </c>
      <c r="AD937" t="s">
        <v>419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427</v>
      </c>
      <c r="AD938" t="s">
        <v>419</v>
      </c>
      <c r="AE938" t="s">
        <v>560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425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427</v>
      </c>
      <c r="AD939" t="s">
        <v>400</v>
      </c>
      <c r="AE939" t="s">
        <v>560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420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427</v>
      </c>
      <c r="AD940" t="s">
        <v>136</v>
      </c>
      <c r="AE940" t="s">
        <v>560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427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427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421</v>
      </c>
      <c r="E942" t="s">
        <v>421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427</v>
      </c>
      <c r="AD942" t="s">
        <v>401</v>
      </c>
      <c r="AE942" t="s">
        <v>560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427</v>
      </c>
      <c r="AD943" t="s">
        <v>421</v>
      </c>
      <c r="AE943" t="s">
        <v>560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427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427</v>
      </c>
      <c r="AD945" t="s">
        <v>402</v>
      </c>
      <c r="AE945" t="s">
        <v>560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425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427</v>
      </c>
      <c r="AD946" t="s">
        <v>425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425</v>
      </c>
      <c r="E947" t="s">
        <v>425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427</v>
      </c>
      <c r="AD947" t="s">
        <v>427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420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427</v>
      </c>
      <c r="AD948" t="s">
        <v>427</v>
      </c>
      <c r="AE948" t="s">
        <v>560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420</v>
      </c>
      <c r="E949" t="s">
        <v>550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420</v>
      </c>
      <c r="E950" t="s">
        <v>420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560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475</v>
      </c>
      <c r="E951" t="s">
        <v>475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560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427</v>
      </c>
      <c r="E952" t="s">
        <v>427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423</v>
      </c>
      <c r="AD952" t="s">
        <v>136</v>
      </c>
      <c r="AE952" t="s">
        <v>560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423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423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423</v>
      </c>
      <c r="AD954" t="s">
        <v>401</v>
      </c>
      <c r="AE954" t="s">
        <v>560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423</v>
      </c>
      <c r="E955" t="s">
        <v>423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421</v>
      </c>
      <c r="AC955" t="s">
        <v>136</v>
      </c>
      <c r="AD955" t="s">
        <v>421</v>
      </c>
      <c r="AE955" t="s">
        <v>560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421</v>
      </c>
      <c r="AC956" t="s">
        <v>573</v>
      </c>
      <c r="AD956" t="s">
        <v>401</v>
      </c>
      <c r="AE956" t="s">
        <v>560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419</v>
      </c>
      <c r="E957" t="s">
        <v>419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421</v>
      </c>
      <c r="AC957" t="s">
        <v>573</v>
      </c>
      <c r="AD957" t="s">
        <v>421</v>
      </c>
      <c r="AE957" t="s">
        <v>560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419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421</v>
      </c>
      <c r="AC958" t="s">
        <v>421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419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421</v>
      </c>
      <c r="AC959" t="s">
        <v>421</v>
      </c>
      <c r="AD959" t="s">
        <v>401</v>
      </c>
      <c r="AE959" t="s">
        <v>560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421</v>
      </c>
      <c r="AC960" t="s">
        <v>421</v>
      </c>
      <c r="AD960" t="s">
        <v>421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421</v>
      </c>
      <c r="AC961" t="s">
        <v>421</v>
      </c>
      <c r="AD961" t="s">
        <v>421</v>
      </c>
      <c r="AE961" t="s">
        <v>560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419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421</v>
      </c>
      <c r="AC962" t="s">
        <v>572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421</v>
      </c>
      <c r="AC963" t="s">
        <v>572</v>
      </c>
      <c r="AD963" t="s">
        <v>401</v>
      </c>
      <c r="AE963" t="s">
        <v>560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421</v>
      </c>
      <c r="AC964" t="s">
        <v>420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421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421</v>
      </c>
      <c r="AC965" t="s">
        <v>420</v>
      </c>
      <c r="AD965" t="s">
        <v>401</v>
      </c>
      <c r="AE965" t="s">
        <v>560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425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421</v>
      </c>
      <c r="AC966" t="s">
        <v>420</v>
      </c>
      <c r="AD966" t="s">
        <v>421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420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421</v>
      </c>
      <c r="AC967" t="s">
        <v>560</v>
      </c>
      <c r="AD967" t="s">
        <v>421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421</v>
      </c>
      <c r="E968" t="s">
        <v>421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421</v>
      </c>
      <c r="AC968" t="s">
        <v>475</v>
      </c>
      <c r="AD968" t="s">
        <v>421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421</v>
      </c>
      <c r="AC969" t="s">
        <v>427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550</v>
      </c>
      <c r="E970" t="s">
        <v>550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571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422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571</v>
      </c>
      <c r="AD971" t="s">
        <v>402</v>
      </c>
      <c r="AE971" t="s">
        <v>560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422</v>
      </c>
      <c r="E972" t="s">
        <v>422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419</v>
      </c>
      <c r="AD972" t="s">
        <v>136</v>
      </c>
      <c r="AE972" t="s">
        <v>560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425</v>
      </c>
      <c r="E973" t="s">
        <v>422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419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425</v>
      </c>
      <c r="E974" t="s">
        <v>425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419</v>
      </c>
      <c r="AD974" t="s">
        <v>402</v>
      </c>
      <c r="AE974" t="s">
        <v>560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420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560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420</v>
      </c>
      <c r="E976" t="s">
        <v>420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427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560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427</v>
      </c>
      <c r="E978" t="s">
        <v>427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560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423</v>
      </c>
      <c r="E980" t="s">
        <v>423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560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419</v>
      </c>
      <c r="E982" t="s">
        <v>419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573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573</v>
      </c>
      <c r="AD983" t="s">
        <v>402</v>
      </c>
      <c r="AE983" t="s">
        <v>560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425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573</v>
      </c>
      <c r="AD984" t="s">
        <v>420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421</v>
      </c>
      <c r="AD985" t="s">
        <v>400</v>
      </c>
      <c r="AE985" t="s">
        <v>560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421</v>
      </c>
      <c r="AD986" t="s">
        <v>421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425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421</v>
      </c>
      <c r="AD987" t="s">
        <v>421</v>
      </c>
      <c r="AE987" t="s">
        <v>560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420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421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419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421</v>
      </c>
      <c r="AD989" t="s">
        <v>402</v>
      </c>
      <c r="AE989" t="s">
        <v>560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421</v>
      </c>
      <c r="AD990" t="s">
        <v>422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560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421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425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560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420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421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423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421</v>
      </c>
      <c r="E996" t="s">
        <v>421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560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572</v>
      </c>
      <c r="AE997" t="s">
        <v>560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550</v>
      </c>
      <c r="E998" t="s">
        <v>550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420</v>
      </c>
      <c r="AE998" t="s">
        <v>560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422</v>
      </c>
      <c r="E999" t="s">
        <v>422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572</v>
      </c>
      <c r="AD999" t="s">
        <v>400</v>
      </c>
      <c r="AE999" t="s">
        <v>560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425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572</v>
      </c>
      <c r="AD1000" t="s">
        <v>136</v>
      </c>
      <c r="AE1000" t="s">
        <v>560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425</v>
      </c>
      <c r="E1001" t="s">
        <v>425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572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420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572</v>
      </c>
      <c r="AD1002" t="s">
        <v>401</v>
      </c>
      <c r="AE1002" t="s">
        <v>560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420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572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420</v>
      </c>
      <c r="E1004" t="s">
        <v>420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572</v>
      </c>
      <c r="AD1004" t="s">
        <v>402</v>
      </c>
      <c r="AE1004" t="s">
        <v>560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420</v>
      </c>
      <c r="E1005" t="s">
        <v>475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572</v>
      </c>
      <c r="AD1005" t="s">
        <v>427</v>
      </c>
      <c r="AE1005" t="s">
        <v>560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427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422</v>
      </c>
      <c r="AD1006" t="s">
        <v>136</v>
      </c>
      <c r="AE1006" t="s">
        <v>560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427</v>
      </c>
      <c r="E1007" t="s">
        <v>427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422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422</v>
      </c>
      <c r="AD1008" t="s">
        <v>402</v>
      </c>
      <c r="AE1008" t="s">
        <v>560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419</v>
      </c>
      <c r="E1009" t="s">
        <v>419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425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425</v>
      </c>
      <c r="AD1010" t="s">
        <v>402</v>
      </c>
      <c r="AE1010" t="s">
        <v>560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420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420</v>
      </c>
      <c r="AD1012" t="s">
        <v>136</v>
      </c>
      <c r="AE1012" t="s">
        <v>560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421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420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425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420</v>
      </c>
      <c r="AD1014" t="s">
        <v>401</v>
      </c>
      <c r="AE1014" t="s">
        <v>560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420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420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420</v>
      </c>
      <c r="AD1016" t="s">
        <v>402</v>
      </c>
      <c r="AE1016" t="s">
        <v>560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420</v>
      </c>
      <c r="AD1017" t="s">
        <v>420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550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420</v>
      </c>
      <c r="AD1018" t="s">
        <v>420</v>
      </c>
      <c r="AE1018" t="s">
        <v>560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425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560</v>
      </c>
      <c r="AD1019" t="s">
        <v>136</v>
      </c>
      <c r="AE1019" t="s">
        <v>560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420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560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421</v>
      </c>
      <c r="E1021" t="s">
        <v>421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560</v>
      </c>
      <c r="AD1021" t="s">
        <v>402</v>
      </c>
      <c r="AE1021" t="s">
        <v>560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475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550</v>
      </c>
      <c r="E1023" t="s">
        <v>550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475</v>
      </c>
      <c r="AD1023" t="s">
        <v>402</v>
      </c>
      <c r="AE1023" t="s">
        <v>560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422</v>
      </c>
      <c r="E1024" t="s">
        <v>422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427</v>
      </c>
      <c r="AD1024" t="s">
        <v>136</v>
      </c>
      <c r="AE1024" t="s">
        <v>560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425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427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425</v>
      </c>
      <c r="E1026" t="s">
        <v>425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427</v>
      </c>
      <c r="AD1026" t="s">
        <v>402</v>
      </c>
      <c r="AE1026" t="s">
        <v>560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420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560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420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423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420</v>
      </c>
      <c r="E1029" t="s">
        <v>420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423</v>
      </c>
      <c r="AD1029" t="s">
        <v>402</v>
      </c>
      <c r="AE1029" t="s">
        <v>560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427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572</v>
      </c>
      <c r="AC1030" t="s">
        <v>400</v>
      </c>
      <c r="AD1030" t="s">
        <v>572</v>
      </c>
      <c r="AE1030" t="s">
        <v>560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427</v>
      </c>
      <c r="E1031" t="s">
        <v>427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572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572</v>
      </c>
      <c r="AC1032" t="s">
        <v>573</v>
      </c>
      <c r="AD1032" t="s">
        <v>572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572</v>
      </c>
      <c r="AC1033" t="s">
        <v>573</v>
      </c>
      <c r="AD1033" t="s">
        <v>572</v>
      </c>
      <c r="AE1033" t="s">
        <v>560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549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572</v>
      </c>
      <c r="AC1034" t="s">
        <v>560</v>
      </c>
      <c r="AD1034" t="s">
        <v>572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419</v>
      </c>
      <c r="E1035" t="s">
        <v>419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422</v>
      </c>
      <c r="AC1035" t="s">
        <v>419</v>
      </c>
      <c r="AD1035" t="s">
        <v>422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419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425</v>
      </c>
      <c r="AC1036" t="s">
        <v>136</v>
      </c>
      <c r="AD1036" t="s">
        <v>425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425</v>
      </c>
      <c r="AC1037" t="s">
        <v>573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425</v>
      </c>
      <c r="AC1038" t="s">
        <v>573</v>
      </c>
      <c r="AD1038" t="s">
        <v>425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425</v>
      </c>
      <c r="AC1039" t="s">
        <v>425</v>
      </c>
      <c r="AD1039" t="s">
        <v>425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419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425</v>
      </c>
      <c r="AC1040" t="s">
        <v>427</v>
      </c>
      <c r="AD1040" t="s">
        <v>425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420</v>
      </c>
      <c r="AC1041" t="s">
        <v>419</v>
      </c>
      <c r="AD1041" t="s">
        <v>572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420</v>
      </c>
      <c r="AC1042" t="s">
        <v>419</v>
      </c>
      <c r="AD1042" t="s">
        <v>420</v>
      </c>
      <c r="AE1042" t="s">
        <v>560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421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420</v>
      </c>
      <c r="AC1043" t="s">
        <v>400</v>
      </c>
      <c r="AD1043" t="s">
        <v>400</v>
      </c>
      <c r="AE1043" t="s">
        <v>560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422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420</v>
      </c>
      <c r="AC1044" t="s">
        <v>400</v>
      </c>
      <c r="AD1044" t="s">
        <v>420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425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420</v>
      </c>
      <c r="AC1045" t="s">
        <v>400</v>
      </c>
      <c r="AD1045" t="s">
        <v>420</v>
      </c>
      <c r="AE1045" t="s">
        <v>560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420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420</v>
      </c>
      <c r="AC1046" t="s">
        <v>136</v>
      </c>
      <c r="AD1046" t="s">
        <v>136</v>
      </c>
      <c r="AE1046" t="s">
        <v>560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475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420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420</v>
      </c>
      <c r="AC1048" t="s">
        <v>136</v>
      </c>
      <c r="AD1048" t="s">
        <v>420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420</v>
      </c>
      <c r="AC1049" t="s">
        <v>136</v>
      </c>
      <c r="AD1049" t="s">
        <v>420</v>
      </c>
      <c r="AE1049" t="s">
        <v>560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421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420</v>
      </c>
      <c r="AC1050" t="s">
        <v>573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425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420</v>
      </c>
      <c r="AC1051" t="s">
        <v>573</v>
      </c>
      <c r="AD1051" t="s">
        <v>420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420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420</v>
      </c>
      <c r="AC1052" t="s">
        <v>573</v>
      </c>
      <c r="AD1052" t="s">
        <v>420</v>
      </c>
      <c r="AE1052" t="s">
        <v>560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421</v>
      </c>
      <c r="E1053" t="s">
        <v>549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420</v>
      </c>
      <c r="AC1053" t="s">
        <v>573</v>
      </c>
      <c r="AD1053" t="s">
        <v>427</v>
      </c>
      <c r="AE1053" t="s">
        <v>560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421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420</v>
      </c>
      <c r="AC1054" t="s">
        <v>421</v>
      </c>
      <c r="AD1054" t="s">
        <v>401</v>
      </c>
      <c r="AE1054" t="s">
        <v>560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421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420</v>
      </c>
      <c r="AC1055" t="s">
        <v>421</v>
      </c>
      <c r="AD1055" t="s">
        <v>420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421</v>
      </c>
      <c r="E1056" t="s">
        <v>421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420</v>
      </c>
      <c r="AC1056" t="s">
        <v>421</v>
      </c>
      <c r="AD1056" t="s">
        <v>420</v>
      </c>
      <c r="AE1056" t="s">
        <v>560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420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550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420</v>
      </c>
      <c r="AC1058" t="s">
        <v>402</v>
      </c>
      <c r="AD1058" t="s">
        <v>420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550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420</v>
      </c>
      <c r="AC1059" t="s">
        <v>420</v>
      </c>
      <c r="AD1059" t="s">
        <v>136</v>
      </c>
      <c r="AE1059" t="s">
        <v>560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550</v>
      </c>
      <c r="E1060" t="s">
        <v>550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420</v>
      </c>
      <c r="AC1060" t="s">
        <v>420</v>
      </c>
      <c r="AD1060" t="s">
        <v>401</v>
      </c>
      <c r="AE1060" t="s">
        <v>560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422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420</v>
      </c>
      <c r="AC1061" t="s">
        <v>420</v>
      </c>
      <c r="AD1061" t="s">
        <v>420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422</v>
      </c>
      <c r="E1062" t="s">
        <v>422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420</v>
      </c>
      <c r="AC1062" t="s">
        <v>420</v>
      </c>
      <c r="AD1062" t="s">
        <v>420</v>
      </c>
      <c r="AE1062" t="s">
        <v>560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422</v>
      </c>
      <c r="E1063" t="s">
        <v>425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420</v>
      </c>
      <c r="AC1063" t="s">
        <v>560</v>
      </c>
      <c r="AD1063" t="s">
        <v>136</v>
      </c>
      <c r="AE1063" t="s">
        <v>560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425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420</v>
      </c>
      <c r="AC1064" t="s">
        <v>560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425</v>
      </c>
      <c r="E1065" t="s">
        <v>422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420</v>
      </c>
      <c r="AC1065" t="s">
        <v>560</v>
      </c>
      <c r="AD1065" t="s">
        <v>420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425</v>
      </c>
      <c r="E1066" t="s">
        <v>425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420</v>
      </c>
      <c r="AC1066" t="s">
        <v>560</v>
      </c>
      <c r="AD1066" t="s">
        <v>420</v>
      </c>
      <c r="AE1066" t="s">
        <v>560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420</v>
      </c>
      <c r="E1067" t="s">
        <v>419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420</v>
      </c>
      <c r="AC1067" t="s">
        <v>475</v>
      </c>
      <c r="AD1067" t="s">
        <v>420</v>
      </c>
      <c r="AE1067" t="s">
        <v>560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420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420</v>
      </c>
      <c r="AC1068" t="s">
        <v>427</v>
      </c>
      <c r="AD1068" t="s">
        <v>420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420</v>
      </c>
      <c r="E1069" t="s">
        <v>420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475</v>
      </c>
      <c r="AC1069" t="s">
        <v>419</v>
      </c>
      <c r="AD1069" t="s">
        <v>475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420</v>
      </c>
      <c r="E1070" t="s">
        <v>475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475</v>
      </c>
      <c r="AC1070" t="s">
        <v>419</v>
      </c>
      <c r="AD1070" t="s">
        <v>475</v>
      </c>
      <c r="AE1070" t="s">
        <v>560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475</v>
      </c>
      <c r="E1071" t="s">
        <v>420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475</v>
      </c>
      <c r="AC1071" t="s">
        <v>421</v>
      </c>
      <c r="AD1071" t="s">
        <v>475</v>
      </c>
      <c r="AE1071" t="s">
        <v>560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427</v>
      </c>
      <c r="E1072" t="s">
        <v>419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475</v>
      </c>
      <c r="AC1072" t="s">
        <v>572</v>
      </c>
      <c r="AD1072" t="s">
        <v>475</v>
      </c>
      <c r="AE1072" t="s">
        <v>560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427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475</v>
      </c>
      <c r="AC1073" t="s">
        <v>420</v>
      </c>
      <c r="AD1073" t="s">
        <v>475</v>
      </c>
      <c r="AE1073" t="s">
        <v>560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427</v>
      </c>
      <c r="E1074" t="s">
        <v>427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475</v>
      </c>
      <c r="AC1074" t="s">
        <v>560</v>
      </c>
      <c r="AD1074" t="s">
        <v>475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427</v>
      </c>
      <c r="AC1075" t="s">
        <v>136</v>
      </c>
      <c r="AD1075" t="s">
        <v>136</v>
      </c>
      <c r="AE1075" t="s">
        <v>560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427</v>
      </c>
      <c r="AC1076" t="s">
        <v>136</v>
      </c>
      <c r="AD1076" t="s">
        <v>427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423</v>
      </c>
      <c r="E1077" t="s">
        <v>423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427</v>
      </c>
      <c r="AC1077" t="s">
        <v>136</v>
      </c>
      <c r="AD1077" t="s">
        <v>427</v>
      </c>
      <c r="AE1077" t="s">
        <v>560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427</v>
      </c>
      <c r="AC1078" t="s">
        <v>573</v>
      </c>
      <c r="AD1078" t="s">
        <v>427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427</v>
      </c>
      <c r="AC1079" t="s">
        <v>573</v>
      </c>
      <c r="AD1079" t="s">
        <v>427</v>
      </c>
      <c r="AE1079" t="s">
        <v>560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427</v>
      </c>
      <c r="AC1080" t="s">
        <v>421</v>
      </c>
      <c r="AD1080" t="s">
        <v>427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427</v>
      </c>
      <c r="AC1081" t="s">
        <v>425</v>
      </c>
      <c r="AD1081" t="s">
        <v>420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427</v>
      </c>
      <c r="AC1082" t="s">
        <v>420</v>
      </c>
      <c r="AD1082" t="s">
        <v>136</v>
      </c>
      <c r="AE1082" t="s">
        <v>560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427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427</v>
      </c>
      <c r="AC1083" t="s">
        <v>420</v>
      </c>
      <c r="AD1083" t="s">
        <v>401</v>
      </c>
      <c r="AE1083" t="s">
        <v>560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427</v>
      </c>
      <c r="E1084" t="s">
        <v>427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427</v>
      </c>
      <c r="AC1084" t="s">
        <v>420</v>
      </c>
      <c r="AD1084" t="s">
        <v>427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427</v>
      </c>
      <c r="AC1085" t="s">
        <v>420</v>
      </c>
      <c r="AD1085" t="s">
        <v>427</v>
      </c>
      <c r="AE1085" t="s">
        <v>560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419</v>
      </c>
      <c r="E1086" t="s">
        <v>419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427</v>
      </c>
      <c r="AC1086" t="s">
        <v>560</v>
      </c>
      <c r="AD1086" t="s">
        <v>427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419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427</v>
      </c>
      <c r="AC1087" t="s">
        <v>560</v>
      </c>
      <c r="AD1087" t="s">
        <v>427</v>
      </c>
      <c r="AE1087" t="s">
        <v>560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427</v>
      </c>
      <c r="AC1088" t="s">
        <v>427</v>
      </c>
      <c r="AD1088" t="s">
        <v>427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427</v>
      </c>
      <c r="AC1089" t="s">
        <v>427</v>
      </c>
      <c r="AD1089" t="s">
        <v>427</v>
      </c>
      <c r="AE1089" t="s">
        <v>560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427</v>
      </c>
      <c r="AC1090" t="s">
        <v>423</v>
      </c>
      <c r="AD1090" t="s">
        <v>427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427</v>
      </c>
      <c r="AC1091" t="s">
        <v>423</v>
      </c>
      <c r="AD1091" t="s">
        <v>427</v>
      </c>
      <c r="AE1091" t="s">
        <v>560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419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475</v>
      </c>
      <c r="E1093" t="s">
        <v>475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419</v>
      </c>
      <c r="AD1093" t="s">
        <v>403</v>
      </c>
      <c r="AE1093" t="s">
        <v>560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419</v>
      </c>
      <c r="E1095" t="s">
        <v>419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560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560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419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560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573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573</v>
      </c>
      <c r="AD1100" t="s">
        <v>403</v>
      </c>
      <c r="AE1100" t="s">
        <v>560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421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421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421</v>
      </c>
      <c r="AD1102" t="s">
        <v>403</v>
      </c>
      <c r="AE1102" t="s">
        <v>560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421</v>
      </c>
      <c r="AD1103" t="s">
        <v>423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427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421</v>
      </c>
      <c r="AD1104" t="s">
        <v>423</v>
      </c>
      <c r="AE1104" t="s">
        <v>560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560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419</v>
      </c>
      <c r="E1106" t="s">
        <v>419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572</v>
      </c>
      <c r="AD1106" t="s">
        <v>136</v>
      </c>
      <c r="AE1106" t="s">
        <v>560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572</v>
      </c>
      <c r="AD1107" t="s">
        <v>420</v>
      </c>
      <c r="AE1107" t="s">
        <v>560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572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572</v>
      </c>
      <c r="AD1109" t="s">
        <v>403</v>
      </c>
      <c r="AE1109" t="s">
        <v>560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572</v>
      </c>
      <c r="AD1110" t="s">
        <v>423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422</v>
      </c>
      <c r="AD1111" t="s">
        <v>403</v>
      </c>
      <c r="AE1111" t="s">
        <v>560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425</v>
      </c>
      <c r="AD1112" t="s">
        <v>403</v>
      </c>
      <c r="AE1112" t="s">
        <v>560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421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420</v>
      </c>
      <c r="AD1113" t="s">
        <v>136</v>
      </c>
      <c r="AE1113" t="s">
        <v>560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423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420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420</v>
      </c>
      <c r="AD1115" t="s">
        <v>403</v>
      </c>
      <c r="AE1115" t="s">
        <v>560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420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420</v>
      </c>
      <c r="AD1116" t="s">
        <v>423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420</v>
      </c>
      <c r="E1117" t="s">
        <v>420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420</v>
      </c>
      <c r="AD1117" t="s">
        <v>423</v>
      </c>
      <c r="AE1117" t="s">
        <v>560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427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560</v>
      </c>
      <c r="AD1118" t="s">
        <v>136</v>
      </c>
      <c r="AE1118" t="s">
        <v>560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427</v>
      </c>
      <c r="E1119" t="s">
        <v>427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560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560</v>
      </c>
      <c r="AD1120" t="s">
        <v>403</v>
      </c>
      <c r="AE1120" t="s">
        <v>560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560</v>
      </c>
      <c r="AD1121" t="s">
        <v>423</v>
      </c>
      <c r="AE1121" t="s">
        <v>560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427</v>
      </c>
      <c r="AD1122" t="s">
        <v>399</v>
      </c>
      <c r="AE1122" t="s">
        <v>560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549</v>
      </c>
      <c r="E1123" t="s">
        <v>549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427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419</v>
      </c>
      <c r="E1124" t="s">
        <v>419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427</v>
      </c>
      <c r="AD1124" t="s">
        <v>403</v>
      </c>
      <c r="AE1124" t="s">
        <v>560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419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419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560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423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423</v>
      </c>
      <c r="AD1128" t="s">
        <v>403</v>
      </c>
      <c r="AE1128" t="s">
        <v>560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421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423</v>
      </c>
      <c r="AD1129" t="s">
        <v>423</v>
      </c>
      <c r="AE1129" t="s">
        <v>560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423</v>
      </c>
      <c r="AC1130" t="s">
        <v>136</v>
      </c>
      <c r="AD1130" t="s">
        <v>423</v>
      </c>
      <c r="AE1130" t="s">
        <v>560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423</v>
      </c>
      <c r="AC1131" t="s">
        <v>573</v>
      </c>
      <c r="AD1131" t="s">
        <v>423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420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423</v>
      </c>
      <c r="AC1132" t="s">
        <v>573</v>
      </c>
      <c r="AD1132" t="s">
        <v>423</v>
      </c>
      <c r="AE1132" t="s">
        <v>560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419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423</v>
      </c>
      <c r="AC1133" t="s">
        <v>572</v>
      </c>
      <c r="AD1133" t="s">
        <v>423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423</v>
      </c>
      <c r="AC1134" t="s">
        <v>572</v>
      </c>
      <c r="AD1134" t="s">
        <v>423</v>
      </c>
      <c r="AE1134" t="s">
        <v>560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423</v>
      </c>
      <c r="AC1135" t="s">
        <v>420</v>
      </c>
      <c r="AD1135" t="s">
        <v>136</v>
      </c>
      <c r="AE1135" t="s">
        <v>560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423</v>
      </c>
      <c r="AC1136" t="s">
        <v>420</v>
      </c>
      <c r="AD1136" t="s">
        <v>423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421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423</v>
      </c>
      <c r="AC1137" t="s">
        <v>420</v>
      </c>
      <c r="AD1137" t="s">
        <v>423</v>
      </c>
      <c r="AE1137" t="s">
        <v>560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420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423</v>
      </c>
      <c r="AC1138" t="s">
        <v>560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427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423</v>
      </c>
      <c r="AC1139" t="s">
        <v>560</v>
      </c>
      <c r="AD1139" t="s">
        <v>136</v>
      </c>
      <c r="AE1139" t="s">
        <v>560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421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423</v>
      </c>
      <c r="AC1140" t="s">
        <v>560</v>
      </c>
      <c r="AD1140" t="s">
        <v>423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421</v>
      </c>
      <c r="E1141" t="s">
        <v>421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423</v>
      </c>
      <c r="AC1141" t="s">
        <v>560</v>
      </c>
      <c r="AD1141" t="s">
        <v>423</v>
      </c>
      <c r="AE1141" t="s">
        <v>560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423</v>
      </c>
      <c r="AC1142" t="s">
        <v>427</v>
      </c>
      <c r="AD1142" t="s">
        <v>423</v>
      </c>
      <c r="AE1142" t="s">
        <v>560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425</v>
      </c>
      <c r="E1143" t="s">
        <v>425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560</v>
      </c>
      <c r="AE1143" t="s">
        <v>560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420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571</v>
      </c>
      <c r="AC1144" t="s">
        <v>420</v>
      </c>
      <c r="AD1144" t="s">
        <v>571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420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419</v>
      </c>
      <c r="AC1145" t="s">
        <v>419</v>
      </c>
      <c r="AD1145" t="s">
        <v>419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420</v>
      </c>
      <c r="E1146" t="s">
        <v>420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419</v>
      </c>
      <c r="AC1146" t="s">
        <v>419</v>
      </c>
      <c r="AD1146" t="s">
        <v>419</v>
      </c>
      <c r="AE1146" t="s">
        <v>560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427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419</v>
      </c>
      <c r="AC1147" t="s">
        <v>419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427</v>
      </c>
      <c r="E1148" t="s">
        <v>427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419</v>
      </c>
      <c r="AC1148" t="s">
        <v>136</v>
      </c>
      <c r="AD1148" t="s">
        <v>419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419</v>
      </c>
      <c r="AC1149" t="s">
        <v>136</v>
      </c>
      <c r="AD1149" t="s">
        <v>419</v>
      </c>
      <c r="AE1149" t="s">
        <v>560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419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423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419</v>
      </c>
      <c r="AC1151" t="s">
        <v>573</v>
      </c>
      <c r="AD1151" t="s">
        <v>419</v>
      </c>
      <c r="AE1151" t="s">
        <v>560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423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419</v>
      </c>
      <c r="AC1152" t="s">
        <v>573</v>
      </c>
      <c r="AD1152" t="s">
        <v>401</v>
      </c>
      <c r="AE1152" t="s">
        <v>560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423</v>
      </c>
      <c r="E1153" t="s">
        <v>423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419</v>
      </c>
      <c r="AC1153" t="s">
        <v>421</v>
      </c>
      <c r="AD1153" t="s">
        <v>419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419</v>
      </c>
      <c r="AC1154" t="s">
        <v>421</v>
      </c>
      <c r="AD1154" t="s">
        <v>419</v>
      </c>
      <c r="AE1154" t="s">
        <v>560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419</v>
      </c>
      <c r="E1155" t="s">
        <v>419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419</v>
      </c>
      <c r="AC1155" t="s">
        <v>421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419</v>
      </c>
      <c r="AC1156" t="s">
        <v>421</v>
      </c>
      <c r="AD1156" t="s">
        <v>401</v>
      </c>
      <c r="AE1156" t="s">
        <v>560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419</v>
      </c>
      <c r="AC1157" t="s">
        <v>572</v>
      </c>
      <c r="AD1157" t="s">
        <v>419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419</v>
      </c>
      <c r="AC1158" t="s">
        <v>572</v>
      </c>
      <c r="AD1158" t="s">
        <v>419</v>
      </c>
      <c r="AE1158" t="s">
        <v>560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419</v>
      </c>
      <c r="AC1159" t="s">
        <v>572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419</v>
      </c>
      <c r="AC1160" t="s">
        <v>572</v>
      </c>
      <c r="AD1160" t="s">
        <v>401</v>
      </c>
      <c r="AE1160" t="s">
        <v>560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420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419</v>
      </c>
      <c r="AC1161" t="s">
        <v>572</v>
      </c>
      <c r="AD1161" t="s">
        <v>572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419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419</v>
      </c>
      <c r="AC1162" t="s">
        <v>420</v>
      </c>
      <c r="AD1162" t="s">
        <v>419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419</v>
      </c>
      <c r="AC1163" t="s">
        <v>420</v>
      </c>
      <c r="AD1163" t="s">
        <v>419</v>
      </c>
      <c r="AE1163" t="s">
        <v>560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419</v>
      </c>
      <c r="AC1164" t="s">
        <v>420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419</v>
      </c>
      <c r="AC1165" t="s">
        <v>420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421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419</v>
      </c>
      <c r="AC1166" t="s">
        <v>420</v>
      </c>
      <c r="AD1166" t="s">
        <v>401</v>
      </c>
      <c r="AE1166" t="s">
        <v>560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422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419</v>
      </c>
      <c r="AC1167" t="s">
        <v>560</v>
      </c>
      <c r="AD1167" t="s">
        <v>400</v>
      </c>
      <c r="AE1167" t="s">
        <v>560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420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419</v>
      </c>
      <c r="AC1168" t="s">
        <v>560</v>
      </c>
      <c r="AD1168" t="s">
        <v>401</v>
      </c>
      <c r="AE1168" t="s">
        <v>560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421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419</v>
      </c>
      <c r="AC1169" t="s">
        <v>475</v>
      </c>
      <c r="AD1169" t="s">
        <v>419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421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419</v>
      </c>
      <c r="AC1170" t="s">
        <v>427</v>
      </c>
      <c r="AD1170" t="s">
        <v>419</v>
      </c>
      <c r="AE1170" t="s">
        <v>560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421</v>
      </c>
      <c r="E1171" t="s">
        <v>421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571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571</v>
      </c>
      <c r="AD1172" t="s">
        <v>400</v>
      </c>
      <c r="AE1172" t="s">
        <v>560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550</v>
      </c>
      <c r="E1173" t="s">
        <v>550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419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425</v>
      </c>
      <c r="E1174" t="s">
        <v>425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419</v>
      </c>
      <c r="AD1174" t="s">
        <v>400</v>
      </c>
      <c r="AE1174" t="s">
        <v>560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420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419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420</v>
      </c>
      <c r="E1176" t="s">
        <v>420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419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427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427</v>
      </c>
      <c r="E1178" t="s">
        <v>427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560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560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560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423</v>
      </c>
      <c r="E1181" t="s">
        <v>423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419</v>
      </c>
      <c r="AE1181" t="s">
        <v>560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419</v>
      </c>
      <c r="E1182" t="s">
        <v>419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560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573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573</v>
      </c>
      <c r="AD1185" t="s">
        <v>400</v>
      </c>
      <c r="AE1185" t="s">
        <v>560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573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421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421</v>
      </c>
      <c r="AD1187" t="s">
        <v>419</v>
      </c>
      <c r="AE1187" t="s">
        <v>560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420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421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427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421</v>
      </c>
      <c r="AD1189" t="s">
        <v>400</v>
      </c>
      <c r="AE1189" t="s">
        <v>560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421</v>
      </c>
      <c r="AD1190" t="s">
        <v>136</v>
      </c>
      <c r="AE1190" t="s">
        <v>560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421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421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421</v>
      </c>
      <c r="AD1192" t="s">
        <v>572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420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572</v>
      </c>
      <c r="AD1193" t="s">
        <v>419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421</v>
      </c>
      <c r="E1194" t="s">
        <v>421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572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572</v>
      </c>
      <c r="AD1195" t="s">
        <v>400</v>
      </c>
      <c r="AE1195" t="s">
        <v>560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550</v>
      </c>
      <c r="E1196" t="s">
        <v>550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572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422</v>
      </c>
      <c r="E1197" t="s">
        <v>422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422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425</v>
      </c>
      <c r="E1198" t="s">
        <v>425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422</v>
      </c>
      <c r="AD1198" t="s">
        <v>400</v>
      </c>
      <c r="AE1198" t="s">
        <v>560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420</v>
      </c>
      <c r="E1199" t="s">
        <v>419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425</v>
      </c>
      <c r="AD1199" t="s">
        <v>400</v>
      </c>
      <c r="AE1199" t="s">
        <v>560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420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425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420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420</v>
      </c>
      <c r="AD1201" t="s">
        <v>419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420</v>
      </c>
      <c r="E1202" t="s">
        <v>420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420</v>
      </c>
      <c r="AD1202" t="s">
        <v>419</v>
      </c>
      <c r="AE1202" t="s">
        <v>560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427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420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427</v>
      </c>
      <c r="E1204" t="s">
        <v>427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420</v>
      </c>
      <c r="AD1204" t="s">
        <v>400</v>
      </c>
      <c r="AE1204" t="s">
        <v>560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419</v>
      </c>
      <c r="E1205" t="s">
        <v>419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420</v>
      </c>
      <c r="AD1205" t="s">
        <v>136</v>
      </c>
      <c r="AE1205" t="s">
        <v>560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420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420</v>
      </c>
      <c r="AD1207" t="s">
        <v>402</v>
      </c>
      <c r="AE1207" t="s">
        <v>560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560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560</v>
      </c>
      <c r="AD1209" t="s">
        <v>400</v>
      </c>
      <c r="AE1209" t="s">
        <v>560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421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560</v>
      </c>
      <c r="AD1210" t="s">
        <v>136</v>
      </c>
      <c r="AE1210" t="s">
        <v>560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550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475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420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475</v>
      </c>
      <c r="AD1212" t="s">
        <v>400</v>
      </c>
      <c r="AE1212" t="s">
        <v>560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419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427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427</v>
      </c>
      <c r="AD1214" t="s">
        <v>400</v>
      </c>
      <c r="AE1214" t="s">
        <v>560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427</v>
      </c>
      <c r="AD1215" t="s">
        <v>136</v>
      </c>
      <c r="AE1215" t="s">
        <v>560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420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421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560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421</v>
      </c>
      <c r="E1218" t="s">
        <v>421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423</v>
      </c>
      <c r="AD1218" t="s">
        <v>401</v>
      </c>
      <c r="AE1218" t="s">
        <v>560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550</v>
      </c>
      <c r="E1219" t="s">
        <v>550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419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425</v>
      </c>
      <c r="E1220" t="s">
        <v>425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419</v>
      </c>
      <c r="AD1220" t="s">
        <v>136</v>
      </c>
      <c r="AE1220" t="s">
        <v>560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420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560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420</v>
      </c>
      <c r="E1222" t="s">
        <v>420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427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560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427</v>
      </c>
      <c r="E1224" t="s">
        <v>427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560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549</v>
      </c>
      <c r="E1226" t="s">
        <v>549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573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419</v>
      </c>
      <c r="E1227" t="s">
        <v>419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573</v>
      </c>
      <c r="AD1227" t="s">
        <v>136</v>
      </c>
      <c r="AE1227" t="s">
        <v>560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419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573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573</v>
      </c>
      <c r="AD1229" t="s">
        <v>401</v>
      </c>
      <c r="AE1229" t="s">
        <v>560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421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419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421</v>
      </c>
      <c r="AD1231" t="s">
        <v>136</v>
      </c>
      <c r="AE1231" t="s">
        <v>560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421</v>
      </c>
      <c r="AD1232" t="s">
        <v>421</v>
      </c>
      <c r="AE1232" t="s">
        <v>560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560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421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560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550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572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420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572</v>
      </c>
      <c r="AD1237" t="s">
        <v>136</v>
      </c>
      <c r="AE1237" t="s">
        <v>560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419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422</v>
      </c>
      <c r="AD1238" t="s">
        <v>136</v>
      </c>
      <c r="AE1238" t="s">
        <v>560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425</v>
      </c>
      <c r="AD1239" t="s">
        <v>136</v>
      </c>
      <c r="AE1239" t="s">
        <v>560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420</v>
      </c>
      <c r="AD1240" t="s">
        <v>400</v>
      </c>
      <c r="AE1240" t="s">
        <v>560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421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420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421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420</v>
      </c>
      <c r="AD1242" t="s">
        <v>136</v>
      </c>
      <c r="AE1242" t="s">
        <v>560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421</v>
      </c>
      <c r="E1243" t="s">
        <v>421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420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420</v>
      </c>
      <c r="AD1244" t="s">
        <v>401</v>
      </c>
      <c r="AE1244" t="s">
        <v>560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550</v>
      </c>
      <c r="E1245" t="s">
        <v>550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420</v>
      </c>
      <c r="AD1245" t="s">
        <v>420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422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420</v>
      </c>
      <c r="AD1246" t="s">
        <v>420</v>
      </c>
      <c r="AE1246" t="s">
        <v>560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422</v>
      </c>
      <c r="E1247" t="s">
        <v>422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560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425</v>
      </c>
      <c r="E1248" t="s">
        <v>425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560</v>
      </c>
      <c r="AD1248" t="s">
        <v>136</v>
      </c>
      <c r="AE1248" t="s">
        <v>560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420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560</v>
      </c>
      <c r="AD1249" t="s">
        <v>401</v>
      </c>
      <c r="AE1249" t="s">
        <v>560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420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560</v>
      </c>
      <c r="AD1250" t="s">
        <v>402</v>
      </c>
      <c r="AE1250" t="s">
        <v>560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420</v>
      </c>
      <c r="E1251" t="s">
        <v>420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427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427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427</v>
      </c>
      <c r="AD1252" t="s">
        <v>136</v>
      </c>
      <c r="AE1252" t="s">
        <v>560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427</v>
      </c>
      <c r="E1253" t="s">
        <v>427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423</v>
      </c>
      <c r="AD1253" t="s">
        <v>136</v>
      </c>
      <c r="AE1253" t="s">
        <v>560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571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571</v>
      </c>
      <c r="AD1255" t="s">
        <v>401</v>
      </c>
      <c r="AE1255" t="s">
        <v>560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419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419</v>
      </c>
      <c r="AD1257" t="s">
        <v>136</v>
      </c>
      <c r="AE1257" t="s">
        <v>560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427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419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419</v>
      </c>
      <c r="AD1259" t="s">
        <v>401</v>
      </c>
      <c r="AE1259" t="s">
        <v>560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427</v>
      </c>
      <c r="E1260" t="s">
        <v>427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419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419</v>
      </c>
      <c r="AD1261" t="s">
        <v>572</v>
      </c>
      <c r="AE1261" t="s">
        <v>560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419</v>
      </c>
      <c r="AD1262" t="s">
        <v>420</v>
      </c>
      <c r="AE1262" t="s">
        <v>560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477</v>
      </c>
      <c r="E1263" t="s">
        <v>477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560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560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560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427</v>
      </c>
      <c r="E1268" t="s">
        <v>427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560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419</v>
      </c>
      <c r="E1269" t="s">
        <v>419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560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421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477</v>
      </c>
      <c r="E1272" t="s">
        <v>477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420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420</v>
      </c>
      <c r="AE1273" t="s">
        <v>560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573</v>
      </c>
      <c r="AD1274" t="s">
        <v>571</v>
      </c>
      <c r="AE1274" t="s">
        <v>560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420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573</v>
      </c>
      <c r="AD1275" t="s">
        <v>419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573</v>
      </c>
      <c r="AD1276" t="s">
        <v>136</v>
      </c>
      <c r="AE1276" t="s">
        <v>560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573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573</v>
      </c>
      <c r="AD1278" t="s">
        <v>401</v>
      </c>
      <c r="AE1278" t="s">
        <v>560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573</v>
      </c>
      <c r="AD1279" t="s">
        <v>421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573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573</v>
      </c>
      <c r="AD1281" t="s">
        <v>572</v>
      </c>
      <c r="AE1281" t="s">
        <v>560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573</v>
      </c>
      <c r="AD1282" t="s">
        <v>422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573</v>
      </c>
      <c r="AD1283" t="s">
        <v>425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573</v>
      </c>
      <c r="AD1284" t="s">
        <v>420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421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573</v>
      </c>
      <c r="AD1285" t="s">
        <v>420</v>
      </c>
      <c r="AE1285" t="s">
        <v>560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573</v>
      </c>
      <c r="AD1286" t="s">
        <v>427</v>
      </c>
      <c r="AE1286" t="s">
        <v>560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420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421</v>
      </c>
      <c r="AD1287" t="s">
        <v>571</v>
      </c>
      <c r="AE1287" t="s">
        <v>560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421</v>
      </c>
      <c r="AD1288" t="s">
        <v>419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421</v>
      </c>
      <c r="AD1289" t="s">
        <v>419</v>
      </c>
      <c r="AE1289" t="s">
        <v>560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420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421</v>
      </c>
      <c r="AD1290" t="s">
        <v>400</v>
      </c>
      <c r="AE1290" t="s">
        <v>560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427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421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421</v>
      </c>
      <c r="AD1292" t="s">
        <v>136</v>
      </c>
      <c r="AE1292" t="s">
        <v>560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423</v>
      </c>
      <c r="E1293" t="s">
        <v>423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421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421</v>
      </c>
      <c r="AD1294" t="s">
        <v>401</v>
      </c>
      <c r="AE1294" t="s">
        <v>560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419</v>
      </c>
      <c r="E1295" t="s">
        <v>419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421</v>
      </c>
      <c r="AD1295" t="s">
        <v>421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419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421</v>
      </c>
      <c r="AD1296" t="s">
        <v>421</v>
      </c>
      <c r="AE1296" t="s">
        <v>560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419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421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421</v>
      </c>
      <c r="AD1298" t="s">
        <v>402</v>
      </c>
      <c r="AE1298" t="s">
        <v>560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420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560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572</v>
      </c>
      <c r="AD1301" t="s">
        <v>419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572</v>
      </c>
      <c r="AD1302" t="s">
        <v>136</v>
      </c>
      <c r="AE1302" t="s">
        <v>560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572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422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572</v>
      </c>
      <c r="AD1304" t="s">
        <v>401</v>
      </c>
      <c r="AE1304" t="s">
        <v>560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420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572</v>
      </c>
      <c r="AD1305" t="s">
        <v>421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421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572</v>
      </c>
      <c r="AD1306" t="s">
        <v>421</v>
      </c>
      <c r="AE1306" t="s">
        <v>560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572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572</v>
      </c>
      <c r="AD1308" t="s">
        <v>402</v>
      </c>
      <c r="AE1308" t="s">
        <v>560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421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572</v>
      </c>
      <c r="AD1309" t="s">
        <v>420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422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420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422</v>
      </c>
      <c r="AD1311" t="s">
        <v>401</v>
      </c>
      <c r="AE1311" t="s">
        <v>560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425</v>
      </c>
      <c r="E1312" t="s">
        <v>425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422</v>
      </c>
      <c r="AD1312" t="s">
        <v>421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420</v>
      </c>
      <c r="E1313" t="s">
        <v>420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422</v>
      </c>
      <c r="AD1313" t="s">
        <v>422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420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425</v>
      </c>
      <c r="AD1314" t="s">
        <v>136</v>
      </c>
      <c r="AE1314" t="s">
        <v>560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425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425</v>
      </c>
      <c r="AD1316" t="s">
        <v>401</v>
      </c>
      <c r="AE1316" t="s">
        <v>560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419</v>
      </c>
      <c r="E1317" t="s">
        <v>419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425</v>
      </c>
      <c r="AD1317" t="s">
        <v>421</v>
      </c>
      <c r="AE1317" t="s">
        <v>560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419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425</v>
      </c>
      <c r="AD1318" t="s">
        <v>425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419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425</v>
      </c>
      <c r="AD1319" t="s">
        <v>425</v>
      </c>
      <c r="AE1319" t="s">
        <v>560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420</v>
      </c>
      <c r="AD1320" t="s">
        <v>419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420</v>
      </c>
      <c r="AD1321" t="s">
        <v>419</v>
      </c>
      <c r="AE1321" t="s">
        <v>560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420</v>
      </c>
      <c r="AD1322" t="s">
        <v>400</v>
      </c>
      <c r="AE1322" t="s">
        <v>560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420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420</v>
      </c>
      <c r="AD1324" t="s">
        <v>136</v>
      </c>
      <c r="AE1324" t="s">
        <v>560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420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420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420</v>
      </c>
      <c r="AD1326" t="s">
        <v>401</v>
      </c>
      <c r="AE1326" t="s">
        <v>560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421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420</v>
      </c>
      <c r="AD1327" t="s">
        <v>421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420</v>
      </c>
      <c r="AD1328" t="s">
        <v>421</v>
      </c>
      <c r="AE1328" t="s">
        <v>560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550</v>
      </c>
      <c r="E1329" t="s">
        <v>550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420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422</v>
      </c>
      <c r="E1330" t="s">
        <v>422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420</v>
      </c>
      <c r="AD1330" t="s">
        <v>402</v>
      </c>
      <c r="AE1330" t="s">
        <v>560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425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420</v>
      </c>
      <c r="AD1331" t="s">
        <v>572</v>
      </c>
      <c r="AE1331" t="s">
        <v>560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425</v>
      </c>
      <c r="E1332" t="s">
        <v>425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420</v>
      </c>
      <c r="AD1332" t="s">
        <v>420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420</v>
      </c>
      <c r="E1333" t="s">
        <v>420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420</v>
      </c>
      <c r="AD1333" t="s">
        <v>420</v>
      </c>
      <c r="AE1333" t="s">
        <v>560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420</v>
      </c>
      <c r="AD1334" t="s">
        <v>475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420</v>
      </c>
      <c r="AD1335" t="s">
        <v>427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419</v>
      </c>
      <c r="E1336" t="s">
        <v>419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560</v>
      </c>
      <c r="AD1336" t="s">
        <v>136</v>
      </c>
      <c r="AE1336" t="s">
        <v>560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560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560</v>
      </c>
      <c r="AD1338" t="s">
        <v>401</v>
      </c>
      <c r="AE1338" t="s">
        <v>560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420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560</v>
      </c>
      <c r="AD1339" t="s">
        <v>421</v>
      </c>
      <c r="AE1339" t="s">
        <v>560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419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560</v>
      </c>
      <c r="AD1340" t="s">
        <v>427</v>
      </c>
      <c r="AE1340" t="s">
        <v>560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475</v>
      </c>
      <c r="AD1341" t="s">
        <v>419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475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420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475</v>
      </c>
      <c r="AD1343" t="s">
        <v>401</v>
      </c>
      <c r="AE1343" t="s">
        <v>560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421</v>
      </c>
      <c r="E1344" t="s">
        <v>421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427</v>
      </c>
      <c r="AD1344" t="s">
        <v>136</v>
      </c>
      <c r="AE1344" t="s">
        <v>560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427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550</v>
      </c>
      <c r="E1346" t="s">
        <v>550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427</v>
      </c>
      <c r="AD1346" t="s">
        <v>401</v>
      </c>
      <c r="AE1346" t="s">
        <v>560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425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427</v>
      </c>
      <c r="AD1347" t="s">
        <v>421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425</v>
      </c>
      <c r="E1348" t="s">
        <v>425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427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420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427</v>
      </c>
      <c r="AD1349" t="s">
        <v>427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420</v>
      </c>
      <c r="E1350" t="s">
        <v>420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560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421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423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423</v>
      </c>
      <c r="AD1354" t="s">
        <v>401</v>
      </c>
      <c r="AE1354" t="s">
        <v>560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420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421</v>
      </c>
      <c r="AC1355" t="s">
        <v>571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421</v>
      </c>
      <c r="AC1356" t="s">
        <v>419</v>
      </c>
      <c r="AD1356" t="s">
        <v>421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421</v>
      </c>
      <c r="AC1357" t="s">
        <v>419</v>
      </c>
      <c r="AD1357" t="s">
        <v>421</v>
      </c>
      <c r="AE1357" t="s">
        <v>560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421</v>
      </c>
      <c r="E1358" t="s">
        <v>421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421</v>
      </c>
      <c r="AC1358" t="s">
        <v>136</v>
      </c>
      <c r="AD1358" t="s">
        <v>136</v>
      </c>
      <c r="AE1358" t="s">
        <v>560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421</v>
      </c>
      <c r="AC1359" t="s">
        <v>136</v>
      </c>
      <c r="AD1359" t="s">
        <v>401</v>
      </c>
      <c r="AE1359" t="s">
        <v>560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550</v>
      </c>
      <c r="E1360" t="s">
        <v>550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421</v>
      </c>
      <c r="AC1360" t="s">
        <v>136</v>
      </c>
      <c r="AD1360" t="s">
        <v>421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422</v>
      </c>
      <c r="E1361" t="s">
        <v>422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421</v>
      </c>
      <c r="AC1361" t="s">
        <v>136</v>
      </c>
      <c r="AD1361" t="s">
        <v>421</v>
      </c>
      <c r="AE1361" t="s">
        <v>560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425</v>
      </c>
      <c r="E1362" t="s">
        <v>425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421</v>
      </c>
      <c r="AC1362" t="s">
        <v>573</v>
      </c>
      <c r="AD1362" t="s">
        <v>421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420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421</v>
      </c>
      <c r="AC1363" t="s">
        <v>573</v>
      </c>
      <c r="AD1363" t="s">
        <v>421</v>
      </c>
      <c r="AE1363" t="s">
        <v>560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420</v>
      </c>
      <c r="E1364" t="s">
        <v>420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421</v>
      </c>
      <c r="AC1364" t="s">
        <v>421</v>
      </c>
      <c r="AD1364" t="s">
        <v>136</v>
      </c>
      <c r="AE1364" t="s">
        <v>560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421</v>
      </c>
      <c r="AC1365" t="s">
        <v>421</v>
      </c>
      <c r="AD1365" t="s">
        <v>421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419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421</v>
      </c>
      <c r="AC1366" t="s">
        <v>421</v>
      </c>
      <c r="AD1366" t="s">
        <v>421</v>
      </c>
      <c r="AE1366" t="s">
        <v>560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421</v>
      </c>
      <c r="AC1367" t="s">
        <v>402</v>
      </c>
      <c r="AD1367" t="s">
        <v>421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421</v>
      </c>
      <c r="AC1368" t="s">
        <v>425</v>
      </c>
      <c r="AD1368" t="s">
        <v>571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420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421</v>
      </c>
      <c r="AC1369" t="s">
        <v>420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421</v>
      </c>
      <c r="AC1370" t="s">
        <v>420</v>
      </c>
      <c r="AD1370" t="s">
        <v>401</v>
      </c>
      <c r="AE1370" t="s">
        <v>560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421</v>
      </c>
      <c r="AC1371" t="s">
        <v>420</v>
      </c>
      <c r="AD1371" t="s">
        <v>421</v>
      </c>
      <c r="AE1371" t="s">
        <v>560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421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421</v>
      </c>
      <c r="AC1372" t="s">
        <v>560</v>
      </c>
      <c r="AD1372" t="s">
        <v>136</v>
      </c>
      <c r="AE1372" t="s">
        <v>560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421</v>
      </c>
      <c r="AC1373" t="s">
        <v>560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421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421</v>
      </c>
      <c r="AC1374" t="s">
        <v>560</v>
      </c>
      <c r="AD1374" t="s">
        <v>421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421</v>
      </c>
      <c r="E1375" t="s">
        <v>421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421</v>
      </c>
      <c r="AC1375" t="s">
        <v>560</v>
      </c>
      <c r="AD1375" t="s">
        <v>421</v>
      </c>
      <c r="AE1375" t="s">
        <v>560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571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550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571</v>
      </c>
      <c r="AD1377" t="s">
        <v>402</v>
      </c>
      <c r="AE1377" t="s">
        <v>560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550</v>
      </c>
      <c r="E1378" t="s">
        <v>550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419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422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419</v>
      </c>
      <c r="AD1379" t="s">
        <v>402</v>
      </c>
      <c r="AE1379" t="s">
        <v>560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422</v>
      </c>
      <c r="E1380" t="s">
        <v>422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560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425</v>
      </c>
      <c r="E1381" t="s">
        <v>419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560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425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425</v>
      </c>
      <c r="E1383" t="s">
        <v>425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560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420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573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420</v>
      </c>
      <c r="E1385" t="s">
        <v>420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573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427</v>
      </c>
      <c r="E1386" t="s">
        <v>427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573</v>
      </c>
      <c r="AD1386" t="s">
        <v>402</v>
      </c>
      <c r="AE1386" t="s">
        <v>560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421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421</v>
      </c>
      <c r="AD1388" t="s">
        <v>421</v>
      </c>
      <c r="AE1388" t="s">
        <v>560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421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421</v>
      </c>
      <c r="AD1390" t="s">
        <v>402</v>
      </c>
      <c r="AE1390" t="s">
        <v>560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421</v>
      </c>
      <c r="AD1391" t="s">
        <v>420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421</v>
      </c>
      <c r="AD1392" t="s">
        <v>420</v>
      </c>
      <c r="AE1392" t="s">
        <v>560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419</v>
      </c>
      <c r="AE1393" t="s">
        <v>560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560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560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560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421</v>
      </c>
      <c r="AE1398" t="s">
        <v>560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560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572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420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420</v>
      </c>
      <c r="AE1403" t="s">
        <v>560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572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572</v>
      </c>
      <c r="AD1405" t="s">
        <v>400</v>
      </c>
      <c r="AE1405" t="s">
        <v>560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572</v>
      </c>
      <c r="AD1406" t="s">
        <v>136</v>
      </c>
      <c r="AE1406" t="s">
        <v>560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572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572</v>
      </c>
      <c r="AD1408" t="s">
        <v>401</v>
      </c>
      <c r="AE1408" t="s">
        <v>560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572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572</v>
      </c>
      <c r="AD1410" t="s">
        <v>402</v>
      </c>
      <c r="AE1410" t="s">
        <v>560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422</v>
      </c>
      <c r="AD1411" t="s">
        <v>136</v>
      </c>
      <c r="AE1411" t="s">
        <v>560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420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422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421</v>
      </c>
      <c r="E1413" t="s">
        <v>421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422</v>
      </c>
      <c r="AD1413" t="s">
        <v>402</v>
      </c>
      <c r="AE1413" t="s">
        <v>560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425</v>
      </c>
      <c r="AD1414" t="s">
        <v>402</v>
      </c>
      <c r="AE1414" t="s">
        <v>560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420</v>
      </c>
      <c r="AD1415" t="s">
        <v>136</v>
      </c>
      <c r="AE1415" t="s">
        <v>560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420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420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419</v>
      </c>
      <c r="E1418" t="s">
        <v>419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420</v>
      </c>
      <c r="AD1418" t="s">
        <v>402</v>
      </c>
      <c r="AE1418" t="s">
        <v>560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419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560</v>
      </c>
      <c r="AD1419" t="s">
        <v>136</v>
      </c>
      <c r="AE1419" t="s">
        <v>560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560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560</v>
      </c>
      <c r="AD1421" t="s">
        <v>402</v>
      </c>
      <c r="AE1421" t="s">
        <v>560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475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475</v>
      </c>
      <c r="AD1423" t="s">
        <v>402</v>
      </c>
      <c r="AE1423" t="s">
        <v>560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427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421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427</v>
      </c>
      <c r="AD1425" t="s">
        <v>402</v>
      </c>
      <c r="AE1425" t="s">
        <v>560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560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420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423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421</v>
      </c>
      <c r="E1428" t="s">
        <v>421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423</v>
      </c>
      <c r="AD1428" t="s">
        <v>402</v>
      </c>
      <c r="AE1428" t="s">
        <v>560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572</v>
      </c>
      <c r="AC1429" t="s">
        <v>136</v>
      </c>
      <c r="AD1429" t="s">
        <v>136</v>
      </c>
      <c r="AE1429" t="s">
        <v>560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420</v>
      </c>
      <c r="E1430" t="s">
        <v>420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572</v>
      </c>
      <c r="AC1430" t="s">
        <v>136</v>
      </c>
      <c r="AD1430" t="s">
        <v>572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427</v>
      </c>
      <c r="E1431" t="s">
        <v>427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572</v>
      </c>
      <c r="AC1431" t="s">
        <v>573</v>
      </c>
      <c r="AD1431" t="s">
        <v>572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572</v>
      </c>
      <c r="AC1432" t="s">
        <v>573</v>
      </c>
      <c r="AD1432" t="s">
        <v>572</v>
      </c>
      <c r="AE1432" t="s">
        <v>560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423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572</v>
      </c>
      <c r="AC1433" t="s">
        <v>572</v>
      </c>
      <c r="AD1433" t="s">
        <v>572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572</v>
      </c>
      <c r="AC1434" t="s">
        <v>572</v>
      </c>
      <c r="AD1434" t="s">
        <v>572</v>
      </c>
      <c r="AE1434" t="s">
        <v>560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419</v>
      </c>
      <c r="E1435" t="s">
        <v>419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572</v>
      </c>
      <c r="AC1435" t="s">
        <v>422</v>
      </c>
      <c r="AD1435" t="s">
        <v>572</v>
      </c>
      <c r="AE1435" t="s">
        <v>560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419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572</v>
      </c>
      <c r="AC1436" t="s">
        <v>420</v>
      </c>
      <c r="AD1436" t="s">
        <v>572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572</v>
      </c>
      <c r="AC1437" t="s">
        <v>560</v>
      </c>
      <c r="AD1437" t="s">
        <v>572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550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422</v>
      </c>
      <c r="AC1438" t="s">
        <v>573</v>
      </c>
      <c r="AD1438" t="s">
        <v>422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422</v>
      </c>
      <c r="AC1439" t="s">
        <v>422</v>
      </c>
      <c r="AD1439" t="s">
        <v>422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422</v>
      </c>
      <c r="AC1440" t="s">
        <v>422</v>
      </c>
      <c r="AD1440" t="s">
        <v>422</v>
      </c>
      <c r="AE1440" t="s">
        <v>560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422</v>
      </c>
      <c r="AC1441" t="s">
        <v>560</v>
      </c>
      <c r="AD1441" t="s">
        <v>136</v>
      </c>
      <c r="AE1441" t="s">
        <v>560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421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422</v>
      </c>
      <c r="AC1442" t="s">
        <v>560</v>
      </c>
      <c r="AD1442" t="s">
        <v>422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422</v>
      </c>
      <c r="AC1443" t="s">
        <v>560</v>
      </c>
      <c r="AD1443" t="s">
        <v>422</v>
      </c>
      <c r="AE1443" t="s">
        <v>560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420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425</v>
      </c>
      <c r="AC1444" t="s">
        <v>419</v>
      </c>
      <c r="AD1444" t="s">
        <v>425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427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425</v>
      </c>
      <c r="AC1445" t="s">
        <v>136</v>
      </c>
      <c r="AD1445" t="s">
        <v>425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421</v>
      </c>
      <c r="E1446" t="s">
        <v>421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425</v>
      </c>
      <c r="AC1446" t="s">
        <v>573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425</v>
      </c>
      <c r="AC1447" t="s">
        <v>573</v>
      </c>
      <c r="AD1447" t="s">
        <v>422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550</v>
      </c>
      <c r="E1448" t="s">
        <v>550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425</v>
      </c>
      <c r="AC1448" t="s">
        <v>573</v>
      </c>
      <c r="AD1448" t="s">
        <v>425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425</v>
      </c>
      <c r="E1449" t="s">
        <v>425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425</v>
      </c>
      <c r="AC1449" t="s">
        <v>573</v>
      </c>
      <c r="AD1449" t="s">
        <v>425</v>
      </c>
      <c r="AE1449" t="s">
        <v>560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420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425</v>
      </c>
      <c r="AC1450" t="s">
        <v>425</v>
      </c>
      <c r="AD1450" t="s">
        <v>425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420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425</v>
      </c>
      <c r="AC1451" t="s">
        <v>425</v>
      </c>
      <c r="AD1451" t="s">
        <v>425</v>
      </c>
      <c r="AE1451" t="s">
        <v>560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420</v>
      </c>
      <c r="E1452" t="s">
        <v>420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425</v>
      </c>
      <c r="AC1452" t="s">
        <v>420</v>
      </c>
      <c r="AD1452" t="s">
        <v>136</v>
      </c>
      <c r="AE1452" t="s">
        <v>560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475</v>
      </c>
      <c r="E1453" t="s">
        <v>475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425</v>
      </c>
      <c r="AC1453" t="s">
        <v>420</v>
      </c>
      <c r="AD1453" t="s">
        <v>425</v>
      </c>
      <c r="AE1453" t="s">
        <v>560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427</v>
      </c>
      <c r="E1454" t="s">
        <v>427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425</v>
      </c>
      <c r="AC1454" t="s">
        <v>560</v>
      </c>
      <c r="AD1454" t="s">
        <v>425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420</v>
      </c>
      <c r="AC1455" t="s">
        <v>419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423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420</v>
      </c>
      <c r="AC1456" t="s">
        <v>419</v>
      </c>
      <c r="AD1456" t="s">
        <v>420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549</v>
      </c>
      <c r="E1457" t="s">
        <v>549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420</v>
      </c>
      <c r="AC1457" t="s">
        <v>419</v>
      </c>
      <c r="AD1457" t="s">
        <v>420</v>
      </c>
      <c r="AE1457" t="s">
        <v>560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419</v>
      </c>
      <c r="E1458" t="s">
        <v>419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420</v>
      </c>
      <c r="AC1458" t="s">
        <v>400</v>
      </c>
      <c r="AD1458" t="s">
        <v>420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420</v>
      </c>
      <c r="AC1459" t="s">
        <v>136</v>
      </c>
      <c r="AD1459" t="s">
        <v>136</v>
      </c>
      <c r="AE1459" t="s">
        <v>560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420</v>
      </c>
      <c r="AC1460" t="s">
        <v>136</v>
      </c>
      <c r="AD1460" t="s">
        <v>420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420</v>
      </c>
      <c r="AC1461" t="s">
        <v>136</v>
      </c>
      <c r="AD1461" t="s">
        <v>420</v>
      </c>
      <c r="AE1461" t="s">
        <v>560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420</v>
      </c>
      <c r="AC1462" t="s">
        <v>573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421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420</v>
      </c>
      <c r="AC1463" t="s">
        <v>573</v>
      </c>
      <c r="AD1463" t="s">
        <v>420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420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420</v>
      </c>
      <c r="AC1464" t="s">
        <v>573</v>
      </c>
      <c r="AD1464" t="s">
        <v>420</v>
      </c>
      <c r="AE1464" t="s">
        <v>560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427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420</v>
      </c>
      <c r="AC1465" t="s">
        <v>421</v>
      </c>
      <c r="AD1465" t="s">
        <v>420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421</v>
      </c>
      <c r="E1466" t="s">
        <v>421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420</v>
      </c>
      <c r="AC1466" t="s">
        <v>421</v>
      </c>
      <c r="AD1466" t="s">
        <v>420</v>
      </c>
      <c r="AE1466" t="s">
        <v>560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420</v>
      </c>
      <c r="AC1467" t="s">
        <v>402</v>
      </c>
      <c r="AD1467" t="s">
        <v>420</v>
      </c>
      <c r="AE1467" t="s">
        <v>560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550</v>
      </c>
      <c r="E1468" t="s">
        <v>550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420</v>
      </c>
      <c r="AC1468" t="s">
        <v>572</v>
      </c>
      <c r="AD1468" t="s">
        <v>136</v>
      </c>
      <c r="AE1468" t="s">
        <v>560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425</v>
      </c>
      <c r="E1469" t="s">
        <v>425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420</v>
      </c>
      <c r="AC1469" t="s">
        <v>572</v>
      </c>
      <c r="AD1469" t="s">
        <v>420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420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420</v>
      </c>
      <c r="AC1470" t="s">
        <v>572</v>
      </c>
      <c r="AD1470" t="s">
        <v>420</v>
      </c>
      <c r="AE1470" t="s">
        <v>560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420</v>
      </c>
      <c r="E1471" t="s">
        <v>420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420</v>
      </c>
      <c r="AC1471" t="s">
        <v>425</v>
      </c>
      <c r="AD1471" t="s">
        <v>420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427</v>
      </c>
      <c r="E1472" t="s">
        <v>427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420</v>
      </c>
      <c r="AC1472" t="s">
        <v>425</v>
      </c>
      <c r="AD1472" t="s">
        <v>420</v>
      </c>
      <c r="AE1472" t="s">
        <v>560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420</v>
      </c>
      <c r="AC1473" t="s">
        <v>420</v>
      </c>
      <c r="AD1473" t="s">
        <v>136</v>
      </c>
      <c r="AE1473" t="s">
        <v>560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420</v>
      </c>
      <c r="AC1474" t="s">
        <v>420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420</v>
      </c>
      <c r="AC1475" t="s">
        <v>420</v>
      </c>
      <c r="AD1475" t="s">
        <v>425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420</v>
      </c>
      <c r="AC1476" t="s">
        <v>420</v>
      </c>
      <c r="AD1476" t="s">
        <v>420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420</v>
      </c>
      <c r="AC1477" t="s">
        <v>420</v>
      </c>
      <c r="AD1477" t="s">
        <v>420</v>
      </c>
      <c r="AE1477" t="s">
        <v>560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420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420</v>
      </c>
      <c r="AC1478" t="s">
        <v>420</v>
      </c>
      <c r="AD1478" t="s">
        <v>475</v>
      </c>
      <c r="AE1478" t="s">
        <v>560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420</v>
      </c>
      <c r="AC1479" t="s">
        <v>560</v>
      </c>
      <c r="AD1479" t="s">
        <v>136</v>
      </c>
      <c r="AE1479" t="s">
        <v>560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420</v>
      </c>
      <c r="AC1480" t="s">
        <v>560</v>
      </c>
      <c r="AD1480" t="s">
        <v>420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420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420</v>
      </c>
      <c r="AC1481" t="s">
        <v>560</v>
      </c>
      <c r="AD1481" t="s">
        <v>420</v>
      </c>
      <c r="AE1481" t="s">
        <v>560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421</v>
      </c>
      <c r="E1482" t="s">
        <v>421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420</v>
      </c>
      <c r="AC1482" t="s">
        <v>560</v>
      </c>
      <c r="AD1482" t="s">
        <v>475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420</v>
      </c>
      <c r="AC1483" t="s">
        <v>475</v>
      </c>
      <c r="AD1483" t="s">
        <v>420</v>
      </c>
      <c r="AE1483" t="s">
        <v>560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550</v>
      </c>
      <c r="E1484" t="s">
        <v>550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420</v>
      </c>
      <c r="AC1484" t="s">
        <v>427</v>
      </c>
      <c r="AD1484" t="s">
        <v>420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422</v>
      </c>
      <c r="E1485" t="s">
        <v>422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420</v>
      </c>
      <c r="AC1485" t="s">
        <v>427</v>
      </c>
      <c r="AD1485" t="s">
        <v>420</v>
      </c>
      <c r="AE1485" t="s">
        <v>560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425</v>
      </c>
      <c r="E1486" t="s">
        <v>425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420</v>
      </c>
      <c r="AC1486" t="s">
        <v>423</v>
      </c>
      <c r="AD1486" t="s">
        <v>420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420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475</v>
      </c>
      <c r="AC1487" t="s">
        <v>420</v>
      </c>
      <c r="AD1487" t="s">
        <v>420</v>
      </c>
      <c r="AE1487" t="s">
        <v>560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420</v>
      </c>
      <c r="E1488" t="s">
        <v>420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475</v>
      </c>
      <c r="AC1488" t="s">
        <v>420</v>
      </c>
      <c r="AD1488" t="s">
        <v>475</v>
      </c>
      <c r="AE1488" t="s">
        <v>560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427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475</v>
      </c>
      <c r="AC1489" t="s">
        <v>427</v>
      </c>
      <c r="AD1489" t="s">
        <v>475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427</v>
      </c>
      <c r="E1490" t="s">
        <v>427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427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427</v>
      </c>
      <c r="AC1491" t="s">
        <v>136</v>
      </c>
      <c r="AD1491" t="s">
        <v>136</v>
      </c>
      <c r="AE1491" t="s">
        <v>560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549</v>
      </c>
      <c r="E1492" t="s">
        <v>549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427</v>
      </c>
      <c r="AC1492" t="s">
        <v>136</v>
      </c>
      <c r="AD1492" t="s">
        <v>427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427</v>
      </c>
      <c r="AC1493" t="s">
        <v>136</v>
      </c>
      <c r="AD1493" t="s">
        <v>427</v>
      </c>
      <c r="AE1493" t="s">
        <v>560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427</v>
      </c>
      <c r="AC1494" t="s">
        <v>573</v>
      </c>
      <c r="AD1494" t="s">
        <v>427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550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427</v>
      </c>
      <c r="AC1495" t="s">
        <v>573</v>
      </c>
      <c r="AD1495" t="s">
        <v>427</v>
      </c>
      <c r="AE1495" t="s">
        <v>560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420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427</v>
      </c>
      <c r="AC1496" t="s">
        <v>421</v>
      </c>
      <c r="AD1496" t="s">
        <v>427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427</v>
      </c>
      <c r="AC1497" t="s">
        <v>421</v>
      </c>
      <c r="AD1497" t="s">
        <v>427</v>
      </c>
      <c r="AE1497" t="s">
        <v>560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427</v>
      </c>
      <c r="AC1498" t="s">
        <v>572</v>
      </c>
      <c r="AD1498" t="s">
        <v>427</v>
      </c>
      <c r="AE1498" t="s">
        <v>560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421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427</v>
      </c>
      <c r="AC1499" t="s">
        <v>422</v>
      </c>
      <c r="AD1499" t="s">
        <v>427</v>
      </c>
      <c r="AE1499" t="s">
        <v>560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421</v>
      </c>
      <c r="E1500" t="s">
        <v>421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427</v>
      </c>
      <c r="AC1500" t="s">
        <v>425</v>
      </c>
      <c r="AD1500" t="s">
        <v>427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427</v>
      </c>
      <c r="AC1501" t="s">
        <v>425</v>
      </c>
      <c r="AD1501" t="s">
        <v>427</v>
      </c>
      <c r="AE1501" t="s">
        <v>560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550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427</v>
      </c>
      <c r="AC1502" t="s">
        <v>420</v>
      </c>
      <c r="AD1502" t="s">
        <v>427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550</v>
      </c>
      <c r="E1503" t="s">
        <v>550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427</v>
      </c>
      <c r="AC1503" t="s">
        <v>420</v>
      </c>
      <c r="AD1503" t="s">
        <v>427</v>
      </c>
      <c r="AE1503" t="s">
        <v>560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425</v>
      </c>
      <c r="E1504" t="s">
        <v>425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427</v>
      </c>
      <c r="AC1504" t="s">
        <v>560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420</v>
      </c>
      <c r="E1505" t="s">
        <v>419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427</v>
      </c>
      <c r="AC1505" t="s">
        <v>560</v>
      </c>
      <c r="AD1505" t="s">
        <v>136</v>
      </c>
      <c r="AE1505" t="s">
        <v>560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420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427</v>
      </c>
      <c r="AC1506" t="s">
        <v>560</v>
      </c>
      <c r="AD1506" t="s">
        <v>427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420</v>
      </c>
      <c r="E1507" t="s">
        <v>420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427</v>
      </c>
      <c r="AC1507" t="s">
        <v>560</v>
      </c>
      <c r="AD1507" t="s">
        <v>427</v>
      </c>
      <c r="AE1507" t="s">
        <v>560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420</v>
      </c>
      <c r="E1508" t="s">
        <v>475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427</v>
      </c>
      <c r="AC1508" t="s">
        <v>427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427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427</v>
      </c>
      <c r="AC1509" t="s">
        <v>427</v>
      </c>
      <c r="AD1509" t="s">
        <v>427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427</v>
      </c>
      <c r="E1510" t="s">
        <v>427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427</v>
      </c>
      <c r="AC1510" t="s">
        <v>427</v>
      </c>
      <c r="AD1510" t="s">
        <v>427</v>
      </c>
      <c r="AE1510" t="s">
        <v>560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560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560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573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573</v>
      </c>
      <c r="AD1516" t="s">
        <v>403</v>
      </c>
      <c r="AE1516" t="s">
        <v>560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573</v>
      </c>
      <c r="AD1517" t="s">
        <v>423</v>
      </c>
      <c r="AE1517" t="s">
        <v>560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427</v>
      </c>
      <c r="E1518" t="s">
        <v>427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421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421</v>
      </c>
      <c r="AD1519" t="s">
        <v>403</v>
      </c>
      <c r="AE1519" t="s">
        <v>560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572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572</v>
      </c>
      <c r="AD1521" t="s">
        <v>403</v>
      </c>
      <c r="AE1521" t="s">
        <v>560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422</v>
      </c>
      <c r="AD1522" t="s">
        <v>403</v>
      </c>
      <c r="AE1522" t="s">
        <v>560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425</v>
      </c>
      <c r="AD1523" t="s">
        <v>403</v>
      </c>
      <c r="AE1523" t="s">
        <v>560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420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420</v>
      </c>
      <c r="AD1525" t="s">
        <v>403</v>
      </c>
      <c r="AE1525" t="s">
        <v>560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420</v>
      </c>
      <c r="AD1526" t="s">
        <v>423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420</v>
      </c>
      <c r="AD1527" t="s">
        <v>423</v>
      </c>
      <c r="AE1527" t="s">
        <v>560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560</v>
      </c>
      <c r="AD1528" t="s">
        <v>403</v>
      </c>
      <c r="AE1528" t="s">
        <v>560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427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419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427</v>
      </c>
      <c r="AD1530" t="s">
        <v>403</v>
      </c>
      <c r="AE1530" t="s">
        <v>560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560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423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423</v>
      </c>
      <c r="AD1534" t="s">
        <v>403</v>
      </c>
      <c r="AE1534" t="s">
        <v>560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420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423</v>
      </c>
      <c r="AC1535" t="s">
        <v>136</v>
      </c>
      <c r="AD1535" t="s">
        <v>423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420</v>
      </c>
      <c r="E1536" t="s">
        <v>420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423</v>
      </c>
      <c r="AC1536" t="s">
        <v>573</v>
      </c>
      <c r="AD1536" t="s">
        <v>423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475</v>
      </c>
      <c r="E1537" t="s">
        <v>475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423</v>
      </c>
      <c r="AC1537" t="s">
        <v>572</v>
      </c>
      <c r="AD1537" t="s">
        <v>423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427</v>
      </c>
      <c r="E1538" t="s">
        <v>427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423</v>
      </c>
      <c r="AC1538" t="s">
        <v>572</v>
      </c>
      <c r="AD1538" t="s">
        <v>423</v>
      </c>
      <c r="AE1538" t="s">
        <v>560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423</v>
      </c>
      <c r="AC1539" t="s">
        <v>425</v>
      </c>
      <c r="AD1539" t="s">
        <v>423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419</v>
      </c>
      <c r="E1540" t="s">
        <v>419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423</v>
      </c>
      <c r="AC1540" t="s">
        <v>420</v>
      </c>
      <c r="AD1540" t="s">
        <v>423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423</v>
      </c>
      <c r="AC1541" t="s">
        <v>420</v>
      </c>
      <c r="AD1541" t="s">
        <v>423</v>
      </c>
      <c r="AE1541" t="s">
        <v>560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423</v>
      </c>
      <c r="AC1542" t="s">
        <v>560</v>
      </c>
      <c r="AD1542" t="s">
        <v>423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423</v>
      </c>
      <c r="AC1543" t="s">
        <v>560</v>
      </c>
      <c r="AD1543" t="s">
        <v>423</v>
      </c>
      <c r="AE1543" t="s">
        <v>560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419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423</v>
      </c>
      <c r="AC1544" t="s">
        <v>427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423</v>
      </c>
      <c r="AC1545" t="s">
        <v>423</v>
      </c>
      <c r="AD1545" t="s">
        <v>423</v>
      </c>
      <c r="AE1545" t="s">
        <v>560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560</v>
      </c>
      <c r="AE1546" t="s">
        <v>560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420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571</v>
      </c>
      <c r="AC1547" t="s">
        <v>571</v>
      </c>
      <c r="AD1547" t="s">
        <v>571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427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571</v>
      </c>
      <c r="AC1548" t="s">
        <v>136</v>
      </c>
      <c r="AD1548" t="s">
        <v>571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421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571</v>
      </c>
      <c r="AC1549" t="s">
        <v>420</v>
      </c>
      <c r="AD1549" t="s">
        <v>571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571</v>
      </c>
      <c r="AC1550" t="s">
        <v>420</v>
      </c>
      <c r="AD1550" t="s">
        <v>571</v>
      </c>
      <c r="AE1550" t="s">
        <v>560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571</v>
      </c>
      <c r="AC1551" t="s">
        <v>560</v>
      </c>
      <c r="AD1551" t="s">
        <v>571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427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419</v>
      </c>
      <c r="AC1552" t="s">
        <v>419</v>
      </c>
      <c r="AD1552" t="s">
        <v>419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420</v>
      </c>
      <c r="E1553" t="s">
        <v>420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419</v>
      </c>
      <c r="AC1553" t="s">
        <v>419</v>
      </c>
      <c r="AD1553" t="s">
        <v>419</v>
      </c>
      <c r="AE1553" t="s">
        <v>560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419</v>
      </c>
      <c r="AC1554" t="s">
        <v>136</v>
      </c>
      <c r="AD1554" t="s">
        <v>419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423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419</v>
      </c>
      <c r="AC1555" t="s">
        <v>136</v>
      </c>
      <c r="AD1555" t="s">
        <v>419</v>
      </c>
      <c r="AE1555" t="s">
        <v>560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423</v>
      </c>
      <c r="E1556" t="s">
        <v>423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419</v>
      </c>
      <c r="AC1556" t="s">
        <v>136</v>
      </c>
      <c r="AD1556" t="s">
        <v>136</v>
      </c>
      <c r="AE1556" t="s">
        <v>560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419</v>
      </c>
      <c r="E1557" t="s">
        <v>419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419</v>
      </c>
      <c r="AC1557" t="s">
        <v>573</v>
      </c>
      <c r="AD1557" t="s">
        <v>401</v>
      </c>
      <c r="AE1557" t="s">
        <v>560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419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419</v>
      </c>
      <c r="AC1558" t="s">
        <v>421</v>
      </c>
      <c r="AD1558" t="s">
        <v>419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419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419</v>
      </c>
      <c r="AC1559" t="s">
        <v>421</v>
      </c>
      <c r="AD1559" t="s">
        <v>419</v>
      </c>
      <c r="AE1559" t="s">
        <v>560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419</v>
      </c>
      <c r="AC1560" t="s">
        <v>421</v>
      </c>
      <c r="AD1560" t="s">
        <v>400</v>
      </c>
      <c r="AE1560" t="s">
        <v>560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419</v>
      </c>
      <c r="AC1561" t="s">
        <v>420</v>
      </c>
      <c r="AD1561" t="s">
        <v>419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419</v>
      </c>
      <c r="AC1562" t="s">
        <v>420</v>
      </c>
      <c r="AD1562" t="s">
        <v>419</v>
      </c>
      <c r="AE1562" t="s">
        <v>560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549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419</v>
      </c>
      <c r="AC1563" t="s">
        <v>420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419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419</v>
      </c>
      <c r="AC1564" t="s">
        <v>560</v>
      </c>
      <c r="AD1564" t="s">
        <v>419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419</v>
      </c>
      <c r="AC1565" t="s">
        <v>560</v>
      </c>
      <c r="AD1565" t="s">
        <v>419</v>
      </c>
      <c r="AE1565" t="s">
        <v>560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419</v>
      </c>
      <c r="AC1566" t="s">
        <v>427</v>
      </c>
      <c r="AD1566" t="s">
        <v>419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421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419</v>
      </c>
      <c r="AC1567" t="s">
        <v>427</v>
      </c>
      <c r="AD1567" t="s">
        <v>419</v>
      </c>
      <c r="AE1567" t="s">
        <v>560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425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420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560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421</v>
      </c>
      <c r="E1570" t="s">
        <v>421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560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560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550</v>
      </c>
      <c r="E1573" t="s">
        <v>550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560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422</v>
      </c>
      <c r="E1574" t="s">
        <v>422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425</v>
      </c>
      <c r="E1575" t="s">
        <v>425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573</v>
      </c>
      <c r="AD1575" t="s">
        <v>419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420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573</v>
      </c>
      <c r="AD1576" t="s">
        <v>400</v>
      </c>
      <c r="AE1576" t="s">
        <v>560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420</v>
      </c>
      <c r="E1577" t="s">
        <v>420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421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427</v>
      </c>
      <c r="E1578" t="s">
        <v>427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421</v>
      </c>
      <c r="AD1578" t="s">
        <v>400</v>
      </c>
      <c r="AE1578" t="s">
        <v>560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572</v>
      </c>
      <c r="AD1579" t="s">
        <v>419</v>
      </c>
      <c r="AE1579" t="s">
        <v>560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423</v>
      </c>
      <c r="E1580" t="s">
        <v>423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572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549</v>
      </c>
      <c r="E1581" t="s">
        <v>549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572</v>
      </c>
      <c r="AD1581" t="s">
        <v>400</v>
      </c>
      <c r="AE1581" t="s">
        <v>560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422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422</v>
      </c>
      <c r="AD1583" t="s">
        <v>400</v>
      </c>
      <c r="AE1583" t="s">
        <v>560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425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425</v>
      </c>
      <c r="AD1585" t="s">
        <v>400</v>
      </c>
      <c r="AE1585" t="s">
        <v>560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425</v>
      </c>
      <c r="AD1586" t="s">
        <v>136</v>
      </c>
      <c r="AE1586" t="s">
        <v>560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421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425</v>
      </c>
      <c r="AD1587" t="s">
        <v>425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420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420</v>
      </c>
      <c r="AD1588" t="s">
        <v>419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421</v>
      </c>
      <c r="E1589" t="s">
        <v>421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420</v>
      </c>
      <c r="AD1589" t="s">
        <v>419</v>
      </c>
      <c r="AE1589" t="s">
        <v>560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420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425</v>
      </c>
      <c r="E1591" t="s">
        <v>425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420</v>
      </c>
      <c r="AD1591" t="s">
        <v>400</v>
      </c>
      <c r="AE1591" t="s">
        <v>560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420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420</v>
      </c>
      <c r="AD1592" t="s">
        <v>136</v>
      </c>
      <c r="AE1592" t="s">
        <v>560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420</v>
      </c>
      <c r="E1593" t="s">
        <v>420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420</v>
      </c>
      <c r="AD1593" t="s">
        <v>401</v>
      </c>
      <c r="AE1593" t="s">
        <v>560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560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560</v>
      </c>
      <c r="AD1595" t="s">
        <v>400</v>
      </c>
      <c r="AE1595" t="s">
        <v>560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427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427</v>
      </c>
      <c r="AD1597" t="s">
        <v>400</v>
      </c>
      <c r="AE1597" t="s">
        <v>560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421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427</v>
      </c>
      <c r="AD1598" t="s">
        <v>136</v>
      </c>
      <c r="AE1598" t="s">
        <v>560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421</v>
      </c>
      <c r="E1599" t="s">
        <v>421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427</v>
      </c>
      <c r="AD1599" t="s">
        <v>401</v>
      </c>
      <c r="AE1599" t="s">
        <v>560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423</v>
      </c>
      <c r="AD1600" t="s">
        <v>400</v>
      </c>
      <c r="AE1600" t="s">
        <v>560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425</v>
      </c>
      <c r="E1601" t="s">
        <v>421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571</v>
      </c>
      <c r="AD1601" t="s">
        <v>136</v>
      </c>
      <c r="AE1601" t="s">
        <v>560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425</v>
      </c>
      <c r="E1602" t="s">
        <v>425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419</v>
      </c>
      <c r="AD1602" t="s">
        <v>136</v>
      </c>
      <c r="AE1602" t="s">
        <v>560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420</v>
      </c>
      <c r="E1603" t="s">
        <v>420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560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423</v>
      </c>
      <c r="E1605" t="s">
        <v>423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560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549</v>
      </c>
      <c r="E1606" t="s">
        <v>549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419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560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573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573</v>
      </c>
      <c r="AD1609" t="s">
        <v>136</v>
      </c>
      <c r="AE1609" t="s">
        <v>560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573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421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573</v>
      </c>
      <c r="AD1611" t="s">
        <v>401</v>
      </c>
      <c r="AE1611" t="s">
        <v>560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425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421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420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421</v>
      </c>
      <c r="AD1613" t="s">
        <v>136</v>
      </c>
      <c r="AE1613" t="s">
        <v>560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421</v>
      </c>
      <c r="AD1614" t="s">
        <v>421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425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560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421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560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421</v>
      </c>
      <c r="E1618" t="s">
        <v>421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572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572</v>
      </c>
      <c r="AD1619" t="s">
        <v>136</v>
      </c>
      <c r="AE1619" t="s">
        <v>560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550</v>
      </c>
      <c r="E1620" t="s">
        <v>550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572</v>
      </c>
      <c r="AD1620" t="s">
        <v>572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422</v>
      </c>
      <c r="E1621" t="s">
        <v>422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572</v>
      </c>
      <c r="AD1621" t="s">
        <v>572</v>
      </c>
      <c r="AE1621" t="s">
        <v>560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425</v>
      </c>
      <c r="E1622" t="s">
        <v>425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422</v>
      </c>
      <c r="AD1622" t="s">
        <v>136</v>
      </c>
      <c r="AE1622" t="s">
        <v>560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420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425</v>
      </c>
      <c r="AD1623" t="s">
        <v>136</v>
      </c>
      <c r="AE1623" t="s">
        <v>560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420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425</v>
      </c>
      <c r="AD1624" t="s">
        <v>425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420</v>
      </c>
      <c r="E1625" t="s">
        <v>420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420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420</v>
      </c>
      <c r="AD1626" t="s">
        <v>136</v>
      </c>
      <c r="AE1626" t="s">
        <v>560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420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420</v>
      </c>
      <c r="AD1628" t="s">
        <v>401</v>
      </c>
      <c r="AE1628" t="s">
        <v>560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420</v>
      </c>
      <c r="AD1629" t="s">
        <v>420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420</v>
      </c>
      <c r="AD1630" t="s">
        <v>420</v>
      </c>
      <c r="AE1630" t="s">
        <v>560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420</v>
      </c>
      <c r="AD1631" t="s">
        <v>427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560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421</v>
      </c>
      <c r="E1633" t="s">
        <v>421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560</v>
      </c>
      <c r="AD1633" t="s">
        <v>136</v>
      </c>
      <c r="AE1633" t="s">
        <v>560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560</v>
      </c>
      <c r="AD1634" t="s">
        <v>401</v>
      </c>
      <c r="AE1634" t="s">
        <v>560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419</v>
      </c>
      <c r="E1635" t="s">
        <v>419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560</v>
      </c>
      <c r="AD1635" t="s">
        <v>420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475</v>
      </c>
      <c r="AD1636" t="s">
        <v>136</v>
      </c>
      <c r="AE1636" t="s">
        <v>560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427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427</v>
      </c>
      <c r="AD1638" t="s">
        <v>136</v>
      </c>
      <c r="AE1638" t="s">
        <v>560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421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427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550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427</v>
      </c>
      <c r="AD1640" t="s">
        <v>427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427</v>
      </c>
      <c r="AD1641" t="s">
        <v>427</v>
      </c>
      <c r="AE1641" t="s">
        <v>560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423</v>
      </c>
      <c r="AD1642" t="s">
        <v>136</v>
      </c>
      <c r="AE1642" t="s">
        <v>560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419</v>
      </c>
      <c r="E1643" t="s">
        <v>419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423</v>
      </c>
      <c r="AD1643" t="s">
        <v>425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571</v>
      </c>
      <c r="AD1644" t="s">
        <v>571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571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571</v>
      </c>
      <c r="AD1646" t="s">
        <v>401</v>
      </c>
      <c r="AE1646" t="s">
        <v>560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419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571</v>
      </c>
      <c r="AD1647" t="s">
        <v>420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419</v>
      </c>
      <c r="AD1648" t="s">
        <v>419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419</v>
      </c>
      <c r="AD1649" t="s">
        <v>136</v>
      </c>
      <c r="AE1649" t="s">
        <v>560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421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419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419</v>
      </c>
      <c r="AD1651" t="s">
        <v>401</v>
      </c>
      <c r="AE1651" t="s">
        <v>560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420</v>
      </c>
      <c r="E1652" t="s">
        <v>420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419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427</v>
      </c>
      <c r="E1653" t="s">
        <v>427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560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560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419</v>
      </c>
      <c r="E1657" t="s">
        <v>419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560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560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420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420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573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573</v>
      </c>
      <c r="AD1662" t="s">
        <v>136</v>
      </c>
      <c r="AE1662" t="s">
        <v>560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573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421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573</v>
      </c>
      <c r="AD1664" t="s">
        <v>401</v>
      </c>
      <c r="AE1664" t="s">
        <v>560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420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573</v>
      </c>
      <c r="AD1665" t="s">
        <v>421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421</v>
      </c>
      <c r="E1666" t="s">
        <v>421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573</v>
      </c>
      <c r="AD1666" t="s">
        <v>420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425</v>
      </c>
      <c r="E1667" t="s">
        <v>425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573</v>
      </c>
      <c r="AD1667" t="s">
        <v>420</v>
      </c>
      <c r="AE1667" t="s">
        <v>560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420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421</v>
      </c>
      <c r="AD1668" t="s">
        <v>571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420</v>
      </c>
      <c r="E1669" t="s">
        <v>420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421</v>
      </c>
      <c r="AD1669" t="s">
        <v>419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421</v>
      </c>
      <c r="AD1670" t="s">
        <v>419</v>
      </c>
      <c r="AE1670" t="s">
        <v>560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419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421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421</v>
      </c>
      <c r="AD1672" t="s">
        <v>136</v>
      </c>
      <c r="AE1672" t="s">
        <v>560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421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421</v>
      </c>
      <c r="AD1674" t="s">
        <v>401</v>
      </c>
      <c r="AE1674" t="s">
        <v>560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421</v>
      </c>
      <c r="AD1675" t="s">
        <v>421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420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560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421</v>
      </c>
      <c r="E1678" t="s">
        <v>421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420</v>
      </c>
      <c r="E1679" t="s">
        <v>420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560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427</v>
      </c>
      <c r="E1680" t="s">
        <v>427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572</v>
      </c>
      <c r="AD1680" t="s">
        <v>419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572</v>
      </c>
      <c r="AD1681" t="s">
        <v>419</v>
      </c>
      <c r="AE1681" t="s">
        <v>560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572</v>
      </c>
      <c r="AD1682" t="s">
        <v>136</v>
      </c>
      <c r="AE1682" t="s">
        <v>560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572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420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572</v>
      </c>
      <c r="AD1684" t="s">
        <v>401</v>
      </c>
      <c r="AE1684" t="s">
        <v>560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572</v>
      </c>
      <c r="AD1685" t="s">
        <v>421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572</v>
      </c>
      <c r="AD1686" t="s">
        <v>572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421</v>
      </c>
      <c r="E1687" t="s">
        <v>421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422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425</v>
      </c>
      <c r="E1688" t="s">
        <v>425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422</v>
      </c>
      <c r="AD1688" t="s">
        <v>401</v>
      </c>
      <c r="AE1688" t="s">
        <v>560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420</v>
      </c>
      <c r="E1689" t="s">
        <v>420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422</v>
      </c>
      <c r="AD1689" t="s">
        <v>425</v>
      </c>
      <c r="AE1689" t="s">
        <v>560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427</v>
      </c>
      <c r="E1690" t="s">
        <v>427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422</v>
      </c>
      <c r="AD1690" t="s">
        <v>420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419</v>
      </c>
      <c r="E1691" t="s">
        <v>419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425</v>
      </c>
      <c r="AD1691" t="s">
        <v>136</v>
      </c>
      <c r="AE1691" t="s">
        <v>560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419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425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425</v>
      </c>
      <c r="AD1693" t="s">
        <v>401</v>
      </c>
      <c r="AE1693" t="s">
        <v>560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419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425</v>
      </c>
      <c r="AD1694" t="s">
        <v>425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425</v>
      </c>
      <c r="AD1695" t="s">
        <v>425</v>
      </c>
      <c r="AE1695" t="s">
        <v>560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420</v>
      </c>
      <c r="AD1696" t="s">
        <v>571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421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420</v>
      </c>
      <c r="AD1697" t="s">
        <v>419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422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420</v>
      </c>
      <c r="AD1698" t="s">
        <v>419</v>
      </c>
      <c r="AE1698" t="s">
        <v>560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425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420</v>
      </c>
      <c r="AD1699" t="s">
        <v>400</v>
      </c>
      <c r="AE1699" t="s">
        <v>560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420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420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419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420</v>
      </c>
      <c r="AD1701" t="s">
        <v>136</v>
      </c>
      <c r="AE1701" t="s">
        <v>560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420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420</v>
      </c>
      <c r="AD1703" t="s">
        <v>401</v>
      </c>
      <c r="AE1703" t="s">
        <v>560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421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420</v>
      </c>
      <c r="AD1704" t="s">
        <v>421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421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420</v>
      </c>
      <c r="AD1705" t="s">
        <v>421</v>
      </c>
      <c r="AE1705" t="s">
        <v>560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421</v>
      </c>
      <c r="E1706" t="s">
        <v>421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420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422</v>
      </c>
      <c r="E1707" t="s">
        <v>422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420</v>
      </c>
      <c r="AD1707" t="s">
        <v>420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425</v>
      </c>
      <c r="E1708" t="s">
        <v>425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420</v>
      </c>
      <c r="AD1708" t="s">
        <v>420</v>
      </c>
      <c r="AE1708" t="s">
        <v>560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420</v>
      </c>
      <c r="E1709" t="s">
        <v>419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560</v>
      </c>
      <c r="AD1709" t="s">
        <v>136</v>
      </c>
      <c r="AE1709" t="s">
        <v>560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420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560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420</v>
      </c>
      <c r="E1711" t="s">
        <v>420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560</v>
      </c>
      <c r="AD1711" t="s">
        <v>401</v>
      </c>
      <c r="AE1711" t="s">
        <v>560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427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560</v>
      </c>
      <c r="AD1712" t="s">
        <v>421</v>
      </c>
      <c r="AE1712" t="s">
        <v>560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427</v>
      </c>
      <c r="E1713" t="s">
        <v>427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560</v>
      </c>
      <c r="AD1713" t="s">
        <v>420</v>
      </c>
      <c r="AE1713" t="s">
        <v>560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560</v>
      </c>
      <c r="AD1714" t="s">
        <v>423</v>
      </c>
      <c r="AE1714" t="s">
        <v>560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475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475</v>
      </c>
      <c r="AD1716" t="s">
        <v>401</v>
      </c>
      <c r="AE1716" t="s">
        <v>560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420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427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427</v>
      </c>
      <c r="AD1718" t="s">
        <v>136</v>
      </c>
      <c r="AE1718" t="s">
        <v>560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427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427</v>
      </c>
      <c r="AD1720" t="s">
        <v>401</v>
      </c>
      <c r="AE1720" t="s">
        <v>560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427</v>
      </c>
      <c r="AD1721" t="s">
        <v>427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427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427</v>
      </c>
      <c r="AD1722" t="s">
        <v>427</v>
      </c>
      <c r="AE1722" t="s">
        <v>560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427</v>
      </c>
      <c r="E1723" t="s">
        <v>427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560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423</v>
      </c>
      <c r="AD1724" t="s">
        <v>136</v>
      </c>
      <c r="AE1724" t="s">
        <v>560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423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423</v>
      </c>
      <c r="AD1726" t="s">
        <v>401</v>
      </c>
      <c r="AE1726" t="s">
        <v>560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421</v>
      </c>
      <c r="AC1727" t="s">
        <v>419</v>
      </c>
      <c r="AD1727" t="s">
        <v>136</v>
      </c>
      <c r="AE1727" t="s">
        <v>560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427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421</v>
      </c>
      <c r="AC1728" t="s">
        <v>419</v>
      </c>
      <c r="AD1728" t="s">
        <v>421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421</v>
      </c>
      <c r="AC1729" t="s">
        <v>400</v>
      </c>
      <c r="AD1729" t="s">
        <v>421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419</v>
      </c>
      <c r="E1730" t="s">
        <v>419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421</v>
      </c>
      <c r="AC1730" t="s">
        <v>136</v>
      </c>
      <c r="AD1730" t="s">
        <v>136</v>
      </c>
      <c r="AE1730" t="s">
        <v>560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421</v>
      </c>
      <c r="AC1731" t="s">
        <v>136</v>
      </c>
      <c r="AD1731" t="s">
        <v>421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421</v>
      </c>
      <c r="AC1732" t="s">
        <v>136</v>
      </c>
      <c r="AD1732" t="s">
        <v>421</v>
      </c>
      <c r="AE1732" t="s">
        <v>560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421</v>
      </c>
      <c r="AC1733" t="s">
        <v>573</v>
      </c>
      <c r="AD1733" t="s">
        <v>421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421</v>
      </c>
      <c r="AC1734" t="s">
        <v>573</v>
      </c>
      <c r="AD1734" t="s">
        <v>421</v>
      </c>
      <c r="AE1734" t="s">
        <v>560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421</v>
      </c>
      <c r="AC1735" t="s">
        <v>421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421</v>
      </c>
      <c r="AC1736" t="s">
        <v>421</v>
      </c>
      <c r="AD1736" t="s">
        <v>136</v>
      </c>
      <c r="AE1736" t="s">
        <v>560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421</v>
      </c>
      <c r="AC1737" t="s">
        <v>421</v>
      </c>
      <c r="AD1737" t="s">
        <v>401</v>
      </c>
      <c r="AE1737" t="s">
        <v>560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419</v>
      </c>
      <c r="E1738" t="s">
        <v>419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421</v>
      </c>
      <c r="AC1738" t="s">
        <v>421</v>
      </c>
      <c r="AD1738" t="s">
        <v>421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421</v>
      </c>
      <c r="AC1739" t="s">
        <v>421</v>
      </c>
      <c r="AD1739" t="s">
        <v>421</v>
      </c>
      <c r="AE1739" t="s">
        <v>560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421</v>
      </c>
      <c r="AC1740" t="s">
        <v>402</v>
      </c>
      <c r="AD1740" t="s">
        <v>421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421</v>
      </c>
      <c r="AC1741" t="s">
        <v>422</v>
      </c>
      <c r="AD1741" t="s">
        <v>421</v>
      </c>
      <c r="AE1741" t="s">
        <v>560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421</v>
      </c>
      <c r="AC1742" t="s">
        <v>425</v>
      </c>
      <c r="AD1742" t="s">
        <v>421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421</v>
      </c>
      <c r="AC1743" t="s">
        <v>420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421</v>
      </c>
      <c r="AC1744" t="s">
        <v>420</v>
      </c>
      <c r="AD1744" t="s">
        <v>401</v>
      </c>
      <c r="AE1744" t="s">
        <v>560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421</v>
      </c>
      <c r="AC1745" t="s">
        <v>420</v>
      </c>
      <c r="AD1745" t="s">
        <v>421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421</v>
      </c>
      <c r="AC1746" t="s">
        <v>560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419</v>
      </c>
      <c r="E1747" t="s">
        <v>419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421</v>
      </c>
      <c r="AC1747" t="s">
        <v>560</v>
      </c>
      <c r="AD1747" t="s">
        <v>136</v>
      </c>
      <c r="AE1747" t="s">
        <v>560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419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421</v>
      </c>
      <c r="AC1748" t="s">
        <v>560</v>
      </c>
      <c r="AD1748" t="s">
        <v>421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421</v>
      </c>
      <c r="AC1749" t="s">
        <v>560</v>
      </c>
      <c r="AD1749" t="s">
        <v>421</v>
      </c>
      <c r="AE1749" t="s">
        <v>560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421</v>
      </c>
      <c r="AC1750" t="s">
        <v>427</v>
      </c>
      <c r="AD1750" t="s">
        <v>402</v>
      </c>
      <c r="AE1750" t="s">
        <v>560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571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571</v>
      </c>
      <c r="AD1752" t="s">
        <v>402</v>
      </c>
      <c r="AE1752" t="s">
        <v>560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420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419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560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421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573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573</v>
      </c>
      <c r="AD1757" t="s">
        <v>402</v>
      </c>
      <c r="AE1757" t="s">
        <v>560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420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421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421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421</v>
      </c>
      <c r="AD1759" t="s">
        <v>136</v>
      </c>
      <c r="AE1759" t="s">
        <v>560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421</v>
      </c>
      <c r="AD1760" t="s">
        <v>421</v>
      </c>
      <c r="AE1760" t="s">
        <v>560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421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421</v>
      </c>
      <c r="AD1762" t="s">
        <v>402</v>
      </c>
      <c r="AE1762" t="s">
        <v>560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560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550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420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420</v>
      </c>
      <c r="E1766" t="s">
        <v>420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560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427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572</v>
      </c>
      <c r="AE1767" t="s">
        <v>560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572</v>
      </c>
      <c r="AD1768" t="s">
        <v>136</v>
      </c>
      <c r="AE1768" t="s">
        <v>560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423</v>
      </c>
      <c r="E1769" t="s">
        <v>423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572</v>
      </c>
      <c r="AD1769" t="s">
        <v>401</v>
      </c>
      <c r="AE1769" t="s">
        <v>560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572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419</v>
      </c>
      <c r="E1771" t="s">
        <v>419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572</v>
      </c>
      <c r="AD1771" t="s">
        <v>402</v>
      </c>
      <c r="AE1771" t="s">
        <v>560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419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422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419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422</v>
      </c>
      <c r="AD1773" t="s">
        <v>402</v>
      </c>
      <c r="AE1773" t="s">
        <v>560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419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420</v>
      </c>
      <c r="AD1774" t="s">
        <v>400</v>
      </c>
      <c r="AE1774" t="s">
        <v>560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420</v>
      </c>
      <c r="AD1775" t="s">
        <v>136</v>
      </c>
      <c r="AE1775" t="s">
        <v>560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420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420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420</v>
      </c>
      <c r="AD1777" t="s">
        <v>402</v>
      </c>
      <c r="AE1777" t="s">
        <v>560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419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420</v>
      </c>
      <c r="AD1778" t="s">
        <v>420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560</v>
      </c>
      <c r="AD1779" t="s">
        <v>136</v>
      </c>
      <c r="AE1779" t="s">
        <v>560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560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421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560</v>
      </c>
      <c r="AD1781" t="s">
        <v>402</v>
      </c>
      <c r="AE1781" t="s">
        <v>560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427</v>
      </c>
      <c r="AD1782" t="s">
        <v>136</v>
      </c>
      <c r="AE1782" t="s">
        <v>560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420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427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421</v>
      </c>
      <c r="E1784" t="s">
        <v>421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427</v>
      </c>
      <c r="AD1784" t="s">
        <v>402</v>
      </c>
      <c r="AE1784" t="s">
        <v>560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423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423</v>
      </c>
      <c r="AD1786" t="s">
        <v>402</v>
      </c>
      <c r="AE1786" t="s">
        <v>560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572</v>
      </c>
      <c r="AC1787" t="s">
        <v>400</v>
      </c>
      <c r="AD1787" t="s">
        <v>572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420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572</v>
      </c>
      <c r="AC1788" t="s">
        <v>136</v>
      </c>
      <c r="AD1788" t="s">
        <v>136</v>
      </c>
      <c r="AE1788" t="s">
        <v>560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550</v>
      </c>
      <c r="E1789" t="s">
        <v>550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572</v>
      </c>
      <c r="AC1789" t="s">
        <v>136</v>
      </c>
      <c r="AD1789" t="s">
        <v>572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420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572</v>
      </c>
      <c r="AC1790" t="s">
        <v>136</v>
      </c>
      <c r="AD1790" t="s">
        <v>572</v>
      </c>
      <c r="AE1790" t="s">
        <v>560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420</v>
      </c>
      <c r="E1791" t="s">
        <v>420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572</v>
      </c>
      <c r="AC1791" t="s">
        <v>573</v>
      </c>
      <c r="AD1791" t="s">
        <v>572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427</v>
      </c>
      <c r="E1792" t="s">
        <v>427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572</v>
      </c>
      <c r="AC1792" t="s">
        <v>573</v>
      </c>
      <c r="AD1792" t="s">
        <v>572</v>
      </c>
      <c r="AE1792" t="s">
        <v>560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572</v>
      </c>
      <c r="AC1793" t="s">
        <v>572</v>
      </c>
      <c r="AD1793" t="s">
        <v>136</v>
      </c>
      <c r="AE1793" t="s">
        <v>560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423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572</v>
      </c>
      <c r="AC1794" t="s">
        <v>572</v>
      </c>
      <c r="AD1794" t="s">
        <v>572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423</v>
      </c>
      <c r="E1795" t="s">
        <v>423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572</v>
      </c>
      <c r="AC1795" t="s">
        <v>420</v>
      </c>
      <c r="AD1795" t="s">
        <v>572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549</v>
      </c>
      <c r="E1796" t="s">
        <v>549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572</v>
      </c>
      <c r="AC1796" t="s">
        <v>560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419</v>
      </c>
      <c r="E1797" t="s">
        <v>419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572</v>
      </c>
      <c r="AC1797" t="s">
        <v>560</v>
      </c>
      <c r="AD1797" t="s">
        <v>136</v>
      </c>
      <c r="AE1797" t="s">
        <v>560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419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572</v>
      </c>
      <c r="AC1798" t="s">
        <v>560</v>
      </c>
      <c r="AD1798" t="s">
        <v>572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422</v>
      </c>
      <c r="AC1799" t="s">
        <v>400</v>
      </c>
      <c r="AD1799" t="s">
        <v>422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422</v>
      </c>
      <c r="AC1800" t="s">
        <v>136</v>
      </c>
      <c r="AD1800" t="s">
        <v>422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422</v>
      </c>
      <c r="AC1801" t="s">
        <v>421</v>
      </c>
      <c r="AD1801" t="s">
        <v>422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420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422</v>
      </c>
      <c r="AC1802" t="s">
        <v>421</v>
      </c>
      <c r="AD1802" t="s">
        <v>422</v>
      </c>
      <c r="AE1802" t="s">
        <v>560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419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422</v>
      </c>
      <c r="AC1803" t="s">
        <v>422</v>
      </c>
      <c r="AD1803" t="s">
        <v>422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422</v>
      </c>
      <c r="AC1804" t="s">
        <v>422</v>
      </c>
      <c r="AD1804" t="s">
        <v>422</v>
      </c>
      <c r="AE1804" t="s">
        <v>560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422</v>
      </c>
      <c r="AC1805" t="s">
        <v>425</v>
      </c>
      <c r="AD1805" t="s">
        <v>422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421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425</v>
      </c>
      <c r="AC1806" t="s">
        <v>136</v>
      </c>
      <c r="AD1806" t="s">
        <v>136</v>
      </c>
      <c r="AE1806" t="s">
        <v>560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420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425</v>
      </c>
      <c r="AC1807" t="s">
        <v>136</v>
      </c>
      <c r="AD1807" t="s">
        <v>425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421</v>
      </c>
      <c r="E1808" t="s">
        <v>421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425</v>
      </c>
      <c r="AC1808" t="s">
        <v>136</v>
      </c>
      <c r="AD1808" t="s">
        <v>425</v>
      </c>
      <c r="AE1808" t="s">
        <v>560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425</v>
      </c>
      <c r="AC1809" t="s">
        <v>573</v>
      </c>
      <c r="AD1809" t="s">
        <v>425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550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425</v>
      </c>
      <c r="AC1810" t="s">
        <v>573</v>
      </c>
      <c r="AD1810" t="s">
        <v>425</v>
      </c>
      <c r="AE1810" t="s">
        <v>560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550</v>
      </c>
      <c r="E1811" t="s">
        <v>550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425</v>
      </c>
      <c r="AC1811" t="s">
        <v>421</v>
      </c>
      <c r="AD1811" t="s">
        <v>425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425</v>
      </c>
      <c r="E1812" t="s">
        <v>425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425</v>
      </c>
      <c r="AC1812" t="s">
        <v>425</v>
      </c>
      <c r="AD1812" t="s">
        <v>422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420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425</v>
      </c>
      <c r="AC1813" t="s">
        <v>425</v>
      </c>
      <c r="AD1813" t="s">
        <v>425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420</v>
      </c>
      <c r="E1814" t="s">
        <v>420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425</v>
      </c>
      <c r="AC1814" t="s">
        <v>425</v>
      </c>
      <c r="AD1814" t="s">
        <v>425</v>
      </c>
      <c r="AE1814" t="s">
        <v>560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427</v>
      </c>
      <c r="E1815" t="s">
        <v>427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425</v>
      </c>
      <c r="AC1815" t="s">
        <v>560</v>
      </c>
      <c r="AD1815" t="s">
        <v>425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425</v>
      </c>
      <c r="AC1816" t="s">
        <v>560</v>
      </c>
      <c r="AD1816" t="s">
        <v>425</v>
      </c>
      <c r="AE1816" t="s">
        <v>560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420</v>
      </c>
      <c r="AC1817" t="s">
        <v>571</v>
      </c>
      <c r="AD1817" t="s">
        <v>420</v>
      </c>
      <c r="AE1817" t="s">
        <v>560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420</v>
      </c>
      <c r="AC1818" t="s">
        <v>419</v>
      </c>
      <c r="AD1818" t="s">
        <v>420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420</v>
      </c>
      <c r="AC1819" t="s">
        <v>419</v>
      </c>
      <c r="AD1819" t="s">
        <v>420</v>
      </c>
      <c r="AE1819" t="s">
        <v>560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420</v>
      </c>
      <c r="AC1820" t="s">
        <v>400</v>
      </c>
      <c r="AD1820" t="s">
        <v>420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420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420</v>
      </c>
      <c r="AC1821" t="s">
        <v>400</v>
      </c>
      <c r="AD1821" t="s">
        <v>420</v>
      </c>
      <c r="AE1821" t="s">
        <v>560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420</v>
      </c>
      <c r="AC1822" t="s">
        <v>136</v>
      </c>
      <c r="AD1822" t="s">
        <v>419</v>
      </c>
      <c r="AE1822" t="s">
        <v>560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420</v>
      </c>
      <c r="AC1823" t="s">
        <v>136</v>
      </c>
      <c r="AD1823" t="s">
        <v>136</v>
      </c>
      <c r="AE1823" t="s">
        <v>560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421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420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421</v>
      </c>
      <c r="E1825" t="s">
        <v>421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420</v>
      </c>
      <c r="AC1825" t="s">
        <v>136</v>
      </c>
      <c r="AD1825" t="s">
        <v>401</v>
      </c>
      <c r="AE1825" t="s">
        <v>560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420</v>
      </c>
      <c r="AC1826" t="s">
        <v>136</v>
      </c>
      <c r="AD1826" t="s">
        <v>420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550</v>
      </c>
      <c r="E1827" t="s">
        <v>550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420</v>
      </c>
      <c r="AC1827" t="s">
        <v>136</v>
      </c>
      <c r="AD1827" t="s">
        <v>420</v>
      </c>
      <c r="AE1827" t="s">
        <v>560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420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420</v>
      </c>
      <c r="AC1828" t="s">
        <v>573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420</v>
      </c>
      <c r="E1829" t="s">
        <v>420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420</v>
      </c>
      <c r="AC1829" t="s">
        <v>573</v>
      </c>
      <c r="AD1829" t="s">
        <v>572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427</v>
      </c>
      <c r="E1830" t="s">
        <v>427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420</v>
      </c>
      <c r="AC1830" t="s">
        <v>573</v>
      </c>
      <c r="AD1830" t="s">
        <v>420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420</v>
      </c>
      <c r="AC1831" t="s">
        <v>573</v>
      </c>
      <c r="AD1831" t="s">
        <v>420</v>
      </c>
      <c r="AE1831" t="s">
        <v>560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420</v>
      </c>
      <c r="AC1832" t="s">
        <v>421</v>
      </c>
      <c r="AD1832" t="s">
        <v>420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419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420</v>
      </c>
      <c r="AC1833" t="s">
        <v>421</v>
      </c>
      <c r="AD1833" t="s">
        <v>420</v>
      </c>
      <c r="AE1833" t="s">
        <v>560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419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420</v>
      </c>
      <c r="AC1834" t="s">
        <v>402</v>
      </c>
      <c r="AD1834" t="s">
        <v>420</v>
      </c>
      <c r="AE1834" t="s">
        <v>560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420</v>
      </c>
      <c r="AC1835" t="s">
        <v>572</v>
      </c>
      <c r="AD1835" t="s">
        <v>420</v>
      </c>
      <c r="AE1835" t="s">
        <v>560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420</v>
      </c>
      <c r="AC1836" t="s">
        <v>425</v>
      </c>
      <c r="AD1836" t="s">
        <v>420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420</v>
      </c>
      <c r="AC1837" t="s">
        <v>425</v>
      </c>
      <c r="AD1837" t="s">
        <v>420</v>
      </c>
      <c r="AE1837" t="s">
        <v>560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421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420</v>
      </c>
      <c r="AC1838" t="s">
        <v>420</v>
      </c>
      <c r="AD1838" t="s">
        <v>419</v>
      </c>
      <c r="AE1838" t="s">
        <v>560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550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420</v>
      </c>
      <c r="AC1839" t="s">
        <v>420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420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420</v>
      </c>
      <c r="AC1840" t="s">
        <v>420</v>
      </c>
      <c r="AD1840" t="s">
        <v>136</v>
      </c>
      <c r="AE1840" t="s">
        <v>560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420</v>
      </c>
      <c r="AC1841" t="s">
        <v>420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420</v>
      </c>
      <c r="AC1842" t="s">
        <v>420</v>
      </c>
      <c r="AD1842" t="s">
        <v>401</v>
      </c>
      <c r="AE1842" t="s">
        <v>560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421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420</v>
      </c>
      <c r="AC1843" t="s">
        <v>420</v>
      </c>
      <c r="AD1843" t="s">
        <v>420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550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420</v>
      </c>
      <c r="AC1844" t="s">
        <v>420</v>
      </c>
      <c r="AD1844" t="s">
        <v>420</v>
      </c>
      <c r="AE1844" t="s">
        <v>560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420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420</v>
      </c>
      <c r="AC1845" t="s">
        <v>420</v>
      </c>
      <c r="AD1845" t="s">
        <v>475</v>
      </c>
      <c r="AE1845" t="s">
        <v>560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421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420</v>
      </c>
      <c r="AC1846" t="s">
        <v>560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421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420</v>
      </c>
      <c r="AC1847" t="s">
        <v>560</v>
      </c>
      <c r="AD1847" t="s">
        <v>136</v>
      </c>
      <c r="AE1847" t="s">
        <v>560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421</v>
      </c>
      <c r="E1848" t="s">
        <v>421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420</v>
      </c>
      <c r="AC1848" t="s">
        <v>560</v>
      </c>
      <c r="AD1848" t="s">
        <v>420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420</v>
      </c>
      <c r="AC1849" t="s">
        <v>560</v>
      </c>
      <c r="AD1849" t="s">
        <v>420</v>
      </c>
      <c r="AE1849" t="s">
        <v>560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550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420</v>
      </c>
      <c r="AC1850" t="s">
        <v>475</v>
      </c>
      <c r="AD1850" t="s">
        <v>420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550</v>
      </c>
      <c r="E1851" t="s">
        <v>550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420</v>
      </c>
      <c r="AC1851" t="s">
        <v>475</v>
      </c>
      <c r="AD1851" t="s">
        <v>475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550</v>
      </c>
      <c r="E1852" t="s">
        <v>420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420</v>
      </c>
      <c r="AC1852" t="s">
        <v>427</v>
      </c>
      <c r="AD1852" t="s">
        <v>420</v>
      </c>
      <c r="AE1852" t="s">
        <v>560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425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427</v>
      </c>
      <c r="AC1853" t="s">
        <v>400</v>
      </c>
      <c r="AD1853" t="s">
        <v>427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425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427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425</v>
      </c>
      <c r="E1855" t="s">
        <v>425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427</v>
      </c>
      <c r="AC1855" t="s">
        <v>136</v>
      </c>
      <c r="AD1855" t="s">
        <v>136</v>
      </c>
      <c r="AE1855" t="s">
        <v>560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420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427</v>
      </c>
      <c r="AC1856" t="s">
        <v>136</v>
      </c>
      <c r="AD1856" t="s">
        <v>427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420</v>
      </c>
      <c r="E1857" t="s">
        <v>420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427</v>
      </c>
      <c r="AC1857" t="s">
        <v>136</v>
      </c>
      <c r="AD1857" t="s">
        <v>427</v>
      </c>
      <c r="AE1857" t="s">
        <v>560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427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427</v>
      </c>
      <c r="AC1858" t="s">
        <v>573</v>
      </c>
      <c r="AD1858" t="s">
        <v>427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427</v>
      </c>
      <c r="E1859" t="s">
        <v>427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427</v>
      </c>
      <c r="AC1859" t="s">
        <v>573</v>
      </c>
      <c r="AD1859" t="s">
        <v>427</v>
      </c>
      <c r="AE1859" t="s">
        <v>560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427</v>
      </c>
      <c r="AC1860" t="s">
        <v>421</v>
      </c>
      <c r="AD1860" t="s">
        <v>427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427</v>
      </c>
      <c r="AC1861" t="s">
        <v>421</v>
      </c>
      <c r="AD1861" t="s">
        <v>427</v>
      </c>
      <c r="AE1861" t="s">
        <v>560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427</v>
      </c>
      <c r="AC1862" t="s">
        <v>425</v>
      </c>
      <c r="AD1862" t="s">
        <v>427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427</v>
      </c>
      <c r="AC1863" t="s">
        <v>420</v>
      </c>
      <c r="AD1863" t="s">
        <v>136</v>
      </c>
      <c r="AE1863" t="s">
        <v>560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427</v>
      </c>
      <c r="AC1864" t="s">
        <v>420</v>
      </c>
      <c r="AD1864" t="s">
        <v>401</v>
      </c>
      <c r="AE1864" t="s">
        <v>560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427</v>
      </c>
      <c r="AC1865" t="s">
        <v>420</v>
      </c>
      <c r="AD1865" t="s">
        <v>427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427</v>
      </c>
      <c r="E1866" t="s">
        <v>427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427</v>
      </c>
      <c r="AC1866" t="s">
        <v>560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427</v>
      </c>
      <c r="AC1867" t="s">
        <v>560</v>
      </c>
      <c r="AD1867" t="s">
        <v>136</v>
      </c>
      <c r="AE1867" t="s">
        <v>560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427</v>
      </c>
      <c r="AC1868" t="s">
        <v>560</v>
      </c>
      <c r="AD1868" t="s">
        <v>427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427</v>
      </c>
      <c r="AC1869" t="s">
        <v>427</v>
      </c>
      <c r="AD1869" t="s">
        <v>427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427</v>
      </c>
      <c r="AC1870" t="s">
        <v>427</v>
      </c>
      <c r="AD1870" t="s">
        <v>427</v>
      </c>
      <c r="AE1870" t="s">
        <v>560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560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573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573</v>
      </c>
      <c r="AD1874" t="s">
        <v>403</v>
      </c>
      <c r="AE1874" t="s">
        <v>560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421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421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421</v>
      </c>
      <c r="AD1876" t="s">
        <v>403</v>
      </c>
      <c r="AE1876" t="s">
        <v>560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420</v>
      </c>
      <c r="AD1877" t="s">
        <v>136</v>
      </c>
      <c r="AE1877" t="s">
        <v>560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420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420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420</v>
      </c>
      <c r="AD1879" t="s">
        <v>403</v>
      </c>
      <c r="AE1879" t="s">
        <v>560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419</v>
      </c>
      <c r="E1880" t="s">
        <v>419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420</v>
      </c>
      <c r="AD1880" t="s">
        <v>423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560</v>
      </c>
      <c r="AD1881" t="s">
        <v>136</v>
      </c>
      <c r="AE1881" t="s">
        <v>560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560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423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423</v>
      </c>
      <c r="AD1884" t="s">
        <v>403</v>
      </c>
      <c r="AE1884" t="s">
        <v>560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423</v>
      </c>
      <c r="AC1885" t="s">
        <v>572</v>
      </c>
      <c r="AD1885" t="s">
        <v>423</v>
      </c>
      <c r="AE1885" t="s">
        <v>560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422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423</v>
      </c>
      <c r="AC1886" t="s">
        <v>420</v>
      </c>
      <c r="AD1886" t="s">
        <v>423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423</v>
      </c>
      <c r="AC1887" t="s">
        <v>420</v>
      </c>
      <c r="AD1887" t="s">
        <v>423</v>
      </c>
      <c r="AE1887" t="s">
        <v>560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423</v>
      </c>
      <c r="AC1888" t="s">
        <v>560</v>
      </c>
      <c r="AD1888" t="s">
        <v>423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560</v>
      </c>
      <c r="AE1889" t="s">
        <v>560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420</v>
      </c>
      <c r="E1890" t="s">
        <v>420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571</v>
      </c>
      <c r="AC1890" t="s">
        <v>421</v>
      </c>
      <c r="AD1890" t="s">
        <v>571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571</v>
      </c>
      <c r="AC1891" t="s">
        <v>572</v>
      </c>
      <c r="AD1891" t="s">
        <v>571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423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571</v>
      </c>
      <c r="AC1892" t="s">
        <v>560</v>
      </c>
      <c r="AD1892" t="s">
        <v>571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423</v>
      </c>
      <c r="E1893" t="s">
        <v>423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419</v>
      </c>
      <c r="AC1893" t="s">
        <v>571</v>
      </c>
      <c r="AD1893" t="s">
        <v>419</v>
      </c>
      <c r="AE1893" t="s">
        <v>560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419</v>
      </c>
      <c r="AC1894" t="s">
        <v>571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419</v>
      </c>
      <c r="E1895" t="s">
        <v>419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419</v>
      </c>
      <c r="AC1895" t="s">
        <v>419</v>
      </c>
      <c r="AD1895" t="s">
        <v>419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419</v>
      </c>
      <c r="AC1896" t="s">
        <v>136</v>
      </c>
      <c r="AD1896" t="s">
        <v>419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419</v>
      </c>
      <c r="AC1897" t="s">
        <v>573</v>
      </c>
      <c r="AD1897" t="s">
        <v>419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419</v>
      </c>
      <c r="AC1898" t="s">
        <v>421</v>
      </c>
      <c r="AD1898" t="s">
        <v>419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419</v>
      </c>
      <c r="AC1899" t="s">
        <v>421</v>
      </c>
      <c r="AD1899" t="s">
        <v>419</v>
      </c>
      <c r="AE1899" t="s">
        <v>560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425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419</v>
      </c>
      <c r="AC1900" t="s">
        <v>572</v>
      </c>
      <c r="AD1900" t="s">
        <v>419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420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419</v>
      </c>
      <c r="AC1901" t="s">
        <v>572</v>
      </c>
      <c r="AD1901" t="s">
        <v>419</v>
      </c>
      <c r="AE1901" t="s">
        <v>560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421</v>
      </c>
      <c r="E1902" t="s">
        <v>421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419</v>
      </c>
      <c r="AC1902" t="s">
        <v>420</v>
      </c>
      <c r="AD1902" t="s">
        <v>419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419</v>
      </c>
      <c r="AC1903" t="s">
        <v>420</v>
      </c>
      <c r="AD1903" t="s">
        <v>419</v>
      </c>
      <c r="AE1903" t="s">
        <v>560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425</v>
      </c>
      <c r="E1904" t="s">
        <v>425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419</v>
      </c>
      <c r="AC1904" t="s">
        <v>420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420</v>
      </c>
      <c r="E1905" t="s">
        <v>420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419</v>
      </c>
      <c r="AC1905" t="s">
        <v>420</v>
      </c>
      <c r="AD1905" t="s">
        <v>401</v>
      </c>
      <c r="AE1905" t="s">
        <v>560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419</v>
      </c>
      <c r="AC1906" t="s">
        <v>560</v>
      </c>
      <c r="AD1906" t="s">
        <v>419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423</v>
      </c>
      <c r="E1907" t="s">
        <v>423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419</v>
      </c>
      <c r="AC1907" t="s">
        <v>560</v>
      </c>
      <c r="AD1907" t="s">
        <v>419</v>
      </c>
      <c r="AE1907" t="s">
        <v>560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419</v>
      </c>
      <c r="AC1908" t="s">
        <v>427</v>
      </c>
      <c r="AD1908" t="s">
        <v>419</v>
      </c>
      <c r="AE1908" t="s">
        <v>560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419</v>
      </c>
      <c r="E1909" t="s">
        <v>419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560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420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560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549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573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573</v>
      </c>
      <c r="AD1914" t="s">
        <v>400</v>
      </c>
      <c r="AE1914" t="s">
        <v>560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421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421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421</v>
      </c>
      <c r="AD1916" t="s">
        <v>400</v>
      </c>
      <c r="AE1916" t="s">
        <v>560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421</v>
      </c>
      <c r="E1917" t="s">
        <v>421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421</v>
      </c>
      <c r="AD1917" t="s">
        <v>136</v>
      </c>
      <c r="AE1917" t="s">
        <v>560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425</v>
      </c>
      <c r="E1918" t="s">
        <v>425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572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420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572</v>
      </c>
      <c r="AD1919" t="s">
        <v>400</v>
      </c>
      <c r="AE1919" t="s">
        <v>560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420</v>
      </c>
      <c r="E1920" t="s">
        <v>420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425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427</v>
      </c>
      <c r="E1921" t="s">
        <v>427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420</v>
      </c>
      <c r="AD1921" t="s">
        <v>419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420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420</v>
      </c>
      <c r="AD1923" t="s">
        <v>400</v>
      </c>
      <c r="AE1923" t="s">
        <v>560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420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420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560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560</v>
      </c>
      <c r="AD1926" t="s">
        <v>400</v>
      </c>
      <c r="AE1926" t="s">
        <v>560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560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421</v>
      </c>
      <c r="E1928" t="s">
        <v>421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427</v>
      </c>
      <c r="AD1928" t="s">
        <v>400</v>
      </c>
      <c r="AE1928" t="s">
        <v>560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422</v>
      </c>
      <c r="E1929" t="s">
        <v>422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419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425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419</v>
      </c>
      <c r="AD1930" t="s">
        <v>136</v>
      </c>
      <c r="AE1930" t="s">
        <v>560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425</v>
      </c>
      <c r="E1931" t="s">
        <v>425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420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560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420</v>
      </c>
      <c r="E1933" t="s">
        <v>420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427</v>
      </c>
      <c r="E1934" t="s">
        <v>427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560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423</v>
      </c>
      <c r="E1935" t="s">
        <v>423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419</v>
      </c>
      <c r="E1936" t="s">
        <v>419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420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420</v>
      </c>
      <c r="AE1937" t="s">
        <v>560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573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420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573</v>
      </c>
      <c r="AD1939" t="s">
        <v>136</v>
      </c>
      <c r="AE1939" t="s">
        <v>560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573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421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421</v>
      </c>
      <c r="E1942" t="s">
        <v>421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421</v>
      </c>
      <c r="AD1942" t="s">
        <v>136</v>
      </c>
      <c r="AE1942" t="s">
        <v>560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550</v>
      </c>
      <c r="E1943" t="s">
        <v>550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421</v>
      </c>
      <c r="AD1943" t="s">
        <v>421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422</v>
      </c>
      <c r="E1944" t="s">
        <v>422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560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425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572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425</v>
      </c>
      <c r="E1946" t="s">
        <v>425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572</v>
      </c>
      <c r="AD1946" t="s">
        <v>136</v>
      </c>
      <c r="AE1946" t="s">
        <v>560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420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572</v>
      </c>
      <c r="AD1947" t="s">
        <v>572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420</v>
      </c>
      <c r="E1948" t="s">
        <v>420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422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427</v>
      </c>
      <c r="E1949" t="s">
        <v>427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422</v>
      </c>
      <c r="AD1949" t="s">
        <v>136</v>
      </c>
      <c r="AE1949" t="s">
        <v>560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425</v>
      </c>
      <c r="AD1950" t="s">
        <v>136</v>
      </c>
      <c r="AE1950" t="s">
        <v>560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425</v>
      </c>
      <c r="AD1951" t="s">
        <v>425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425</v>
      </c>
      <c r="AD1952" t="s">
        <v>425</v>
      </c>
      <c r="AE1952" t="s">
        <v>560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420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420</v>
      </c>
      <c r="AD1954" t="s">
        <v>136</v>
      </c>
      <c r="AE1954" t="s">
        <v>560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420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420</v>
      </c>
      <c r="AD1956" t="s">
        <v>401</v>
      </c>
      <c r="AE1956" t="s">
        <v>560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420</v>
      </c>
      <c r="AD1957" t="s">
        <v>420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423</v>
      </c>
      <c r="E1958" t="s">
        <v>423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420</v>
      </c>
      <c r="AD1958" t="s">
        <v>420</v>
      </c>
      <c r="AE1958" t="s">
        <v>560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560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560</v>
      </c>
      <c r="AD1960" t="s">
        <v>136</v>
      </c>
      <c r="AE1960" t="s">
        <v>560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427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427</v>
      </c>
      <c r="AD1962" t="s">
        <v>136</v>
      </c>
      <c r="AE1962" t="s">
        <v>560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427</v>
      </c>
      <c r="AD1963" t="s">
        <v>427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571</v>
      </c>
      <c r="AD1964" t="s">
        <v>571</v>
      </c>
      <c r="AE1964" t="s">
        <v>560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419</v>
      </c>
      <c r="E1965" t="s">
        <v>419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571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571</v>
      </c>
      <c r="AD1966" t="s">
        <v>401</v>
      </c>
      <c r="AE1966" t="s">
        <v>560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419</v>
      </c>
      <c r="AD1967" t="s">
        <v>136</v>
      </c>
      <c r="AE1967" t="s">
        <v>560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419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419</v>
      </c>
      <c r="AD1969" t="s">
        <v>401</v>
      </c>
      <c r="AE1969" t="s">
        <v>560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427</v>
      </c>
      <c r="E1970" t="s">
        <v>427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560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560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560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425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420</v>
      </c>
      <c r="AE1978" t="s">
        <v>560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573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419</v>
      </c>
      <c r="E1980" t="s">
        <v>419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573</v>
      </c>
      <c r="AD1980" t="s">
        <v>136</v>
      </c>
      <c r="AE1980" t="s">
        <v>560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573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573</v>
      </c>
      <c r="AD1982" t="s">
        <v>401</v>
      </c>
      <c r="AE1982" t="s">
        <v>560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419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573</v>
      </c>
      <c r="AD1983" t="s">
        <v>421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573</v>
      </c>
      <c r="AD1984" t="s">
        <v>420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421</v>
      </c>
      <c r="AD1985" t="s">
        <v>136</v>
      </c>
      <c r="AE1985" t="s">
        <v>560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421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421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421</v>
      </c>
      <c r="AD1987" t="s">
        <v>401</v>
      </c>
      <c r="AE1987" t="s">
        <v>560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421</v>
      </c>
      <c r="AD1988" t="s">
        <v>421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550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421</v>
      </c>
      <c r="AD1989" t="s">
        <v>421</v>
      </c>
      <c r="AE1989" t="s">
        <v>560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421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423</v>
      </c>
      <c r="E1991" t="s">
        <v>423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421</v>
      </c>
      <c r="AD1991" t="s">
        <v>402</v>
      </c>
      <c r="AE1991" t="s">
        <v>560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419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560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572</v>
      </c>
      <c r="AD1995" t="s">
        <v>136</v>
      </c>
      <c r="AE1995" t="s">
        <v>560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419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572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572</v>
      </c>
      <c r="AD1997" t="s">
        <v>401</v>
      </c>
      <c r="AE1997" t="s">
        <v>560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572</v>
      </c>
      <c r="AD1998" t="s">
        <v>572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422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421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422</v>
      </c>
      <c r="AD2000" t="s">
        <v>401</v>
      </c>
      <c r="AE2000" t="s">
        <v>560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425</v>
      </c>
      <c r="AD2001" t="s">
        <v>136</v>
      </c>
      <c r="AE2001" t="s">
        <v>560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425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420</v>
      </c>
      <c r="E2003" t="s">
        <v>420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425</v>
      </c>
      <c r="AD2003" t="s">
        <v>401</v>
      </c>
      <c r="AE2003" t="s">
        <v>560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427</v>
      </c>
      <c r="E2004" t="s">
        <v>427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425</v>
      </c>
      <c r="AD2004" t="s">
        <v>425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425</v>
      </c>
      <c r="AD2005" t="s">
        <v>425</v>
      </c>
      <c r="AE2005" t="s">
        <v>560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423</v>
      </c>
      <c r="E2006" t="s">
        <v>423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420</v>
      </c>
      <c r="AD2006" t="s">
        <v>571</v>
      </c>
      <c r="AE2006" t="s">
        <v>560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420</v>
      </c>
      <c r="AD2007" t="s">
        <v>419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420</v>
      </c>
      <c r="AD2008" t="s">
        <v>419</v>
      </c>
      <c r="AE2008" t="s">
        <v>560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420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420</v>
      </c>
      <c r="AD2010" t="s">
        <v>136</v>
      </c>
      <c r="AE2010" t="s">
        <v>560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421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420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421</v>
      </c>
      <c r="E2012" t="s">
        <v>421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420</v>
      </c>
      <c r="AD2012" t="s">
        <v>401</v>
      </c>
      <c r="AE2012" t="s">
        <v>560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420</v>
      </c>
      <c r="AD2013" t="s">
        <v>421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550</v>
      </c>
      <c r="E2014" t="s">
        <v>550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420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420</v>
      </c>
      <c r="E2015" t="s">
        <v>420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420</v>
      </c>
      <c r="AD2015" t="s">
        <v>402</v>
      </c>
      <c r="AE2015" t="s">
        <v>560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420</v>
      </c>
      <c r="AD2016" t="s">
        <v>572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423</v>
      </c>
      <c r="E2017" t="s">
        <v>423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420</v>
      </c>
      <c r="AD2017" t="s">
        <v>572</v>
      </c>
      <c r="AE2017" t="s">
        <v>560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420</v>
      </c>
      <c r="AD2018" t="s">
        <v>420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420</v>
      </c>
      <c r="AD2019" t="s">
        <v>420</v>
      </c>
      <c r="AE2019" t="s">
        <v>560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425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560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560</v>
      </c>
      <c r="AD2021" t="s">
        <v>136</v>
      </c>
      <c r="AE2021" t="s">
        <v>560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421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560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550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560</v>
      </c>
      <c r="AD2023" t="s">
        <v>401</v>
      </c>
      <c r="AE2023" t="s">
        <v>560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421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560</v>
      </c>
      <c r="AD2024" t="s">
        <v>420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421</v>
      </c>
      <c r="E2025" t="s">
        <v>421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475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475</v>
      </c>
      <c r="AD2026" t="s">
        <v>401</v>
      </c>
      <c r="AE2026" t="s">
        <v>560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550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427</v>
      </c>
      <c r="AD2027" t="s">
        <v>136</v>
      </c>
      <c r="AE2027" t="s">
        <v>560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550</v>
      </c>
      <c r="E2028" t="s">
        <v>550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427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420</v>
      </c>
      <c r="E2029" t="s">
        <v>420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427</v>
      </c>
      <c r="AD2029" t="s">
        <v>401</v>
      </c>
      <c r="AE2029" t="s">
        <v>560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423</v>
      </c>
      <c r="E2030" t="s">
        <v>423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423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423</v>
      </c>
      <c r="AD2032" t="s">
        <v>401</v>
      </c>
      <c r="AE2032" t="s">
        <v>560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421</v>
      </c>
      <c r="AC2033" t="s">
        <v>136</v>
      </c>
      <c r="AD2033" t="s">
        <v>136</v>
      </c>
      <c r="AE2033" t="s">
        <v>560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421</v>
      </c>
      <c r="AC2034" t="s">
        <v>136</v>
      </c>
      <c r="AD2034" t="s">
        <v>401</v>
      </c>
      <c r="AE2034" t="s">
        <v>560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550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421</v>
      </c>
      <c r="AC2035" t="s">
        <v>136</v>
      </c>
      <c r="AD2035" t="s">
        <v>421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420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421</v>
      </c>
      <c r="AC2036" t="s">
        <v>136</v>
      </c>
      <c r="AD2036" t="s">
        <v>421</v>
      </c>
      <c r="AE2036" t="s">
        <v>560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421</v>
      </c>
      <c r="AC2037" t="s">
        <v>573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421</v>
      </c>
      <c r="AC2038" t="s">
        <v>573</v>
      </c>
      <c r="AD2038" t="s">
        <v>421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421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421</v>
      </c>
      <c r="AC2039" t="s">
        <v>573</v>
      </c>
      <c r="AD2039" t="s">
        <v>421</v>
      </c>
      <c r="AE2039" t="s">
        <v>560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421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421</v>
      </c>
      <c r="AC2040" t="s">
        <v>421</v>
      </c>
      <c r="AD2040" t="s">
        <v>136</v>
      </c>
      <c r="AE2040" t="s">
        <v>560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421</v>
      </c>
      <c r="E2041" t="s">
        <v>421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421</v>
      </c>
      <c r="AC2041" t="s">
        <v>421</v>
      </c>
      <c r="AD2041" t="s">
        <v>421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421</v>
      </c>
      <c r="AC2042" t="s">
        <v>421</v>
      </c>
      <c r="AD2042" t="s">
        <v>421</v>
      </c>
      <c r="AE2042" t="s">
        <v>560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421</v>
      </c>
      <c r="AC2043" t="s">
        <v>425</v>
      </c>
      <c r="AD2043" t="s">
        <v>421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550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421</v>
      </c>
      <c r="AC2044" t="s">
        <v>420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550</v>
      </c>
      <c r="E2045" t="s">
        <v>550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421</v>
      </c>
      <c r="AC2045" t="s">
        <v>420</v>
      </c>
      <c r="AD2045" t="s">
        <v>421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420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421</v>
      </c>
      <c r="AC2046" t="s">
        <v>560</v>
      </c>
      <c r="AD2046" t="s">
        <v>136</v>
      </c>
      <c r="AE2046" t="s">
        <v>560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420</v>
      </c>
      <c r="E2047" t="s">
        <v>420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421</v>
      </c>
      <c r="AC2047" t="s">
        <v>560</v>
      </c>
      <c r="AD2047" t="s">
        <v>421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420</v>
      </c>
      <c r="E2048" t="s">
        <v>475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421</v>
      </c>
      <c r="AC2048" t="s">
        <v>560</v>
      </c>
      <c r="AD2048" t="s">
        <v>421</v>
      </c>
      <c r="AE2048" t="s">
        <v>560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421</v>
      </c>
      <c r="AC2049" t="s">
        <v>475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419</v>
      </c>
      <c r="E2050" t="s">
        <v>419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419</v>
      </c>
      <c r="AD2050" t="s">
        <v>402</v>
      </c>
      <c r="AE2050" t="s">
        <v>560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560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560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573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573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573</v>
      </c>
      <c r="AD2056" t="s">
        <v>402</v>
      </c>
      <c r="AE2056" t="s">
        <v>560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427</v>
      </c>
      <c r="E2057" t="s">
        <v>427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421</v>
      </c>
      <c r="AD2057" t="s">
        <v>136</v>
      </c>
      <c r="AE2057" t="s">
        <v>560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421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421</v>
      </c>
      <c r="AD2059" t="s">
        <v>402</v>
      </c>
      <c r="AE2059" t="s">
        <v>560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560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560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424</v>
      </c>
      <c r="E2062" t="s">
        <v>424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560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572</v>
      </c>
      <c r="AD2064" t="s">
        <v>136</v>
      </c>
      <c r="AE2064" t="s">
        <v>560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420</v>
      </c>
      <c r="E2065" t="s">
        <v>420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572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572</v>
      </c>
      <c r="AD2066" t="s">
        <v>402</v>
      </c>
      <c r="AE2066" t="s">
        <v>560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419</v>
      </c>
      <c r="E2067" t="s">
        <v>419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422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425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420</v>
      </c>
      <c r="AD2069" t="s">
        <v>136</v>
      </c>
      <c r="AE2069" t="s">
        <v>560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420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420</v>
      </c>
      <c r="AD2071" t="s">
        <v>402</v>
      </c>
      <c r="AE2071" t="s">
        <v>560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560</v>
      </c>
      <c r="AD2072" t="s">
        <v>136</v>
      </c>
      <c r="AE2072" t="s">
        <v>560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560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420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560</v>
      </c>
      <c r="AD2074" t="s">
        <v>402</v>
      </c>
      <c r="AE2074" t="s">
        <v>560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420</v>
      </c>
      <c r="E2075" t="s">
        <v>420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427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427</v>
      </c>
      <c r="AD2076" t="s">
        <v>402</v>
      </c>
      <c r="AE2076" t="s">
        <v>560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572</v>
      </c>
      <c r="AC2077" t="s">
        <v>136</v>
      </c>
      <c r="AD2077" t="s">
        <v>136</v>
      </c>
      <c r="AE2077" t="s">
        <v>560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572</v>
      </c>
      <c r="AC2078" t="s">
        <v>136</v>
      </c>
      <c r="AD2078" t="s">
        <v>572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477</v>
      </c>
      <c r="E2079" t="s">
        <v>477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572</v>
      </c>
      <c r="AC2079" t="s">
        <v>136</v>
      </c>
      <c r="AD2079" t="s">
        <v>572</v>
      </c>
      <c r="AE2079" t="s">
        <v>560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572</v>
      </c>
      <c r="AC2080" t="s">
        <v>573</v>
      </c>
      <c r="AD2080" t="s">
        <v>572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572</v>
      </c>
      <c r="AC2081" t="s">
        <v>421</v>
      </c>
      <c r="AD2081" t="s">
        <v>572</v>
      </c>
      <c r="AE2081" t="s">
        <v>560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572</v>
      </c>
      <c r="AC2082" t="s">
        <v>402</v>
      </c>
      <c r="AD2082" t="s">
        <v>572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425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572</v>
      </c>
      <c r="AC2083" t="s">
        <v>572</v>
      </c>
      <c r="AD2083" t="s">
        <v>136</v>
      </c>
      <c r="AE2083" t="s">
        <v>560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427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572</v>
      </c>
      <c r="AC2084" t="s">
        <v>572</v>
      </c>
      <c r="AD2084" t="s">
        <v>572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572</v>
      </c>
      <c r="AC2085" t="s">
        <v>572</v>
      </c>
      <c r="AD2085" t="s">
        <v>572</v>
      </c>
      <c r="AE2085" t="s">
        <v>560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420</v>
      </c>
      <c r="E2086" t="s">
        <v>420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572</v>
      </c>
      <c r="AC2086" t="s">
        <v>560</v>
      </c>
      <c r="AD2086" t="s">
        <v>572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427</v>
      </c>
      <c r="E2087" t="s">
        <v>427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572</v>
      </c>
      <c r="AC2087" t="s">
        <v>560</v>
      </c>
      <c r="AD2087" t="s">
        <v>572</v>
      </c>
      <c r="AE2087" t="s">
        <v>560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422</v>
      </c>
      <c r="AC2088" t="s">
        <v>136</v>
      </c>
      <c r="AD2088" t="s">
        <v>422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422</v>
      </c>
      <c r="AC2089" t="s">
        <v>136</v>
      </c>
      <c r="AD2089" t="s">
        <v>422</v>
      </c>
      <c r="AE2089" t="s">
        <v>560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419</v>
      </c>
      <c r="E2090" t="s">
        <v>419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422</v>
      </c>
      <c r="AC2090" t="s">
        <v>573</v>
      </c>
      <c r="AD2090" t="s">
        <v>422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422</v>
      </c>
      <c r="AC2091" t="s">
        <v>422</v>
      </c>
      <c r="AD2091" t="s">
        <v>136</v>
      </c>
      <c r="AE2091" t="s">
        <v>560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422</v>
      </c>
      <c r="AC2092" t="s">
        <v>422</v>
      </c>
      <c r="AD2092" t="s">
        <v>422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422</v>
      </c>
      <c r="AC2093" t="s">
        <v>422</v>
      </c>
      <c r="AD2093" t="s">
        <v>422</v>
      </c>
      <c r="AE2093" t="s">
        <v>560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422</v>
      </c>
      <c r="AC2094" t="s">
        <v>560</v>
      </c>
      <c r="AD2094" t="s">
        <v>422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422</v>
      </c>
      <c r="AC2095" t="s">
        <v>560</v>
      </c>
      <c r="AD2095" t="s">
        <v>422</v>
      </c>
      <c r="AE2095" t="s">
        <v>560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420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425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549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425</v>
      </c>
      <c r="AC2097" t="s">
        <v>136</v>
      </c>
      <c r="AD2097" t="s">
        <v>425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419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425</v>
      </c>
      <c r="AC2098" t="s">
        <v>136</v>
      </c>
      <c r="AD2098" t="s">
        <v>425</v>
      </c>
      <c r="AE2098" t="s">
        <v>560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425</v>
      </c>
      <c r="AC2099" t="s">
        <v>573</v>
      </c>
      <c r="AD2099" t="s">
        <v>425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425</v>
      </c>
      <c r="AC2100" t="s">
        <v>421</v>
      </c>
      <c r="AD2100" t="s">
        <v>421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421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425</v>
      </c>
      <c r="AC2101" t="s">
        <v>425</v>
      </c>
      <c r="AD2101" t="s">
        <v>136</v>
      </c>
      <c r="AE2101" t="s">
        <v>560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425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425</v>
      </c>
      <c r="AC2102" t="s">
        <v>425</v>
      </c>
      <c r="AD2102" t="s">
        <v>425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420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425</v>
      </c>
      <c r="AC2103" t="s">
        <v>425</v>
      </c>
      <c r="AD2103" t="s">
        <v>425</v>
      </c>
      <c r="AE2103" t="s">
        <v>560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421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425</v>
      </c>
      <c r="AC2104" t="s">
        <v>420</v>
      </c>
      <c r="AD2104" t="s">
        <v>425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425</v>
      </c>
      <c r="AC2105" t="s">
        <v>420</v>
      </c>
      <c r="AD2105" t="s">
        <v>425</v>
      </c>
      <c r="AE2105" t="s">
        <v>560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425</v>
      </c>
      <c r="AC2106" t="s">
        <v>560</v>
      </c>
      <c r="AD2106" t="s">
        <v>136</v>
      </c>
      <c r="AE2106" t="s">
        <v>560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425</v>
      </c>
      <c r="E2107" t="s">
        <v>425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425</v>
      </c>
      <c r="AC2107" t="s">
        <v>560</v>
      </c>
      <c r="AD2107" t="s">
        <v>425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420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425</v>
      </c>
      <c r="AC2108" t="s">
        <v>560</v>
      </c>
      <c r="AD2108" t="s">
        <v>425</v>
      </c>
      <c r="AE2108" t="s">
        <v>560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420</v>
      </c>
      <c r="E2109" t="s">
        <v>420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425</v>
      </c>
      <c r="AC2109" t="s">
        <v>427</v>
      </c>
      <c r="AD2109" t="s">
        <v>425</v>
      </c>
      <c r="AE2109" t="s">
        <v>560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427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420</v>
      </c>
      <c r="AC2110" t="s">
        <v>419</v>
      </c>
      <c r="AD2110" t="s">
        <v>420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427</v>
      </c>
      <c r="E2111" t="s">
        <v>427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420</v>
      </c>
      <c r="AC2111" t="s">
        <v>400</v>
      </c>
      <c r="AD2111" t="s">
        <v>420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420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423</v>
      </c>
      <c r="E2113" t="s">
        <v>423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420</v>
      </c>
      <c r="AC2113" t="s">
        <v>136</v>
      </c>
      <c r="AD2113" t="s">
        <v>136</v>
      </c>
      <c r="AE2113" t="s">
        <v>560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420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419</v>
      </c>
      <c r="E2115" t="s">
        <v>419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420</v>
      </c>
      <c r="AC2115" t="s">
        <v>136</v>
      </c>
      <c r="AD2115" t="s">
        <v>401</v>
      </c>
      <c r="AE2115" t="s">
        <v>560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420</v>
      </c>
      <c r="AC2116" t="s">
        <v>136</v>
      </c>
      <c r="AD2116" t="s">
        <v>420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420</v>
      </c>
      <c r="AC2117" t="s">
        <v>136</v>
      </c>
      <c r="AD2117" t="s">
        <v>420</v>
      </c>
      <c r="AE2117" t="s">
        <v>560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420</v>
      </c>
      <c r="AC2118" t="s">
        <v>573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420</v>
      </c>
      <c r="AC2119" t="s">
        <v>573</v>
      </c>
      <c r="AD2119" t="s">
        <v>420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420</v>
      </c>
      <c r="AC2120" t="s">
        <v>573</v>
      </c>
      <c r="AD2120" t="s">
        <v>420</v>
      </c>
      <c r="AE2120" t="s">
        <v>560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419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420</v>
      </c>
      <c r="AC2121" t="s">
        <v>421</v>
      </c>
      <c r="AD2121" t="s">
        <v>420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420</v>
      </c>
      <c r="AC2122" t="s">
        <v>421</v>
      </c>
      <c r="AD2122" t="s">
        <v>420</v>
      </c>
      <c r="AE2122" t="s">
        <v>560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420</v>
      </c>
      <c r="AC2123" t="s">
        <v>572</v>
      </c>
      <c r="AD2123" t="s">
        <v>420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421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420</v>
      </c>
      <c r="AC2124" t="s">
        <v>422</v>
      </c>
      <c r="AD2124" t="s">
        <v>420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422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420</v>
      </c>
      <c r="AC2125" t="s">
        <v>425</v>
      </c>
      <c r="AD2125" t="s">
        <v>420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425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420</v>
      </c>
      <c r="AC2126" t="s">
        <v>420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420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420</v>
      </c>
      <c r="AC2127" t="s">
        <v>420</v>
      </c>
      <c r="AD2127" t="s">
        <v>136</v>
      </c>
      <c r="AE2127" t="s">
        <v>560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427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420</v>
      </c>
      <c r="AC2128" t="s">
        <v>420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421</v>
      </c>
      <c r="E2129" t="s">
        <v>549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420</v>
      </c>
      <c r="AC2129" t="s">
        <v>420</v>
      </c>
      <c r="AD2129" t="s">
        <v>420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421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420</v>
      </c>
      <c r="AC2130" t="s">
        <v>420</v>
      </c>
      <c r="AD2130" t="s">
        <v>420</v>
      </c>
      <c r="AE2130" t="s">
        <v>560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421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420</v>
      </c>
      <c r="AC2131" t="s">
        <v>420</v>
      </c>
      <c r="AD2131" t="s">
        <v>475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420</v>
      </c>
      <c r="AC2132" t="s">
        <v>560</v>
      </c>
      <c r="AD2132" t="s">
        <v>136</v>
      </c>
      <c r="AE2132" t="s">
        <v>560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550</v>
      </c>
      <c r="E2133" t="s">
        <v>550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420</v>
      </c>
      <c r="AC2133" t="s">
        <v>560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422</v>
      </c>
      <c r="E2134" t="s">
        <v>422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420</v>
      </c>
      <c r="AC2134" t="s">
        <v>560</v>
      </c>
      <c r="AD2134" t="s">
        <v>420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425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420</v>
      </c>
      <c r="AC2135" t="s">
        <v>560</v>
      </c>
      <c r="AD2135" t="s">
        <v>420</v>
      </c>
      <c r="AE2135" t="s">
        <v>560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425</v>
      </c>
      <c r="E2136" t="s">
        <v>425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420</v>
      </c>
      <c r="AC2136" t="s">
        <v>560</v>
      </c>
      <c r="AD2136" t="s">
        <v>475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420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420</v>
      </c>
      <c r="AC2137" t="s">
        <v>475</v>
      </c>
      <c r="AD2137" t="s">
        <v>420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420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420</v>
      </c>
      <c r="AC2138" t="s">
        <v>475</v>
      </c>
      <c r="AD2138" t="s">
        <v>420</v>
      </c>
      <c r="AE2138" t="s">
        <v>560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420</v>
      </c>
      <c r="E2139" t="s">
        <v>420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420</v>
      </c>
      <c r="AC2139" t="s">
        <v>427</v>
      </c>
      <c r="AD2139" t="s">
        <v>420</v>
      </c>
      <c r="AE2139" t="s">
        <v>560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427</v>
      </c>
      <c r="E2140" t="s">
        <v>427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427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427</v>
      </c>
      <c r="AC2141" t="s">
        <v>136</v>
      </c>
      <c r="AD2141" t="s">
        <v>136</v>
      </c>
      <c r="AE2141" t="s">
        <v>560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427</v>
      </c>
      <c r="AC2142" t="s">
        <v>136</v>
      </c>
      <c r="AD2142" t="s">
        <v>427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419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427</v>
      </c>
      <c r="AC2143" t="s">
        <v>136</v>
      </c>
      <c r="AD2143" t="s">
        <v>427</v>
      </c>
      <c r="AE2143" t="s">
        <v>560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427</v>
      </c>
      <c r="AC2144" t="s">
        <v>573</v>
      </c>
      <c r="AD2144" t="s">
        <v>427</v>
      </c>
      <c r="AE2144" t="s">
        <v>560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427</v>
      </c>
      <c r="AC2145" t="s">
        <v>421</v>
      </c>
      <c r="AD2145" t="s">
        <v>427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427</v>
      </c>
      <c r="AC2146" t="s">
        <v>421</v>
      </c>
      <c r="AD2146" t="s">
        <v>427</v>
      </c>
      <c r="AE2146" t="s">
        <v>560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425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427</v>
      </c>
      <c r="AC2147" t="s">
        <v>422</v>
      </c>
      <c r="AD2147" t="s">
        <v>427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420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427</v>
      </c>
      <c r="AC2148" t="s">
        <v>425</v>
      </c>
      <c r="AD2148" t="s">
        <v>427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427</v>
      </c>
      <c r="AC2149" t="s">
        <v>420</v>
      </c>
      <c r="AD2149" t="s">
        <v>420</v>
      </c>
      <c r="AE2149" t="s">
        <v>560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427</v>
      </c>
      <c r="AC2150" t="s">
        <v>420</v>
      </c>
      <c r="AD2150" t="s">
        <v>427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421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427</v>
      </c>
      <c r="AC2151" t="s">
        <v>420</v>
      </c>
      <c r="AD2151" t="s">
        <v>427</v>
      </c>
      <c r="AE2151" t="s">
        <v>560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425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427</v>
      </c>
      <c r="AC2152" t="s">
        <v>560</v>
      </c>
      <c r="AD2152" t="s">
        <v>136</v>
      </c>
      <c r="AE2152" t="s">
        <v>560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420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427</v>
      </c>
      <c r="AC2153" t="s">
        <v>560</v>
      </c>
      <c r="AD2153" t="s">
        <v>427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421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427</v>
      </c>
      <c r="AC2154" t="s">
        <v>560</v>
      </c>
      <c r="AD2154" t="s">
        <v>427</v>
      </c>
      <c r="AE2154" t="s">
        <v>560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421</v>
      </c>
      <c r="E2155" t="s">
        <v>421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427</v>
      </c>
      <c r="AC2155" t="s">
        <v>427</v>
      </c>
      <c r="AD2155" t="s">
        <v>136</v>
      </c>
      <c r="AE2155" t="s">
        <v>560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427</v>
      </c>
      <c r="AC2156" t="s">
        <v>427</v>
      </c>
      <c r="AD2156" t="s">
        <v>427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550</v>
      </c>
      <c r="E2157" t="s">
        <v>550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422</v>
      </c>
      <c r="E2158" t="s">
        <v>422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560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425</v>
      </c>
      <c r="E2159" t="s">
        <v>425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573</v>
      </c>
      <c r="AD2159" t="s">
        <v>403</v>
      </c>
      <c r="AE2159" t="s">
        <v>560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420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421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420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421</v>
      </c>
      <c r="AD2161" t="s">
        <v>403</v>
      </c>
      <c r="AE2161" t="s">
        <v>560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420</v>
      </c>
      <c r="E2162" t="s">
        <v>420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572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427</v>
      </c>
      <c r="E2163" t="s">
        <v>427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572</v>
      </c>
      <c r="AD2163" t="s">
        <v>403</v>
      </c>
      <c r="AE2163" t="s">
        <v>560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420</v>
      </c>
      <c r="AD2164" t="s">
        <v>136</v>
      </c>
      <c r="AE2164" t="s">
        <v>560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423</v>
      </c>
      <c r="E2165" t="s">
        <v>423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420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420</v>
      </c>
      <c r="AD2166" t="s">
        <v>403</v>
      </c>
      <c r="AE2166" t="s">
        <v>560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419</v>
      </c>
      <c r="E2167" t="s">
        <v>419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560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423</v>
      </c>
      <c r="AC2168" t="s">
        <v>420</v>
      </c>
      <c r="AD2168" t="s">
        <v>423</v>
      </c>
      <c r="AE2168" t="s">
        <v>560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423</v>
      </c>
      <c r="AC2169" t="s">
        <v>403</v>
      </c>
      <c r="AD2169" t="s">
        <v>403</v>
      </c>
      <c r="AE2169" t="s">
        <v>560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420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560</v>
      </c>
      <c r="AE2170" t="s">
        <v>560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571</v>
      </c>
      <c r="AC2171" t="s">
        <v>571</v>
      </c>
      <c r="AD2171" t="s">
        <v>571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571</v>
      </c>
      <c r="AC2172" t="s">
        <v>571</v>
      </c>
      <c r="AD2172" t="s">
        <v>571</v>
      </c>
      <c r="AE2172" t="s">
        <v>560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571</v>
      </c>
      <c r="AC2173" t="s">
        <v>419</v>
      </c>
      <c r="AD2173" t="s">
        <v>571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425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571</v>
      </c>
      <c r="AC2174" t="s">
        <v>421</v>
      </c>
      <c r="AD2174" t="s">
        <v>571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421</v>
      </c>
      <c r="E2175" t="s">
        <v>421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571</v>
      </c>
      <c r="AC2175" t="s">
        <v>421</v>
      </c>
      <c r="AD2175" t="s">
        <v>571</v>
      </c>
      <c r="AE2175" t="s">
        <v>560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571</v>
      </c>
      <c r="AC2176" t="s">
        <v>425</v>
      </c>
      <c r="AD2176" t="s">
        <v>136</v>
      </c>
      <c r="AE2176" t="s">
        <v>560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550</v>
      </c>
      <c r="E2177" t="s">
        <v>550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571</v>
      </c>
      <c r="AC2177" t="s">
        <v>420</v>
      </c>
      <c r="AD2177" t="s">
        <v>571</v>
      </c>
      <c r="AE2177" t="s">
        <v>560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422</v>
      </c>
      <c r="E2178" t="s">
        <v>422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571</v>
      </c>
      <c r="AC2178" t="s">
        <v>560</v>
      </c>
      <c r="AD2178" t="s">
        <v>571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425</v>
      </c>
      <c r="E2179" t="s">
        <v>425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419</v>
      </c>
      <c r="AC2179" t="s">
        <v>419</v>
      </c>
      <c r="AD2179" t="s">
        <v>419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420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419</v>
      </c>
      <c r="AC2180" t="s">
        <v>136</v>
      </c>
      <c r="AD2180" t="s">
        <v>419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420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419</v>
      </c>
      <c r="AC2181" t="s">
        <v>136</v>
      </c>
      <c r="AD2181" t="s">
        <v>136</v>
      </c>
      <c r="AE2181" t="s">
        <v>560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420</v>
      </c>
      <c r="E2182" t="s">
        <v>420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419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427</v>
      </c>
      <c r="E2183" t="s">
        <v>427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419</v>
      </c>
      <c r="AC2183" t="s">
        <v>421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419</v>
      </c>
      <c r="AC2184" t="s">
        <v>421</v>
      </c>
      <c r="AD2184" t="s">
        <v>136</v>
      </c>
      <c r="AE2184" t="s">
        <v>560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419</v>
      </c>
      <c r="E2185" t="s">
        <v>419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419</v>
      </c>
      <c r="AC2185" t="s">
        <v>572</v>
      </c>
      <c r="AD2185" t="s">
        <v>419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419</v>
      </c>
      <c r="AC2186" t="s">
        <v>572</v>
      </c>
      <c r="AD2186" t="s">
        <v>419</v>
      </c>
      <c r="AE2186" t="s">
        <v>560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419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419</v>
      </c>
      <c r="AC2187" t="s">
        <v>572</v>
      </c>
      <c r="AD2187" t="s">
        <v>136</v>
      </c>
      <c r="AE2187" t="s">
        <v>560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419</v>
      </c>
      <c r="AC2188" t="s">
        <v>572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421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419</v>
      </c>
      <c r="AC2189" t="s">
        <v>420</v>
      </c>
      <c r="AD2189" t="s">
        <v>419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425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419</v>
      </c>
      <c r="AC2190" t="s">
        <v>420</v>
      </c>
      <c r="AD2190" t="s">
        <v>419</v>
      </c>
      <c r="AE2190" t="s">
        <v>560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420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419</v>
      </c>
      <c r="AC2191" t="s">
        <v>420</v>
      </c>
      <c r="AD2191" t="s">
        <v>400</v>
      </c>
      <c r="AE2191" t="s">
        <v>560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419</v>
      </c>
      <c r="AC2192" t="s">
        <v>420</v>
      </c>
      <c r="AD2192" t="s">
        <v>136</v>
      </c>
      <c r="AE2192" t="s">
        <v>560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419</v>
      </c>
      <c r="AC2193" t="s">
        <v>420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425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419</v>
      </c>
      <c r="AC2194" t="s">
        <v>420</v>
      </c>
      <c r="AD2194" t="s">
        <v>401</v>
      </c>
      <c r="AE2194" t="s">
        <v>560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420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571</v>
      </c>
      <c r="AD2195" t="s">
        <v>400</v>
      </c>
      <c r="AE2195" t="s">
        <v>560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421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421</v>
      </c>
      <c r="E2197" t="s">
        <v>421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560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422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560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422</v>
      </c>
      <c r="E2200" t="s">
        <v>422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425</v>
      </c>
      <c r="E2201" t="s">
        <v>419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560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425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421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425</v>
      </c>
      <c r="E2203" t="s">
        <v>425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421</v>
      </c>
      <c r="AD2203" t="s">
        <v>400</v>
      </c>
      <c r="AE2203" t="s">
        <v>560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420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572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420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572</v>
      </c>
      <c r="AD2205" t="s">
        <v>400</v>
      </c>
      <c r="AE2205" t="s">
        <v>560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420</v>
      </c>
      <c r="E2206" t="s">
        <v>420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422</v>
      </c>
      <c r="AD2206" t="s">
        <v>400</v>
      </c>
      <c r="AE2206" t="s">
        <v>560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427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425</v>
      </c>
      <c r="AD2207" t="s">
        <v>400</v>
      </c>
      <c r="AE2207" t="s">
        <v>560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427</v>
      </c>
      <c r="E2208" t="s">
        <v>427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420</v>
      </c>
      <c r="AD2208" t="s">
        <v>419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420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419</v>
      </c>
      <c r="E2210" t="s">
        <v>419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420</v>
      </c>
      <c r="AD2210" t="s">
        <v>400</v>
      </c>
      <c r="AE2210" t="s">
        <v>560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420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420</v>
      </c>
      <c r="AD2212" t="s">
        <v>136</v>
      </c>
      <c r="AE2212" t="s">
        <v>560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560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560</v>
      </c>
      <c r="AD2214" t="s">
        <v>400</v>
      </c>
      <c r="AE2214" t="s">
        <v>560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560</v>
      </c>
      <c r="AD2215" t="s">
        <v>136</v>
      </c>
      <c r="AE2215" t="s">
        <v>560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427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427</v>
      </c>
      <c r="E2217" t="s">
        <v>427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427</v>
      </c>
      <c r="AD2217" t="s">
        <v>400</v>
      </c>
      <c r="AE2217" t="s">
        <v>560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571</v>
      </c>
      <c r="AD2218" t="s">
        <v>571</v>
      </c>
      <c r="AE2218" t="s">
        <v>560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571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571</v>
      </c>
      <c r="AD2220" t="s">
        <v>136</v>
      </c>
      <c r="AE2220" t="s">
        <v>560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419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419</v>
      </c>
      <c r="AD2222" t="s">
        <v>136</v>
      </c>
      <c r="AE2222" t="s">
        <v>560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560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419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560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420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420</v>
      </c>
      <c r="AE2229" t="s">
        <v>560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477</v>
      </c>
      <c r="E2230" t="s">
        <v>477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573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419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573</v>
      </c>
      <c r="AD2231" t="s">
        <v>136</v>
      </c>
      <c r="AE2231" t="s">
        <v>560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573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573</v>
      </c>
      <c r="AD2233" t="s">
        <v>401</v>
      </c>
      <c r="AE2233" t="s">
        <v>560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421</v>
      </c>
      <c r="AD2234" t="s">
        <v>419</v>
      </c>
      <c r="AE2234" t="s">
        <v>560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421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419</v>
      </c>
      <c r="E2236" t="s">
        <v>419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421</v>
      </c>
      <c r="AD2236" t="s">
        <v>136</v>
      </c>
      <c r="AE2236" t="s">
        <v>560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421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421</v>
      </c>
      <c r="AD2238" t="s">
        <v>401</v>
      </c>
      <c r="AE2238" t="s">
        <v>560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421</v>
      </c>
      <c r="AD2239" t="s">
        <v>421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421</v>
      </c>
      <c r="AD2240" t="s">
        <v>421</v>
      </c>
      <c r="AE2240" t="s">
        <v>560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421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421</v>
      </c>
      <c r="AD2241" t="s">
        <v>420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560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419</v>
      </c>
      <c r="E2245" t="s">
        <v>419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572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419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572</v>
      </c>
      <c r="AD2246" t="s">
        <v>136</v>
      </c>
      <c r="AE2246" t="s">
        <v>560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572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572</v>
      </c>
      <c r="AD2248" t="s">
        <v>401</v>
      </c>
      <c r="AE2248" t="s">
        <v>560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572</v>
      </c>
      <c r="AD2249" t="s">
        <v>572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572</v>
      </c>
      <c r="AD2250" t="s">
        <v>572</v>
      </c>
      <c r="AE2250" t="s">
        <v>560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419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572</v>
      </c>
      <c r="AD2251" t="s">
        <v>420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422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422</v>
      </c>
      <c r="AD2253" t="s">
        <v>136</v>
      </c>
      <c r="AE2253" t="s">
        <v>560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422</v>
      </c>
      <c r="AD2254" t="s">
        <v>422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420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422</v>
      </c>
      <c r="AD2255" t="s">
        <v>422</v>
      </c>
      <c r="AE2255" t="s">
        <v>560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425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425</v>
      </c>
      <c r="AD2257" t="s">
        <v>136</v>
      </c>
      <c r="AE2257" t="s">
        <v>560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425</v>
      </c>
      <c r="E2258" t="s">
        <v>425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425</v>
      </c>
      <c r="AD2258" t="s">
        <v>425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420</v>
      </c>
      <c r="E2259" t="s">
        <v>420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425</v>
      </c>
      <c r="AD2259" t="s">
        <v>425</v>
      </c>
      <c r="AE2259" t="s">
        <v>560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420</v>
      </c>
      <c r="AD2260" t="s">
        <v>398</v>
      </c>
      <c r="AE2260" t="s">
        <v>560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420</v>
      </c>
      <c r="AD2261" t="s">
        <v>419</v>
      </c>
      <c r="AE2261" t="s">
        <v>560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423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420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419</v>
      </c>
      <c r="E2263" t="s">
        <v>419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420</v>
      </c>
      <c r="AD2263" t="s">
        <v>400</v>
      </c>
      <c r="AE2263" t="s">
        <v>560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419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420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420</v>
      </c>
      <c r="AD2265" t="s">
        <v>136</v>
      </c>
      <c r="AE2265" t="s">
        <v>560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420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420</v>
      </c>
      <c r="AD2267" t="s">
        <v>401</v>
      </c>
      <c r="AE2267" t="s">
        <v>560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420</v>
      </c>
      <c r="AD2268" t="s">
        <v>402</v>
      </c>
      <c r="AE2268" t="s">
        <v>560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421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420</v>
      </c>
      <c r="AD2269" t="s">
        <v>572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420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420</v>
      </c>
      <c r="AD2270" t="s">
        <v>420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421</v>
      </c>
      <c r="E2271" t="s">
        <v>421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420</v>
      </c>
      <c r="AD2271" t="s">
        <v>420</v>
      </c>
      <c r="AE2271" t="s">
        <v>560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420</v>
      </c>
      <c r="AD2272" t="s">
        <v>475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420</v>
      </c>
      <c r="AD2273" t="s">
        <v>475</v>
      </c>
      <c r="AE2273" t="s">
        <v>560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550</v>
      </c>
      <c r="E2274" t="s">
        <v>550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420</v>
      </c>
      <c r="AD2274" t="s">
        <v>427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422</v>
      </c>
      <c r="E2275" t="s">
        <v>422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560</v>
      </c>
      <c r="AD2275" t="s">
        <v>419</v>
      </c>
      <c r="AE2275" t="s">
        <v>560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425</v>
      </c>
      <c r="E2276" t="s">
        <v>425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560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420</v>
      </c>
      <c r="E2277" t="s">
        <v>420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560</v>
      </c>
      <c r="AD2277" t="s">
        <v>136</v>
      </c>
      <c r="AE2277" t="s">
        <v>560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427</v>
      </c>
      <c r="E2278" t="s">
        <v>427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560</v>
      </c>
      <c r="AD2278" t="s">
        <v>401</v>
      </c>
      <c r="AE2278" t="s">
        <v>560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560</v>
      </c>
      <c r="AD2279" t="s">
        <v>421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423</v>
      </c>
      <c r="E2280" t="s">
        <v>423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560</v>
      </c>
      <c r="AD2280" t="s">
        <v>425</v>
      </c>
      <c r="AE2280" t="s">
        <v>560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560</v>
      </c>
      <c r="AD2281" t="s">
        <v>420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560</v>
      </c>
      <c r="AD2282" t="s">
        <v>420</v>
      </c>
      <c r="AE2282" t="s">
        <v>560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475</v>
      </c>
      <c r="AD2283" t="s">
        <v>136</v>
      </c>
      <c r="AE2283" t="s">
        <v>560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427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419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427</v>
      </c>
      <c r="AD2285" t="s">
        <v>136</v>
      </c>
      <c r="AE2285" t="s">
        <v>560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427</v>
      </c>
      <c r="AD2286" t="s">
        <v>427</v>
      </c>
      <c r="AE2286" t="s">
        <v>560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423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421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423</v>
      </c>
      <c r="AD2288" t="s">
        <v>136</v>
      </c>
      <c r="AE2288" t="s">
        <v>560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571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420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571</v>
      </c>
      <c r="AD2290" t="s">
        <v>401</v>
      </c>
      <c r="AE2290" t="s">
        <v>560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421</v>
      </c>
      <c r="E2291" t="s">
        <v>421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419</v>
      </c>
      <c r="AD2291" t="s">
        <v>136</v>
      </c>
      <c r="AE2291" t="s">
        <v>560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419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550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419</v>
      </c>
      <c r="AD2293" t="s">
        <v>401</v>
      </c>
      <c r="AE2293" t="s">
        <v>560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550</v>
      </c>
      <c r="E2294" t="s">
        <v>550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420</v>
      </c>
      <c r="E2295" t="s">
        <v>420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560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427</v>
      </c>
      <c r="E2296" t="s">
        <v>427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560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419</v>
      </c>
      <c r="E2298" t="s">
        <v>419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560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573</v>
      </c>
      <c r="AD2299" t="s">
        <v>136</v>
      </c>
      <c r="AE2299" t="s">
        <v>560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573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573</v>
      </c>
      <c r="AD2301" t="s">
        <v>401</v>
      </c>
      <c r="AE2301" t="s">
        <v>560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573</v>
      </c>
      <c r="AD2302" t="s">
        <v>421</v>
      </c>
      <c r="AE2302" t="s">
        <v>560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420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573</v>
      </c>
      <c r="AD2303" t="s">
        <v>572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421</v>
      </c>
      <c r="E2304" t="s">
        <v>421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573</v>
      </c>
      <c r="AD2304" t="s">
        <v>425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573</v>
      </c>
      <c r="AD2305" t="s">
        <v>420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550</v>
      </c>
      <c r="E2306" t="s">
        <v>550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573</v>
      </c>
      <c r="AD2306" t="s">
        <v>420</v>
      </c>
      <c r="AE2306" t="s">
        <v>560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422</v>
      </c>
      <c r="E2307" t="s">
        <v>422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421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425</v>
      </c>
      <c r="E2308" t="s">
        <v>425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421</v>
      </c>
      <c r="AD2308" t="s">
        <v>136</v>
      </c>
      <c r="AE2308" t="s">
        <v>560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420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421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420</v>
      </c>
      <c r="E2310" t="s">
        <v>420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421</v>
      </c>
      <c r="AD2310" t="s">
        <v>401</v>
      </c>
      <c r="AE2310" t="s">
        <v>560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427</v>
      </c>
      <c r="E2311" t="s">
        <v>427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421</v>
      </c>
      <c r="AD2311" t="s">
        <v>421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421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549</v>
      </c>
      <c r="E2313" t="s">
        <v>549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421</v>
      </c>
      <c r="AD2313" t="s">
        <v>402</v>
      </c>
      <c r="AE2313" t="s">
        <v>560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419</v>
      </c>
      <c r="E2314" t="s">
        <v>419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421</v>
      </c>
      <c r="AD2314" t="s">
        <v>420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419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560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560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572</v>
      </c>
      <c r="AD2318" t="s">
        <v>419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421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572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420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572</v>
      </c>
      <c r="AD2320" t="s">
        <v>136</v>
      </c>
      <c r="AE2320" t="s">
        <v>560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572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572</v>
      </c>
      <c r="AD2322" t="s">
        <v>401</v>
      </c>
      <c r="AE2322" t="s">
        <v>560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572</v>
      </c>
      <c r="AD2323" t="s">
        <v>572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420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572</v>
      </c>
      <c r="AD2324" t="s">
        <v>572</v>
      </c>
      <c r="AE2324" t="s">
        <v>560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421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422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421</v>
      </c>
      <c r="E2326" t="s">
        <v>421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422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422</v>
      </c>
      <c r="AD2327" t="s">
        <v>401</v>
      </c>
      <c r="AE2327" t="s">
        <v>560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550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425</v>
      </c>
      <c r="AD2328" t="s">
        <v>136</v>
      </c>
      <c r="AE2328" t="s">
        <v>560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550</v>
      </c>
      <c r="E2329" t="s">
        <v>550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425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422</v>
      </c>
      <c r="E2330" t="s">
        <v>422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425</v>
      </c>
      <c r="AD2330" t="s">
        <v>401</v>
      </c>
      <c r="AE2330" t="s">
        <v>560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425</v>
      </c>
      <c r="E2331" t="s">
        <v>425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425</v>
      </c>
      <c r="AD2331" t="s">
        <v>425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420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425</v>
      </c>
      <c r="AD2332" t="s">
        <v>425</v>
      </c>
      <c r="AE2332" t="s">
        <v>560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420</v>
      </c>
      <c r="E2333" t="s">
        <v>420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420</v>
      </c>
      <c r="AD2333" t="s">
        <v>571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475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420</v>
      </c>
      <c r="AD2334" t="s">
        <v>419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427</v>
      </c>
      <c r="E2335" t="s">
        <v>427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420</v>
      </c>
      <c r="AD2335" t="s">
        <v>419</v>
      </c>
      <c r="AE2335" t="s">
        <v>560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420</v>
      </c>
      <c r="AD2336" t="s">
        <v>400</v>
      </c>
      <c r="AE2336" t="s">
        <v>560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420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420</v>
      </c>
      <c r="AD2338" t="s">
        <v>136</v>
      </c>
      <c r="AE2338" t="s">
        <v>560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420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420</v>
      </c>
      <c r="AD2340" t="s">
        <v>401</v>
      </c>
      <c r="AE2340" t="s">
        <v>560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420</v>
      </c>
      <c r="AD2341" t="s">
        <v>421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420</v>
      </c>
      <c r="AD2342" t="s">
        <v>421</v>
      </c>
      <c r="AE2342" t="s">
        <v>560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420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420</v>
      </c>
      <c r="AD2344" t="s">
        <v>425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420</v>
      </c>
      <c r="AD2345" t="s">
        <v>425</v>
      </c>
      <c r="AE2345" t="s">
        <v>560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420</v>
      </c>
      <c r="AD2346" t="s">
        <v>420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420</v>
      </c>
      <c r="AD2347" t="s">
        <v>420</v>
      </c>
      <c r="AE2347" t="s">
        <v>560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560</v>
      </c>
      <c r="AD2348" t="s">
        <v>419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560</v>
      </c>
      <c r="AD2349" t="s">
        <v>136</v>
      </c>
      <c r="AE2349" t="s">
        <v>560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560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560</v>
      </c>
      <c r="AD2351" t="s">
        <v>401</v>
      </c>
      <c r="AE2351" t="s">
        <v>560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560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560</v>
      </c>
      <c r="AD2353" t="s">
        <v>572</v>
      </c>
      <c r="AE2353" t="s">
        <v>560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419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475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475</v>
      </c>
      <c r="AD2355" t="s">
        <v>401</v>
      </c>
      <c r="AE2355" t="s">
        <v>560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475</v>
      </c>
      <c r="AD2356" t="s">
        <v>420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427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427</v>
      </c>
      <c r="AD2358" t="s">
        <v>136</v>
      </c>
      <c r="AE2358" t="s">
        <v>560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427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419</v>
      </c>
      <c r="E2360" t="s">
        <v>419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427</v>
      </c>
      <c r="AD2360" t="s">
        <v>401</v>
      </c>
      <c r="AE2360" t="s">
        <v>560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419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427</v>
      </c>
      <c r="AD2361" t="s">
        <v>420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427</v>
      </c>
      <c r="AD2362" t="s">
        <v>427</v>
      </c>
      <c r="AE2362" t="s">
        <v>560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423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549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421</v>
      </c>
      <c r="AC2364" t="s">
        <v>419</v>
      </c>
      <c r="AD2364" t="s">
        <v>421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419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421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421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421</v>
      </c>
      <c r="AC2367" t="s">
        <v>136</v>
      </c>
      <c r="AD2367" t="s">
        <v>136</v>
      </c>
      <c r="AE2367" t="s">
        <v>560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421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421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420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421</v>
      </c>
      <c r="AC2369" t="s">
        <v>136</v>
      </c>
      <c r="AD2369" t="s">
        <v>421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421</v>
      </c>
      <c r="AC2370" t="s">
        <v>136</v>
      </c>
      <c r="AD2370" t="s">
        <v>421</v>
      </c>
      <c r="AE2370" t="s">
        <v>560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420</v>
      </c>
      <c r="E2371" t="s">
        <v>420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421</v>
      </c>
      <c r="AC2371" t="s">
        <v>573</v>
      </c>
      <c r="AD2371" t="s">
        <v>136</v>
      </c>
      <c r="AE2371" t="s">
        <v>560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475</v>
      </c>
      <c r="E2372" t="s">
        <v>475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421</v>
      </c>
      <c r="AC2372" t="s">
        <v>573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427</v>
      </c>
      <c r="E2373" t="s">
        <v>427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421</v>
      </c>
      <c r="AC2373" t="s">
        <v>573</v>
      </c>
      <c r="AD2373" t="s">
        <v>421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421</v>
      </c>
      <c r="AC2374" t="s">
        <v>421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423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421</v>
      </c>
      <c r="AC2375" t="s">
        <v>421</v>
      </c>
      <c r="AD2375" t="s">
        <v>136</v>
      </c>
      <c r="AE2375" t="s">
        <v>560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421</v>
      </c>
      <c r="AC2376" t="s">
        <v>421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419</v>
      </c>
      <c r="E2377" t="s">
        <v>419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421</v>
      </c>
      <c r="AC2377" t="s">
        <v>421</v>
      </c>
      <c r="AD2377" t="s">
        <v>421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421</v>
      </c>
      <c r="AC2378" t="s">
        <v>421</v>
      </c>
      <c r="AD2378" t="s">
        <v>421</v>
      </c>
      <c r="AE2378" t="s">
        <v>560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421</v>
      </c>
      <c r="AC2379" t="s">
        <v>421</v>
      </c>
      <c r="AD2379" t="s">
        <v>425</v>
      </c>
      <c r="AE2379" t="s">
        <v>560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421</v>
      </c>
      <c r="AC2380" t="s">
        <v>422</v>
      </c>
      <c r="AD2380" t="s">
        <v>421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420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421</v>
      </c>
      <c r="AC2381" t="s">
        <v>422</v>
      </c>
      <c r="AD2381" t="s">
        <v>421</v>
      </c>
      <c r="AE2381" t="s">
        <v>560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419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421</v>
      </c>
      <c r="AC2382" t="s">
        <v>425</v>
      </c>
      <c r="AD2382" t="s">
        <v>136</v>
      </c>
      <c r="AE2382" t="s">
        <v>560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421</v>
      </c>
      <c r="AC2383" t="s">
        <v>425</v>
      </c>
      <c r="AD2383" t="s">
        <v>421</v>
      </c>
      <c r="AE2383" t="s">
        <v>560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421</v>
      </c>
      <c r="AC2384" t="s">
        <v>420</v>
      </c>
      <c r="AD2384" t="s">
        <v>136</v>
      </c>
      <c r="AE2384" t="s">
        <v>560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421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421</v>
      </c>
      <c r="AC2385" t="s">
        <v>420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550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421</v>
      </c>
      <c r="AC2386" t="s">
        <v>420</v>
      </c>
      <c r="AD2386" t="s">
        <v>421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420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421</v>
      </c>
      <c r="AC2387" t="s">
        <v>420</v>
      </c>
      <c r="AD2387" t="s">
        <v>421</v>
      </c>
      <c r="AE2387" t="s">
        <v>560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421</v>
      </c>
      <c r="E2388" t="s">
        <v>421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421</v>
      </c>
      <c r="AC2388" t="s">
        <v>560</v>
      </c>
      <c r="AD2388" t="s">
        <v>571</v>
      </c>
      <c r="AE2388" t="s">
        <v>560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421</v>
      </c>
      <c r="AC2389" t="s">
        <v>560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420</v>
      </c>
      <c r="E2390" t="s">
        <v>420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421</v>
      </c>
      <c r="AC2390" t="s">
        <v>560</v>
      </c>
      <c r="AD2390" t="s">
        <v>136</v>
      </c>
      <c r="AE2390" t="s">
        <v>560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427</v>
      </c>
      <c r="E2391" t="s">
        <v>427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421</v>
      </c>
      <c r="AC2391" t="s">
        <v>560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421</v>
      </c>
      <c r="AC2392" t="s">
        <v>560</v>
      </c>
      <c r="AD2392" t="s">
        <v>421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421</v>
      </c>
      <c r="AC2393" t="s">
        <v>560</v>
      </c>
      <c r="AD2393" t="s">
        <v>421</v>
      </c>
      <c r="AE2393" t="s">
        <v>560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421</v>
      </c>
      <c r="AC2394" t="s">
        <v>427</v>
      </c>
      <c r="AD2394" t="s">
        <v>421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421</v>
      </c>
      <c r="AC2395" t="s">
        <v>427</v>
      </c>
      <c r="AD2395" t="s">
        <v>421</v>
      </c>
      <c r="AE2395" t="s">
        <v>560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420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419</v>
      </c>
      <c r="AD2396" t="s">
        <v>402</v>
      </c>
      <c r="AE2396" t="s">
        <v>560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421</v>
      </c>
      <c r="E2397" t="s">
        <v>421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560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420</v>
      </c>
      <c r="E2399" t="s">
        <v>420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560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573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421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421</v>
      </c>
      <c r="AD2403" t="s">
        <v>402</v>
      </c>
      <c r="AE2403" t="s">
        <v>560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560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421</v>
      </c>
      <c r="E2406" t="s">
        <v>421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560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572</v>
      </c>
      <c r="AD2407" t="s">
        <v>136</v>
      </c>
      <c r="AE2407" t="s">
        <v>560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550</v>
      </c>
      <c r="E2408" t="s">
        <v>550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572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420</v>
      </c>
      <c r="E2409" t="s">
        <v>420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572</v>
      </c>
      <c r="AD2409" t="s">
        <v>402</v>
      </c>
      <c r="AE2409" t="s">
        <v>560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427</v>
      </c>
      <c r="E2410" t="s">
        <v>427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422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425</v>
      </c>
      <c r="AD2411" t="s">
        <v>402</v>
      </c>
      <c r="AE2411" t="s">
        <v>560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420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420</v>
      </c>
      <c r="AD2413" t="s">
        <v>136</v>
      </c>
      <c r="AE2413" t="s">
        <v>560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420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420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427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420</v>
      </c>
      <c r="AD2415" t="s">
        <v>402</v>
      </c>
      <c r="AE2415" t="s">
        <v>560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560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560</v>
      </c>
      <c r="AD2417" t="s">
        <v>136</v>
      </c>
      <c r="AE2417" t="s">
        <v>560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421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560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420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560</v>
      </c>
      <c r="AD2419" t="s">
        <v>402</v>
      </c>
      <c r="AE2419" t="s">
        <v>560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421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427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421</v>
      </c>
      <c r="E2421" t="s">
        <v>421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427</v>
      </c>
      <c r="AD2421" t="s">
        <v>427</v>
      </c>
      <c r="AE2421" t="s">
        <v>560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572</v>
      </c>
      <c r="AC2422" t="s">
        <v>419</v>
      </c>
      <c r="AD2422" t="s">
        <v>572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420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572</v>
      </c>
      <c r="AC2423" t="s">
        <v>136</v>
      </c>
      <c r="AD2423" t="s">
        <v>419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420</v>
      </c>
      <c r="E2424" t="s">
        <v>420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572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475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572</v>
      </c>
      <c r="AC2425" t="s">
        <v>136</v>
      </c>
      <c r="AD2425" t="s">
        <v>136</v>
      </c>
      <c r="AE2425" t="s">
        <v>560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572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572</v>
      </c>
      <c r="AC2427" t="s">
        <v>136</v>
      </c>
      <c r="AD2427" t="s">
        <v>401</v>
      </c>
      <c r="AE2427" t="s">
        <v>560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572</v>
      </c>
      <c r="AC2428" t="s">
        <v>136</v>
      </c>
      <c r="AD2428" t="s">
        <v>572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427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572</v>
      </c>
      <c r="AC2429" t="s">
        <v>136</v>
      </c>
      <c r="AD2429" t="s">
        <v>572</v>
      </c>
      <c r="AE2429" t="s">
        <v>560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427</v>
      </c>
      <c r="E2430" t="s">
        <v>427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572</v>
      </c>
      <c r="AC2430" t="s">
        <v>573</v>
      </c>
      <c r="AD2430" t="s">
        <v>572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572</v>
      </c>
      <c r="AC2431" t="s">
        <v>573</v>
      </c>
      <c r="AD2431" t="s">
        <v>572</v>
      </c>
      <c r="AE2431" t="s">
        <v>560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572</v>
      </c>
      <c r="AC2432" t="s">
        <v>402</v>
      </c>
      <c r="AD2432" t="s">
        <v>136</v>
      </c>
      <c r="AE2432" t="s">
        <v>560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572</v>
      </c>
      <c r="AC2433" t="s">
        <v>402</v>
      </c>
      <c r="AD2433" t="s">
        <v>572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475</v>
      </c>
      <c r="E2434" t="s">
        <v>475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572</v>
      </c>
      <c r="AC2434" t="s">
        <v>572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572</v>
      </c>
      <c r="AC2435" t="s">
        <v>572</v>
      </c>
      <c r="AD2435" t="s">
        <v>136</v>
      </c>
      <c r="AE2435" t="s">
        <v>560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572</v>
      </c>
      <c r="AC2436" t="s">
        <v>572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572</v>
      </c>
      <c r="AC2437" t="s">
        <v>572</v>
      </c>
      <c r="AD2437" t="s">
        <v>572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572</v>
      </c>
      <c r="AC2438" t="s">
        <v>572</v>
      </c>
      <c r="AD2438" t="s">
        <v>572</v>
      </c>
      <c r="AE2438" t="s">
        <v>560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572</v>
      </c>
      <c r="AC2439" t="s">
        <v>572</v>
      </c>
      <c r="AD2439" t="s">
        <v>420</v>
      </c>
      <c r="AE2439" t="s">
        <v>560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420</v>
      </c>
      <c r="E2440" t="s">
        <v>420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572</v>
      </c>
      <c r="AC2440" t="s">
        <v>420</v>
      </c>
      <c r="AD2440" t="s">
        <v>572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572</v>
      </c>
      <c r="AC2441" t="s">
        <v>420</v>
      </c>
      <c r="AD2441" t="s">
        <v>572</v>
      </c>
      <c r="AE2441" t="s">
        <v>560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419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572</v>
      </c>
      <c r="AC2442" t="s">
        <v>560</v>
      </c>
      <c r="AD2442" t="s">
        <v>136</v>
      </c>
      <c r="AE2442" t="s">
        <v>560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572</v>
      </c>
      <c r="AC2443" t="s">
        <v>560</v>
      </c>
      <c r="AD2443" t="s">
        <v>572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572</v>
      </c>
      <c r="AC2444" t="s">
        <v>560</v>
      </c>
      <c r="AD2444" t="s">
        <v>572</v>
      </c>
      <c r="AE2444" t="s">
        <v>560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572</v>
      </c>
      <c r="AC2445" t="s">
        <v>560</v>
      </c>
      <c r="AD2445" t="s">
        <v>420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424</v>
      </c>
      <c r="E2446" t="s">
        <v>424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572</v>
      </c>
      <c r="AC2446" t="s">
        <v>423</v>
      </c>
      <c r="AD2446" t="s">
        <v>572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422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422</v>
      </c>
      <c r="AC2448" t="s">
        <v>136</v>
      </c>
      <c r="AD2448" t="s">
        <v>136</v>
      </c>
      <c r="AE2448" t="s">
        <v>560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422</v>
      </c>
      <c r="AC2449" t="s">
        <v>136</v>
      </c>
      <c r="AD2449" t="s">
        <v>422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420</v>
      </c>
      <c r="E2450" t="s">
        <v>420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422</v>
      </c>
      <c r="AC2450" t="s">
        <v>136</v>
      </c>
      <c r="AD2450" t="s">
        <v>425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422</v>
      </c>
      <c r="AC2451" t="s">
        <v>136</v>
      </c>
      <c r="AD2451" t="s">
        <v>420</v>
      </c>
      <c r="AE2451" t="s">
        <v>560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419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422</v>
      </c>
      <c r="AC2452" t="s">
        <v>573</v>
      </c>
      <c r="AD2452" t="s">
        <v>422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422</v>
      </c>
      <c r="AC2453" t="s">
        <v>421</v>
      </c>
      <c r="AD2453" t="s">
        <v>422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422</v>
      </c>
      <c r="AC2454" t="s">
        <v>572</v>
      </c>
      <c r="AD2454" t="s">
        <v>422</v>
      </c>
      <c r="AE2454" t="s">
        <v>560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422</v>
      </c>
      <c r="AC2455" t="s">
        <v>422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419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422</v>
      </c>
      <c r="AC2456" t="s">
        <v>422</v>
      </c>
      <c r="AD2456" t="s">
        <v>422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422</v>
      </c>
      <c r="AC2457" t="s">
        <v>422</v>
      </c>
      <c r="AD2457" t="s">
        <v>422</v>
      </c>
      <c r="AE2457" t="s">
        <v>560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422</v>
      </c>
      <c r="AC2458" t="s">
        <v>425</v>
      </c>
      <c r="AD2458" t="s">
        <v>422</v>
      </c>
      <c r="AE2458" t="s">
        <v>560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422</v>
      </c>
      <c r="AC2459" t="s">
        <v>420</v>
      </c>
      <c r="AD2459" t="s">
        <v>422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422</v>
      </c>
      <c r="AC2460" t="s">
        <v>560</v>
      </c>
      <c r="AD2460" t="s">
        <v>136</v>
      </c>
      <c r="AE2460" t="s">
        <v>560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550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422</v>
      </c>
      <c r="AC2461" t="s">
        <v>560</v>
      </c>
      <c r="AD2461" t="s">
        <v>422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420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422</v>
      </c>
      <c r="AC2462" t="s">
        <v>427</v>
      </c>
      <c r="AD2462" t="s">
        <v>422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475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425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421</v>
      </c>
      <c r="E2464" t="s">
        <v>421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425</v>
      </c>
      <c r="AC2464" t="s">
        <v>136</v>
      </c>
      <c r="AD2464" t="s">
        <v>136</v>
      </c>
      <c r="AE2464" t="s">
        <v>560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425</v>
      </c>
      <c r="AC2465" t="s">
        <v>136</v>
      </c>
      <c r="AD2465" t="s">
        <v>425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420</v>
      </c>
      <c r="E2466" t="s">
        <v>420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425</v>
      </c>
      <c r="AC2466" t="s">
        <v>136</v>
      </c>
      <c r="AD2466" t="s">
        <v>425</v>
      </c>
      <c r="AE2466" t="s">
        <v>560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427</v>
      </c>
      <c r="E2467" t="s">
        <v>427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425</v>
      </c>
      <c r="AC2467" t="s">
        <v>573</v>
      </c>
      <c r="AD2467" t="s">
        <v>425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425</v>
      </c>
      <c r="AC2468" t="s">
        <v>573</v>
      </c>
      <c r="AD2468" t="s">
        <v>425</v>
      </c>
      <c r="AE2468" t="s">
        <v>560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423</v>
      </c>
      <c r="E2469" t="s">
        <v>423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425</v>
      </c>
      <c r="AC2469" t="s">
        <v>421</v>
      </c>
      <c r="AD2469" t="s">
        <v>425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419</v>
      </c>
      <c r="E2470" t="s">
        <v>419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425</v>
      </c>
      <c r="AC2470" t="s">
        <v>421</v>
      </c>
      <c r="AD2470" t="s">
        <v>425</v>
      </c>
      <c r="AE2470" t="s">
        <v>560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419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425</v>
      </c>
      <c r="AC2471" t="s">
        <v>422</v>
      </c>
      <c r="AD2471" t="s">
        <v>425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425</v>
      </c>
      <c r="AC2472" t="s">
        <v>425</v>
      </c>
      <c r="AD2472" t="s">
        <v>419</v>
      </c>
      <c r="AE2472" t="s">
        <v>560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425</v>
      </c>
      <c r="AC2473" t="s">
        <v>425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425</v>
      </c>
      <c r="AC2474" t="s">
        <v>425</v>
      </c>
      <c r="AD2474" t="s">
        <v>136</v>
      </c>
      <c r="AE2474" t="s">
        <v>560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425</v>
      </c>
      <c r="AC2475" t="s">
        <v>425</v>
      </c>
      <c r="AD2475" t="s">
        <v>422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425</v>
      </c>
      <c r="AC2476" t="s">
        <v>425</v>
      </c>
      <c r="AD2476" t="s">
        <v>425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421</v>
      </c>
      <c r="E2477" t="s">
        <v>421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425</v>
      </c>
      <c r="AC2477" t="s">
        <v>425</v>
      </c>
      <c r="AD2477" t="s">
        <v>425</v>
      </c>
      <c r="AE2477" t="s">
        <v>560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425</v>
      </c>
      <c r="AC2478" t="s">
        <v>420</v>
      </c>
      <c r="AD2478" t="s">
        <v>136</v>
      </c>
      <c r="AE2478" t="s">
        <v>560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422</v>
      </c>
      <c r="E2479" t="s">
        <v>422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425</v>
      </c>
      <c r="AC2479" t="s">
        <v>420</v>
      </c>
      <c r="AD2479" t="s">
        <v>425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425</v>
      </c>
      <c r="E2480" t="s">
        <v>425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425</v>
      </c>
      <c r="AC2480" t="s">
        <v>420</v>
      </c>
      <c r="AD2480" t="s">
        <v>425</v>
      </c>
      <c r="AE2480" t="s">
        <v>560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420</v>
      </c>
      <c r="E2481" t="s">
        <v>420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425</v>
      </c>
      <c r="AC2481" t="s">
        <v>560</v>
      </c>
      <c r="AD2481" t="s">
        <v>419</v>
      </c>
      <c r="AE2481" t="s">
        <v>560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420</v>
      </c>
      <c r="E2482" t="s">
        <v>475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425</v>
      </c>
      <c r="AC2482" t="s">
        <v>560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427</v>
      </c>
      <c r="E2483" t="s">
        <v>427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425</v>
      </c>
      <c r="AC2483" t="s">
        <v>560</v>
      </c>
      <c r="AD2483" t="s">
        <v>136</v>
      </c>
      <c r="AE2483" t="s">
        <v>560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423</v>
      </c>
      <c r="E2484" t="s">
        <v>423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425</v>
      </c>
      <c r="AC2484" t="s">
        <v>560</v>
      </c>
      <c r="AD2484" t="s">
        <v>425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419</v>
      </c>
      <c r="E2485" t="s">
        <v>419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425</v>
      </c>
      <c r="AC2485" t="s">
        <v>560</v>
      </c>
      <c r="AD2485" t="s">
        <v>425</v>
      </c>
      <c r="AE2485" t="s">
        <v>560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425</v>
      </c>
      <c r="AC2486" t="s">
        <v>427</v>
      </c>
      <c r="AD2486" t="s">
        <v>400</v>
      </c>
      <c r="AE2486" t="s">
        <v>560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425</v>
      </c>
      <c r="AC2487" t="s">
        <v>427</v>
      </c>
      <c r="AD2487" t="s">
        <v>425</v>
      </c>
      <c r="AE2487" t="s">
        <v>560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420</v>
      </c>
      <c r="AC2488" t="s">
        <v>419</v>
      </c>
      <c r="AD2488" t="s">
        <v>136</v>
      </c>
      <c r="AE2488" t="s">
        <v>560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420</v>
      </c>
      <c r="AC2489" t="s">
        <v>419</v>
      </c>
      <c r="AD2489" t="s">
        <v>420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421</v>
      </c>
      <c r="E2490" t="s">
        <v>421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420</v>
      </c>
      <c r="AC2490" t="s">
        <v>419</v>
      </c>
      <c r="AD2490" t="s">
        <v>420</v>
      </c>
      <c r="AE2490" t="s">
        <v>560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550</v>
      </c>
      <c r="E2491" t="s">
        <v>550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420</v>
      </c>
      <c r="AC2491" t="s">
        <v>400</v>
      </c>
      <c r="AD2491" t="s">
        <v>420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422</v>
      </c>
      <c r="E2492" t="s">
        <v>422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420</v>
      </c>
      <c r="AC2492" t="s">
        <v>136</v>
      </c>
      <c r="AD2492" t="s">
        <v>419</v>
      </c>
      <c r="AE2492" t="s">
        <v>560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425</v>
      </c>
      <c r="E2493" t="s">
        <v>425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420</v>
      </c>
      <c r="AC2493" t="s">
        <v>136</v>
      </c>
      <c r="AD2493" t="s">
        <v>400</v>
      </c>
      <c r="AE2493" t="s">
        <v>560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420</v>
      </c>
      <c r="E2494" t="s">
        <v>420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420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427</v>
      </c>
      <c r="E2495" t="s">
        <v>427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420</v>
      </c>
      <c r="AC2495" t="s">
        <v>136</v>
      </c>
      <c r="AD2495" t="s">
        <v>136</v>
      </c>
      <c r="AE2495" t="s">
        <v>560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420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420</v>
      </c>
      <c r="AC2497" t="s">
        <v>136</v>
      </c>
      <c r="AD2497" t="s">
        <v>401</v>
      </c>
      <c r="AE2497" t="s">
        <v>560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419</v>
      </c>
      <c r="E2498" t="s">
        <v>419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420</v>
      </c>
      <c r="AC2498" t="s">
        <v>136</v>
      </c>
      <c r="AD2498" t="s">
        <v>420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420</v>
      </c>
      <c r="AC2499" t="s">
        <v>136</v>
      </c>
      <c r="AD2499" t="s">
        <v>420</v>
      </c>
      <c r="AE2499" t="s">
        <v>560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420</v>
      </c>
      <c r="AC2500" t="s">
        <v>573</v>
      </c>
      <c r="AD2500" t="s">
        <v>136</v>
      </c>
      <c r="AE2500" t="s">
        <v>560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420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420</v>
      </c>
      <c r="AC2501" t="s">
        <v>573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419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420</v>
      </c>
      <c r="AC2502" t="s">
        <v>573</v>
      </c>
      <c r="AD2502" t="s">
        <v>420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420</v>
      </c>
      <c r="AC2503" t="s">
        <v>573</v>
      </c>
      <c r="AD2503" t="s">
        <v>420</v>
      </c>
      <c r="AE2503" t="s">
        <v>560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420</v>
      </c>
      <c r="AC2504" t="s">
        <v>421</v>
      </c>
      <c r="AD2504" t="s">
        <v>136</v>
      </c>
      <c r="AE2504" t="s">
        <v>560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420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420</v>
      </c>
      <c r="AC2505" t="s">
        <v>421</v>
      </c>
      <c r="AD2505" t="s">
        <v>420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550</v>
      </c>
      <c r="E2506" t="s">
        <v>550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420</v>
      </c>
      <c r="AC2506" t="s">
        <v>421</v>
      </c>
      <c r="AD2506" t="s">
        <v>420</v>
      </c>
      <c r="AE2506" t="s">
        <v>560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425</v>
      </c>
      <c r="E2507" t="s">
        <v>425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420</v>
      </c>
      <c r="AC2507" t="s">
        <v>402</v>
      </c>
      <c r="AD2507" t="s">
        <v>420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420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420</v>
      </c>
      <c r="AC2508" t="s">
        <v>572</v>
      </c>
      <c r="AD2508" t="s">
        <v>420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420</v>
      </c>
      <c r="E2509" t="s">
        <v>420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420</v>
      </c>
      <c r="AC2509" t="s">
        <v>572</v>
      </c>
      <c r="AD2509" t="s">
        <v>420</v>
      </c>
      <c r="AE2509" t="s">
        <v>560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427</v>
      </c>
      <c r="E2510" t="s">
        <v>427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420</v>
      </c>
      <c r="AC2510" t="s">
        <v>422</v>
      </c>
      <c r="AD2510" t="s">
        <v>420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420</v>
      </c>
      <c r="AC2511" t="s">
        <v>425</v>
      </c>
      <c r="AD2511" t="s">
        <v>420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419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420</v>
      </c>
      <c r="AC2512" t="s">
        <v>420</v>
      </c>
      <c r="AD2512" t="s">
        <v>419</v>
      </c>
      <c r="AE2512" t="s">
        <v>560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420</v>
      </c>
      <c r="AC2513" t="s">
        <v>420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420</v>
      </c>
      <c r="AC2514" t="s">
        <v>420</v>
      </c>
      <c r="AD2514" t="s">
        <v>136</v>
      </c>
      <c r="AE2514" t="s">
        <v>560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420</v>
      </c>
      <c r="AC2515" t="s">
        <v>420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425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420</v>
      </c>
      <c r="AC2516" t="s">
        <v>420</v>
      </c>
      <c r="AD2516" t="s">
        <v>572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420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420</v>
      </c>
      <c r="AC2517" t="s">
        <v>420</v>
      </c>
      <c r="AD2517" t="s">
        <v>420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420</v>
      </c>
      <c r="AC2518" t="s">
        <v>420</v>
      </c>
      <c r="AD2518" t="s">
        <v>420</v>
      </c>
      <c r="AE2518" t="s">
        <v>560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420</v>
      </c>
      <c r="AC2519" t="s">
        <v>420</v>
      </c>
      <c r="AD2519" t="s">
        <v>475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421</v>
      </c>
      <c r="E2520" t="s">
        <v>421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420</v>
      </c>
      <c r="AC2520" t="s">
        <v>420</v>
      </c>
      <c r="AD2520" t="s">
        <v>475</v>
      </c>
      <c r="AE2520" t="s">
        <v>560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421</v>
      </c>
      <c r="E2521" t="s">
        <v>425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420</v>
      </c>
      <c r="AC2521" t="s">
        <v>560</v>
      </c>
      <c r="AD2521" t="s">
        <v>419</v>
      </c>
      <c r="AE2521" t="s">
        <v>560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420</v>
      </c>
      <c r="AC2522" t="s">
        <v>560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550</v>
      </c>
      <c r="E2523" t="s">
        <v>550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420</v>
      </c>
      <c r="AC2523" t="s">
        <v>560</v>
      </c>
      <c r="AD2523" t="s">
        <v>136</v>
      </c>
      <c r="AE2523" t="s">
        <v>560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422</v>
      </c>
      <c r="E2524" t="s">
        <v>422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420</v>
      </c>
      <c r="AC2524" t="s">
        <v>560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422</v>
      </c>
      <c r="E2525" t="s">
        <v>420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420</v>
      </c>
      <c r="AC2525" t="s">
        <v>560</v>
      </c>
      <c r="AD2525" t="s">
        <v>401</v>
      </c>
      <c r="AE2525" t="s">
        <v>560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425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420</v>
      </c>
      <c r="AC2526" t="s">
        <v>560</v>
      </c>
      <c r="AD2526" t="s">
        <v>420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425</v>
      </c>
      <c r="E2527" t="s">
        <v>425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420</v>
      </c>
      <c r="AC2527" t="s">
        <v>560</v>
      </c>
      <c r="AD2527" t="s">
        <v>420</v>
      </c>
      <c r="AE2527" t="s">
        <v>560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420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420</v>
      </c>
      <c r="AC2528" t="s">
        <v>560</v>
      </c>
      <c r="AD2528" t="s">
        <v>475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420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420</v>
      </c>
      <c r="AC2529" t="s">
        <v>475</v>
      </c>
      <c r="AD2529" t="s">
        <v>420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420</v>
      </c>
      <c r="E2530" t="s">
        <v>420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420</v>
      </c>
      <c r="AC2530" t="s">
        <v>475</v>
      </c>
      <c r="AD2530" t="s">
        <v>420</v>
      </c>
      <c r="AE2530" t="s">
        <v>560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427</v>
      </c>
      <c r="E2531" t="s">
        <v>427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420</v>
      </c>
      <c r="AC2531" t="s">
        <v>427</v>
      </c>
      <c r="AD2531" t="s">
        <v>420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423</v>
      </c>
      <c r="E2532" t="s">
        <v>423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475</v>
      </c>
      <c r="AC2532" t="s">
        <v>136</v>
      </c>
      <c r="AD2532" t="s">
        <v>136</v>
      </c>
      <c r="AE2532" t="s">
        <v>560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475</v>
      </c>
      <c r="AC2533" t="s">
        <v>420</v>
      </c>
      <c r="AD2533" t="s">
        <v>420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475</v>
      </c>
      <c r="AC2534" t="s">
        <v>420</v>
      </c>
      <c r="AD2534" t="s">
        <v>420</v>
      </c>
      <c r="AE2534" t="s">
        <v>560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424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427</v>
      </c>
      <c r="AC2535" t="s">
        <v>419</v>
      </c>
      <c r="AD2535" t="s">
        <v>427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427</v>
      </c>
      <c r="AC2536" t="s">
        <v>136</v>
      </c>
      <c r="AD2536" t="s">
        <v>419</v>
      </c>
      <c r="AE2536" t="s">
        <v>560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427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427</v>
      </c>
      <c r="AC2538" t="s">
        <v>136</v>
      </c>
      <c r="AD2538" t="s">
        <v>136</v>
      </c>
      <c r="AE2538" t="s">
        <v>560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420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427</v>
      </c>
      <c r="AC2539" t="s">
        <v>136</v>
      </c>
      <c r="AD2539" t="s">
        <v>427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427</v>
      </c>
      <c r="AC2540" t="s">
        <v>136</v>
      </c>
      <c r="AD2540" t="s">
        <v>427</v>
      </c>
      <c r="AE2540" t="s">
        <v>560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427</v>
      </c>
      <c r="AC2541" t="s">
        <v>573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427</v>
      </c>
      <c r="AC2542" t="s">
        <v>573</v>
      </c>
      <c r="AD2542" t="s">
        <v>420</v>
      </c>
      <c r="AE2542" t="s">
        <v>560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427</v>
      </c>
      <c r="AC2543" t="s">
        <v>573</v>
      </c>
      <c r="AD2543" t="s">
        <v>427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427</v>
      </c>
      <c r="AC2544" t="s">
        <v>573</v>
      </c>
      <c r="AD2544" t="s">
        <v>427</v>
      </c>
      <c r="AE2544" t="s">
        <v>560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421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427</v>
      </c>
      <c r="AC2545" t="s">
        <v>421</v>
      </c>
      <c r="AD2545" t="s">
        <v>136</v>
      </c>
      <c r="AE2545" t="s">
        <v>560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427</v>
      </c>
      <c r="E2546" t="s">
        <v>427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427</v>
      </c>
      <c r="AC2546" t="s">
        <v>421</v>
      </c>
      <c r="AD2546" t="s">
        <v>421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419</v>
      </c>
      <c r="E2547" t="s">
        <v>419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427</v>
      </c>
      <c r="AC2547" t="s">
        <v>421</v>
      </c>
      <c r="AD2547" t="s">
        <v>427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419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427</v>
      </c>
      <c r="AC2548" t="s">
        <v>421</v>
      </c>
      <c r="AD2548" t="s">
        <v>427</v>
      </c>
      <c r="AE2548" t="s">
        <v>560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427</v>
      </c>
      <c r="AC2549" t="s">
        <v>572</v>
      </c>
      <c r="AD2549" t="s">
        <v>427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427</v>
      </c>
      <c r="AC2550" t="s">
        <v>422</v>
      </c>
      <c r="AD2550" t="s">
        <v>427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427</v>
      </c>
      <c r="AC2551" t="s">
        <v>422</v>
      </c>
      <c r="AD2551" t="s">
        <v>427</v>
      </c>
      <c r="AE2551" t="s">
        <v>560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427</v>
      </c>
      <c r="AC2552" t="s">
        <v>425</v>
      </c>
      <c r="AD2552" t="s">
        <v>427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421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427</v>
      </c>
      <c r="AC2553" t="s">
        <v>420</v>
      </c>
      <c r="AD2553" t="s">
        <v>401</v>
      </c>
      <c r="AE2553" t="s">
        <v>560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427</v>
      </c>
      <c r="AC2554" t="s">
        <v>420</v>
      </c>
      <c r="AD2554" t="s">
        <v>427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420</v>
      </c>
      <c r="E2555" t="s">
        <v>420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427</v>
      </c>
      <c r="AC2555" t="s">
        <v>560</v>
      </c>
      <c r="AD2555" t="s">
        <v>136</v>
      </c>
      <c r="AE2555" t="s">
        <v>560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427</v>
      </c>
      <c r="AC2556" t="s">
        <v>560</v>
      </c>
      <c r="AD2556" t="s">
        <v>427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427</v>
      </c>
      <c r="AC2557" t="s">
        <v>560</v>
      </c>
      <c r="AD2557" t="s">
        <v>427</v>
      </c>
      <c r="AE2557" t="s">
        <v>560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427</v>
      </c>
      <c r="AC2558" t="s">
        <v>427</v>
      </c>
      <c r="AD2558" t="s">
        <v>136</v>
      </c>
      <c r="AE2558" t="s">
        <v>560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419</v>
      </c>
      <c r="E2559" t="s">
        <v>419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427</v>
      </c>
      <c r="AC2559" t="s">
        <v>427</v>
      </c>
      <c r="AD2559" t="s">
        <v>427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427</v>
      </c>
      <c r="AC2560" t="s">
        <v>427</v>
      </c>
      <c r="AD2560" t="s">
        <v>427</v>
      </c>
      <c r="AE2560" t="s">
        <v>560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560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421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572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420</v>
      </c>
      <c r="AD2564" t="s">
        <v>136</v>
      </c>
      <c r="AE2564" t="s">
        <v>560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420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550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420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425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420</v>
      </c>
      <c r="AD2567" t="s">
        <v>403</v>
      </c>
      <c r="AE2567" t="s">
        <v>560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420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427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423</v>
      </c>
      <c r="AC2569" t="s">
        <v>420</v>
      </c>
      <c r="AD2569" t="s">
        <v>423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420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420</v>
      </c>
      <c r="E2571" t="s">
        <v>420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420</v>
      </c>
      <c r="E2572" t="s">
        <v>427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419</v>
      </c>
      <c r="E2574" t="s">
        <v>419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421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425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420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422</v>
      </c>
      <c r="E2583" t="s">
        <v>422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425</v>
      </c>
      <c r="E2584" t="s">
        <v>425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420</v>
      </c>
      <c r="E2585" t="s">
        <v>420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427</v>
      </c>
      <c r="E2586" t="s">
        <v>427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419</v>
      </c>
      <c r="E2588" t="s">
        <v>419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419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419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420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421</v>
      </c>
      <c r="E2597" t="s">
        <v>421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550</v>
      </c>
      <c r="E2598" t="s">
        <v>550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422</v>
      </c>
      <c r="E2599" t="s">
        <v>422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425</v>
      </c>
      <c r="E2600" t="s">
        <v>425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420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420</v>
      </c>
      <c r="E2602" t="s">
        <v>420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427</v>
      </c>
      <c r="E2603" t="s">
        <v>427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419</v>
      </c>
      <c r="E2605" t="s">
        <v>419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420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421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421</v>
      </c>
      <c r="E2613" t="s">
        <v>421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550</v>
      </c>
      <c r="E2614" t="s">
        <v>550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425</v>
      </c>
      <c r="E2615" t="s">
        <v>425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420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420</v>
      </c>
      <c r="E2617" t="s">
        <v>420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427</v>
      </c>
      <c r="E2618" t="s">
        <v>427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419</v>
      </c>
      <c r="E2620" t="s">
        <v>419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419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550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420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550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425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420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421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421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421</v>
      </c>
      <c r="E2634" t="s">
        <v>421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550</v>
      </c>
      <c r="E2635" t="s">
        <v>550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425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425</v>
      </c>
      <c r="E2637" t="s">
        <v>425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420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420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420</v>
      </c>
      <c r="E2640" t="s">
        <v>420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427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427</v>
      </c>
      <c r="E2642" t="s">
        <v>427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424</v>
      </c>
      <c r="E2651" t="s">
        <v>424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420</v>
      </c>
      <c r="E2654" t="s">
        <v>420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427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427</v>
      </c>
      <c r="E2661" t="s">
        <v>427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419</v>
      </c>
      <c r="E2662" t="s">
        <v>419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421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427</v>
      </c>
      <c r="E2669" t="s">
        <v>427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419</v>
      </c>
      <c r="E2671" t="s">
        <v>419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419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419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549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419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421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421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421</v>
      </c>
      <c r="E2683" t="s">
        <v>421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420</v>
      </c>
      <c r="E2685" t="s">
        <v>420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423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419</v>
      </c>
      <c r="E2689" t="s">
        <v>419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419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549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420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475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421</v>
      </c>
      <c r="E2699" t="s">
        <v>421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550</v>
      </c>
      <c r="E2701" t="s">
        <v>550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425</v>
      </c>
      <c r="E2702" t="s">
        <v>425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420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420</v>
      </c>
      <c r="E2704" t="s">
        <v>420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427</v>
      </c>
      <c r="E2705" t="s">
        <v>427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419</v>
      </c>
      <c r="E2708" t="s">
        <v>419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420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421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421</v>
      </c>
      <c r="E2717" t="s">
        <v>421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550</v>
      </c>
      <c r="E2718" t="s">
        <v>550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420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420</v>
      </c>
      <c r="E2720" t="s">
        <v>420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420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425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420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421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421</v>
      </c>
      <c r="E2728" t="s">
        <v>421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550</v>
      </c>
      <c r="E2729" t="s">
        <v>550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425</v>
      </c>
      <c r="E2730" t="s">
        <v>425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420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420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420</v>
      </c>
      <c r="E2733" t="s">
        <v>420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419</v>
      </c>
      <c r="E2734" t="s">
        <v>419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421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425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420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549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420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421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421</v>
      </c>
      <c r="E2747" t="s">
        <v>421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550</v>
      </c>
      <c r="E2748" t="s">
        <v>550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425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425</v>
      </c>
      <c r="E2750" t="s">
        <v>425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420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420</v>
      </c>
      <c r="E2752" t="s">
        <v>420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475</v>
      </c>
      <c r="E2753" t="s">
        <v>420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427</v>
      </c>
      <c r="E2754" t="s">
        <v>427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427</v>
      </c>
      <c r="E2776" t="s">
        <v>427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419</v>
      </c>
      <c r="E2777" t="s">
        <v>419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419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421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420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420</v>
      </c>
      <c r="E2787" t="s">
        <v>420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475</v>
      </c>
      <c r="E2788" t="s">
        <v>475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419</v>
      </c>
      <c r="E2791" t="s">
        <v>419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419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419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420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427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423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421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421</v>
      </c>
      <c r="E2802" t="s">
        <v>421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420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550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420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420</v>
      </c>
      <c r="E2808" t="s">
        <v>420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475</v>
      </c>
      <c r="E2809" t="s">
        <v>475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427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427</v>
      </c>
      <c r="E2811" t="s">
        <v>427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419</v>
      </c>
      <c r="E2813" t="s">
        <v>419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419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419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421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420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427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421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421</v>
      </c>
      <c r="E2826" t="s">
        <v>421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550</v>
      </c>
      <c r="E2829" t="s">
        <v>550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425</v>
      </c>
      <c r="E2830" t="s">
        <v>425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420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420</v>
      </c>
      <c r="E2832" t="s">
        <v>420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427</v>
      </c>
      <c r="E2833" t="s">
        <v>427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423</v>
      </c>
      <c r="E2835" t="s">
        <v>423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419</v>
      </c>
      <c r="E2837" t="s">
        <v>419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421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550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420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421</v>
      </c>
      <c r="E2846" t="s">
        <v>421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550</v>
      </c>
      <c r="E2849" t="s">
        <v>550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422</v>
      </c>
      <c r="E2850" t="s">
        <v>422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425</v>
      </c>
      <c r="E2851" t="s">
        <v>425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420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420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420</v>
      </c>
      <c r="E2854" t="s">
        <v>420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427</v>
      </c>
      <c r="E2855" t="s">
        <v>427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549</v>
      </c>
      <c r="E2857" t="s">
        <v>549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419</v>
      </c>
      <c r="E2858" t="s">
        <v>419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421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420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421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420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421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421</v>
      </c>
      <c r="E2869" t="s">
        <v>421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550</v>
      </c>
      <c r="E2871" t="s">
        <v>550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422</v>
      </c>
      <c r="E2872" t="s">
        <v>422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425</v>
      </c>
      <c r="E2873" t="s">
        <v>425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420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420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420</v>
      </c>
      <c r="E2876" t="s">
        <v>420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427</v>
      </c>
      <c r="E2877" t="s">
        <v>427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423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419</v>
      </c>
      <c r="E2880" t="s">
        <v>419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549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421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420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421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550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425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420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427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421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421</v>
      </c>
      <c r="E2896" t="s">
        <v>421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550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550</v>
      </c>
      <c r="E2900" t="s">
        <v>550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422</v>
      </c>
      <c r="E2901" t="s">
        <v>422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425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425</v>
      </c>
      <c r="E2903" t="s">
        <v>425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420</v>
      </c>
      <c r="E2904" t="s">
        <v>419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420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420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420</v>
      </c>
      <c r="E2907" t="s">
        <v>420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427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427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427</v>
      </c>
      <c r="E2910" t="s">
        <v>427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419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427</v>
      </c>
      <c r="E2932" t="s">
        <v>427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549</v>
      </c>
      <c r="E2934" t="s">
        <v>549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419</v>
      </c>
      <c r="E2935" t="s">
        <v>419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419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419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420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421</v>
      </c>
      <c r="E2944" t="s">
        <v>421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420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420</v>
      </c>
      <c r="E2949" t="s">
        <v>420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475</v>
      </c>
      <c r="E2950" t="s">
        <v>475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427</v>
      </c>
      <c r="E2951" t="s">
        <v>427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423</v>
      </c>
      <c r="E2953" t="s">
        <v>423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419</v>
      </c>
      <c r="E2954" t="s">
        <v>419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419</v>
      </c>
      <c r="E2955" t="s">
        <v>550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419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421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421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420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427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421</v>
      </c>
      <c r="E2968" t="s">
        <v>421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550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550</v>
      </c>
      <c r="E2972" t="s">
        <v>550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420</v>
      </c>
      <c r="E2973" t="s">
        <v>420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427</v>
      </c>
      <c r="E2974" t="s">
        <v>427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549</v>
      </c>
      <c r="E2977" t="s">
        <v>549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419</v>
      </c>
      <c r="E2978" t="s">
        <v>419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419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421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421</v>
      </c>
      <c r="E2986" t="s">
        <v>421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550</v>
      </c>
      <c r="E2988" t="s">
        <v>550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420</v>
      </c>
      <c r="E2989" t="s">
        <v>420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419</v>
      </c>
      <c r="E2991" t="s">
        <v>419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419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420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419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421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421</v>
      </c>
      <c r="E3000" t="s">
        <v>421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550</v>
      </c>
      <c r="E3002" t="s">
        <v>550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420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420</v>
      </c>
      <c r="E3004" t="s">
        <v>420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427</v>
      </c>
      <c r="E3005" t="s">
        <v>427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549</v>
      </c>
      <c r="E3007" t="s">
        <v>549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419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421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420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421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421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421</v>
      </c>
      <c r="E3018" t="s">
        <v>421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550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550</v>
      </c>
      <c r="E3021" t="s">
        <v>550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420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420</v>
      </c>
      <c r="E3023" t="s">
        <v>420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420</v>
      </c>
      <c r="E3024" t="s">
        <v>475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427</v>
      </c>
      <c r="E3025" t="s">
        <v>421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424</v>
      </c>
      <c r="E3028" t="s">
        <v>477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419</v>
      </c>
      <c r="E3036" t="s">
        <v>419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420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420</v>
      </c>
      <c r="E3042" t="s">
        <v>420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419</v>
      </c>
      <c r="E3044" t="s">
        <v>419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419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419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420</v>
      </c>
      <c r="E3052" t="s">
        <v>420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419</v>
      </c>
      <c r="E3054" t="s">
        <v>419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419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419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419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419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420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421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550</v>
      </c>
      <c r="E3067" t="s">
        <v>550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422</v>
      </c>
      <c r="E3068" t="s">
        <v>422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420</v>
      </c>
      <c r="E3069" t="s">
        <v>420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427</v>
      </c>
      <c r="E3070" t="s">
        <v>427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419</v>
      </c>
      <c r="E3072" t="s">
        <v>419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419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419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421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425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420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550</v>
      </c>
      <c r="E3084" t="s">
        <v>550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425</v>
      </c>
      <c r="E3085" t="s">
        <v>425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420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420</v>
      </c>
      <c r="E3087" t="s">
        <v>420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427</v>
      </c>
      <c r="E3088" t="s">
        <v>427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423</v>
      </c>
      <c r="E3090" t="s">
        <v>423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549</v>
      </c>
      <c r="E3091" t="s">
        <v>549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419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420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421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420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550</v>
      </c>
      <c r="E3102" t="s">
        <v>550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425</v>
      </c>
      <c r="E3103" t="s">
        <v>422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425</v>
      </c>
      <c r="E3104" t="s">
        <v>425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420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420</v>
      </c>
      <c r="E3106" t="s">
        <v>420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427</v>
      </c>
      <c r="E3107" t="s">
        <v>427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419</v>
      </c>
      <c r="E3110" t="s">
        <v>419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420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420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421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421</v>
      </c>
      <c r="E3118" t="s">
        <v>421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550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550</v>
      </c>
      <c r="E3120" t="s">
        <v>550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422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422</v>
      </c>
      <c r="E3122" t="s">
        <v>422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425</v>
      </c>
      <c r="E3123" t="s">
        <v>425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420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420</v>
      </c>
      <c r="E3125" t="s">
        <v>420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427</v>
      </c>
      <c r="E3126" t="s">
        <v>420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427</v>
      </c>
      <c r="E3127" t="s">
        <v>427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419</v>
      </c>
      <c r="E3129" t="s">
        <v>419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425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420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421</v>
      </c>
      <c r="E3138" t="s">
        <v>421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550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550</v>
      </c>
      <c r="E3142" t="s">
        <v>550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422</v>
      </c>
      <c r="E3143" t="s">
        <v>422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425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425</v>
      </c>
      <c r="E3145" t="s">
        <v>425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420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420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420</v>
      </c>
      <c r="E3148" t="s">
        <v>420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427</v>
      </c>
      <c r="E3149" t="s">
        <v>427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419</v>
      </c>
      <c r="E3151" t="s">
        <v>419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427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421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427</v>
      </c>
      <c r="E3165" t="s">
        <v>427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419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427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419</v>
      </c>
      <c r="E3175" t="s">
        <v>419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475</v>
      </c>
      <c r="E3181" t="s">
        <v>475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419</v>
      </c>
      <c r="E3184" t="s">
        <v>419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419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419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419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419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419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421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420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421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550</v>
      </c>
      <c r="E3201" t="s">
        <v>550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420</v>
      </c>
      <c r="E3202" t="s">
        <v>420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475</v>
      </c>
      <c r="E3203" t="s">
        <v>475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427</v>
      </c>
      <c r="E3204" t="s">
        <v>427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423</v>
      </c>
      <c r="E3207" t="s">
        <v>423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419</v>
      </c>
      <c r="E3209" t="s">
        <v>419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419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420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421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420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427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421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421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421</v>
      </c>
      <c r="E3223" t="s">
        <v>421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550</v>
      </c>
      <c r="E3225" t="s">
        <v>550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420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420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420</v>
      </c>
      <c r="E3228" t="s">
        <v>425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420</v>
      </c>
      <c r="E3229" t="s">
        <v>420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475</v>
      </c>
      <c r="E3230" t="s">
        <v>475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423</v>
      </c>
      <c r="E3232" t="s">
        <v>423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419</v>
      </c>
      <c r="E3233" t="s">
        <v>419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419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419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419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420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419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420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421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421</v>
      </c>
      <c r="E3247" t="s">
        <v>421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550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550</v>
      </c>
      <c r="E3250" t="s">
        <v>550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425</v>
      </c>
      <c r="E3251" t="s">
        <v>425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420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420</v>
      </c>
      <c r="E3253" t="s">
        <v>550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420</v>
      </c>
      <c r="E3254" t="s">
        <v>420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420</v>
      </c>
      <c r="E3255" t="s">
        <v>475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427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427</v>
      </c>
      <c r="E3257" t="s">
        <v>427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423</v>
      </c>
      <c r="E3259" t="s">
        <v>423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419</v>
      </c>
      <c r="E3260" t="s">
        <v>419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420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427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550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420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421</v>
      </c>
      <c r="E3270" t="s">
        <v>421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550</v>
      </c>
      <c r="E3271" t="s">
        <v>550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422</v>
      </c>
      <c r="E3272" t="s">
        <v>422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425</v>
      </c>
      <c r="E3273" t="s">
        <v>425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420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420</v>
      </c>
      <c r="E3275" t="s">
        <v>420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420</v>
      </c>
      <c r="E3276" t="s">
        <v>475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427</v>
      </c>
      <c r="E3277" t="s">
        <v>427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419</v>
      </c>
      <c r="E3279" t="s">
        <v>419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421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550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420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420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421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421</v>
      </c>
      <c r="E3291" t="s">
        <v>421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550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550</v>
      </c>
      <c r="E3294" t="s">
        <v>550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422</v>
      </c>
      <c r="E3295" t="s">
        <v>422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420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420</v>
      </c>
      <c r="E3297" t="s">
        <v>550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420</v>
      </c>
      <c r="E3298" t="s">
        <v>420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427</v>
      </c>
      <c r="E3299" t="s">
        <v>427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419</v>
      </c>
      <c r="E3301" t="s">
        <v>419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427</v>
      </c>
      <c r="E3308" t="s">
        <v>427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424</v>
      </c>
      <c r="E3311" t="s">
        <v>424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423</v>
      </c>
      <c r="E3316" t="s">
        <v>423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419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419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421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475</v>
      </c>
      <c r="E3335" t="s">
        <v>475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419</v>
      </c>
      <c r="E3338" t="s">
        <v>419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419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421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422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420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420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420</v>
      </c>
      <c r="E3351" t="s">
        <v>420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419</v>
      </c>
      <c r="E3355" t="s">
        <v>419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419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419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419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421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421</v>
      </c>
      <c r="E3366" t="s">
        <v>421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550</v>
      </c>
      <c r="E3369" t="s">
        <v>550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422</v>
      </c>
      <c r="E3370" t="s">
        <v>422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420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420</v>
      </c>
      <c r="E3372" t="s">
        <v>420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427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419</v>
      </c>
      <c r="E3376" t="s">
        <v>419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550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419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421</v>
      </c>
      <c r="E3386" t="s">
        <v>421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550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550</v>
      </c>
      <c r="E3389" t="s">
        <v>550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425</v>
      </c>
      <c r="E3390" t="s">
        <v>425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420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420</v>
      </c>
      <c r="E3392" t="s">
        <v>420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427</v>
      </c>
      <c r="E3393" t="s">
        <v>427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423</v>
      </c>
      <c r="E3395" t="s">
        <v>423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549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421</v>
      </c>
      <c r="E3401" t="s">
        <v>421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550</v>
      </c>
      <c r="E3403" t="s">
        <v>550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422</v>
      </c>
      <c r="E3404" t="s">
        <v>422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420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420</v>
      </c>
      <c r="E3406" t="s">
        <v>420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427</v>
      </c>
      <c r="E3407" t="s">
        <v>427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549</v>
      </c>
      <c r="E3409" t="s">
        <v>549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419</v>
      </c>
      <c r="E3410" t="s">
        <v>419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419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420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475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421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421</v>
      </c>
      <c r="E3421" t="s">
        <v>421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550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550</v>
      </c>
      <c r="E3425" t="s">
        <v>550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422</v>
      </c>
      <c r="E3426" t="s">
        <v>422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420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420</v>
      </c>
      <c r="E3428" t="s">
        <v>420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427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427</v>
      </c>
      <c r="E3430" t="s">
        <v>427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2023-03-09T16:32:30Z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295681238174438</vt:r8>
  </property>
</Properties>
</file>