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Git_TIMES Models\Irish-TIMES-model\SuppXLS\"/>
    </mc:Choice>
  </mc:AlternateContent>
  <xr:revisionPtr revIDLastSave="0" documentId="13_ncr:1_{EEDA600E-DAF5-49B0-8ED6-078BB9AEBC63}" xr6:coauthVersionLast="45" xr6:coauthVersionMax="47" xr10:uidLastSave="{00000000-0000-0000-0000-000000000000}"/>
  <bookViews>
    <workbookView xWindow="-60" yWindow="-16320" windowWidth="29040" windowHeight="15840" activeTab="5" xr2:uid="{39DC52AD-7AD8-48BE-9D85-AA1C40791A2D}"/>
  </bookViews>
  <sheets>
    <sheet name="Cover" sheetId="6" r:id="rId1"/>
    <sheet name="Regions" sheetId="2" r:id="rId2"/>
    <sheet name="SUP" sheetId="7" r:id="rId3"/>
    <sheet name="PWR" sheetId="4" r:id="rId4"/>
    <sheet name="RSD" sheetId="8" r:id="rId5"/>
    <sheet name="SRV" sheetId="5" r:id="rId6"/>
    <sheet name="TRA" sheetId="1" r:id="rId7"/>
  </sheets>
  <definedNames>
    <definedName name="__123Graph_AEUMILKPN" localSheetId="0" hidden="1">#REF!</definedName>
    <definedName name="__123Graph_AEUMILKPN" localSheetId="3" hidden="1">#REF!</definedName>
    <definedName name="__123Graph_AEUMILKPN" localSheetId="4" hidden="1">#REF!</definedName>
    <definedName name="__123Graph_AEUMILKPN" localSheetId="5" hidden="1">#REF!</definedName>
    <definedName name="__123Graph_AEUMILKPN" localSheetId="2" hidden="1">#REF!</definedName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Regression_Y" localSheetId="3" hidden="1">#REF!</definedName>
    <definedName name="_Regression_Y" localSheetId="4" hidden="1">#REF!</definedName>
    <definedName name="_Regression_Y" localSheetId="5" hidden="1">#REF!</definedName>
    <definedName name="_Regression_Y" localSheetId="2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6" i="8" l="1"/>
  <c r="H39" i="8" l="1"/>
  <c r="H38" i="8"/>
  <c r="G37" i="8"/>
  <c r="F37" i="8"/>
  <c r="B19" i="8" l="1"/>
  <c r="J19" i="8" l="1"/>
  <c r="L19" i="8"/>
  <c r="N19" i="8"/>
  <c r="J13" i="8" l="1"/>
  <c r="B13" i="8" l="1"/>
  <c r="N13" i="8" l="1"/>
  <c r="N16" i="8" l="1"/>
  <c r="B16" i="8"/>
  <c r="J9" i="8" l="1"/>
  <c r="B9" i="8"/>
  <c r="B11" i="8" l="1"/>
  <c r="B14" i="8"/>
  <c r="B9" i="5" l="1"/>
  <c r="H29" i="5" l="1"/>
  <c r="J16" i="8" l="1"/>
  <c r="B10" i="8" l="1"/>
  <c r="K15" i="4" l="1"/>
  <c r="K13" i="4"/>
  <c r="K14" i="4"/>
  <c r="I13" i="4"/>
  <c r="I14" i="4"/>
  <c r="G13" i="4"/>
  <c r="G14" i="4"/>
  <c r="B13" i="4"/>
  <c r="B14" i="4"/>
  <c r="B15" i="4" l="1"/>
  <c r="B11" i="5" l="1"/>
  <c r="B12" i="4"/>
  <c r="B17" i="8" l="1"/>
  <c r="K12" i="4" l="1"/>
  <c r="G12" i="4"/>
  <c r="I12" i="4"/>
  <c r="G15" i="4" l="1"/>
  <c r="I15" i="4"/>
  <c r="L7" i="8" l="1"/>
  <c r="J10" i="8" l="1"/>
  <c r="J8" i="5" l="1"/>
  <c r="L6" i="8" l="1"/>
  <c r="J6" i="8"/>
  <c r="N14" i="5" l="1"/>
  <c r="L14" i="5"/>
  <c r="J14" i="5"/>
  <c r="B14" i="5"/>
  <c r="J13" i="5" l="1"/>
  <c r="J12" i="5"/>
  <c r="B13" i="5"/>
  <c r="B12" i="5"/>
  <c r="L13" i="5"/>
  <c r="L12" i="5"/>
  <c r="N12" i="5"/>
  <c r="N13" i="5"/>
  <c r="J11" i="5" l="1"/>
  <c r="L11" i="5"/>
  <c r="N11" i="5"/>
  <c r="J18" i="8" l="1"/>
  <c r="J7" i="8" l="1"/>
  <c r="J17" i="8" l="1"/>
  <c r="L18" i="8" l="1"/>
  <c r="L17" i="8"/>
  <c r="N18" i="8"/>
  <c r="N17" i="8"/>
  <c r="B18" i="8"/>
  <c r="G16" i="7" l="1"/>
  <c r="F16" i="7"/>
  <c r="G27" i="5"/>
  <c r="F27" i="5"/>
  <c r="G17" i="7"/>
  <c r="H28" i="5"/>
  <c r="J12" i="8" l="1"/>
  <c r="L12" i="8"/>
  <c r="N12" i="8"/>
  <c r="L13" i="8"/>
  <c r="J14" i="8"/>
  <c r="L14" i="8"/>
  <c r="N14" i="8"/>
  <c r="J15" i="8"/>
  <c r="L15" i="8"/>
  <c r="N15" i="8"/>
  <c r="L16" i="8"/>
  <c r="B7" i="8"/>
  <c r="B8" i="8"/>
  <c r="B12" i="8"/>
  <c r="B15" i="8"/>
  <c r="N7" i="8"/>
  <c r="N11" i="8" l="1"/>
  <c r="L11" i="8"/>
  <c r="J11" i="8"/>
  <c r="N10" i="8"/>
  <c r="L10" i="8"/>
  <c r="N9" i="8"/>
  <c r="L9" i="8"/>
  <c r="N8" i="8"/>
  <c r="L8" i="8"/>
  <c r="J8" i="8"/>
  <c r="N6" i="8"/>
  <c r="B10" i="5"/>
  <c r="J10" i="5"/>
  <c r="L10" i="5"/>
  <c r="N10" i="5"/>
  <c r="L9" i="5" l="1"/>
  <c r="N9" i="5"/>
  <c r="B8" i="5" l="1"/>
  <c r="L8" i="5"/>
  <c r="N8" i="5"/>
  <c r="K6" i="7"/>
  <c r="I6" i="7"/>
  <c r="G6" i="7"/>
  <c r="B6" i="7"/>
  <c r="B2" i="7"/>
  <c r="G33" i="4"/>
  <c r="G34" i="4"/>
  <c r="G32" i="4"/>
  <c r="K9" i="4"/>
  <c r="B9" i="4"/>
  <c r="G9" i="4"/>
  <c r="I9" i="4"/>
  <c r="B10" i="4"/>
  <c r="G10" i="4"/>
  <c r="I10" i="4"/>
  <c r="K10" i="4"/>
  <c r="B11" i="4"/>
  <c r="G11" i="4"/>
  <c r="I11" i="4"/>
  <c r="K11" i="4"/>
  <c r="L19" i="1" l="1"/>
  <c r="L20" i="1"/>
  <c r="L21" i="1"/>
  <c r="L22" i="1"/>
  <c r="L23" i="1"/>
  <c r="L18" i="1"/>
  <c r="L14" i="1"/>
  <c r="L15" i="1"/>
  <c r="L16" i="1"/>
  <c r="L17" i="1"/>
  <c r="L13" i="1"/>
  <c r="L10" i="1"/>
  <c r="L11" i="1"/>
  <c r="L12" i="1"/>
  <c r="L9" i="1"/>
  <c r="L6" i="1"/>
  <c r="L7" i="1"/>
  <c r="L8" i="1"/>
  <c r="B53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N7" i="5"/>
  <c r="L7" i="5"/>
  <c r="J7" i="5"/>
  <c r="B7" i="5"/>
  <c r="N6" i="5"/>
  <c r="L6" i="5"/>
  <c r="J6" i="5"/>
  <c r="B6" i="5"/>
  <c r="J6" i="1" l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B2" i="5"/>
  <c r="K7" i="4"/>
  <c r="K8" i="4"/>
  <c r="K6" i="4"/>
  <c r="B8" i="4"/>
  <c r="B6" i="4"/>
  <c r="B7" i="4"/>
  <c r="I8" i="4"/>
  <c r="G8" i="4"/>
  <c r="I7" i="4"/>
  <c r="G7" i="4"/>
  <c r="I6" i="4"/>
  <c r="G6" i="4"/>
  <c r="P53" i="1"/>
  <c r="P52" i="1"/>
  <c r="P51" i="1"/>
  <c r="P50" i="1"/>
  <c r="B50" i="1"/>
  <c r="C50" i="1"/>
  <c r="D50" i="1" s="1"/>
  <c r="D7" i="2"/>
  <c r="C7" i="2"/>
  <c r="D6" i="2"/>
  <c r="C6" i="2"/>
  <c r="AD5" i="2"/>
  <c r="AD7" i="2" s="1"/>
  <c r="AC5" i="2"/>
  <c r="AC7" i="2" s="1"/>
  <c r="AB5" i="2"/>
  <c r="AB7" i="2" s="1"/>
  <c r="AA5" i="2"/>
  <c r="AA7" i="2" s="1"/>
  <c r="Z5" i="2"/>
  <c r="Z6" i="2" s="1"/>
  <c r="Y5" i="2"/>
  <c r="Y6" i="2" s="1"/>
  <c r="X5" i="2"/>
  <c r="X6" i="2" s="1"/>
  <c r="W5" i="2"/>
  <c r="W3" i="2" s="1" a="1"/>
  <c r="W3" i="2" s="1"/>
  <c r="V5" i="2"/>
  <c r="V7" i="2" s="1"/>
  <c r="U5" i="2"/>
  <c r="U7" i="2" s="1"/>
  <c r="T5" i="2"/>
  <c r="T7" i="2" s="1"/>
  <c r="S5" i="2"/>
  <c r="S7" i="2" s="1"/>
  <c r="R5" i="2"/>
  <c r="R6" i="2" s="1"/>
  <c r="Q5" i="2"/>
  <c r="Q6" i="2" s="1"/>
  <c r="P5" i="2"/>
  <c r="P6" i="2" s="1"/>
  <c r="O5" i="2"/>
  <c r="O3" i="2" s="1" a="1"/>
  <c r="O3" i="2" s="1"/>
  <c r="N5" i="2"/>
  <c r="N7" i="2" s="1"/>
  <c r="M5" i="2"/>
  <c r="M7" i="2" s="1"/>
  <c r="L5" i="2"/>
  <c r="L7" i="2" s="1"/>
  <c r="K5" i="2"/>
  <c r="K7" i="2" s="1"/>
  <c r="J5" i="2"/>
  <c r="J6" i="2" s="1"/>
  <c r="I5" i="2"/>
  <c r="I6" i="2" s="1"/>
  <c r="H5" i="2"/>
  <c r="H6" i="2" s="1"/>
  <c r="G5" i="2"/>
  <c r="G6" i="2" s="1"/>
  <c r="F5" i="2"/>
  <c r="F7" i="2" s="1"/>
  <c r="E5" i="2"/>
  <c r="E7" i="2" s="1"/>
  <c r="AD3" i="2" a="1"/>
  <c r="AD3" i="2" s="1"/>
  <c r="AA3" i="2" a="1"/>
  <c r="AA3" i="2" s="1"/>
  <c r="Z3" i="2" a="1"/>
  <c r="Z3" i="2" s="1"/>
  <c r="Y3" i="2" a="1"/>
  <c r="Y3" i="2" s="1"/>
  <c r="V3" i="2" a="1"/>
  <c r="V3" i="2" s="1"/>
  <c r="U3" i="2" a="1"/>
  <c r="U3" i="2" s="1"/>
  <c r="S3" i="2" a="1"/>
  <c r="S3" i="2" s="1"/>
  <c r="R3" i="2" a="1"/>
  <c r="R3" i="2" s="1"/>
  <c r="Q3" i="2" a="1"/>
  <c r="Q3" i="2" s="1"/>
  <c r="P3" i="2" a="1"/>
  <c r="P3" i="2" s="1"/>
  <c r="N3" i="2" a="1"/>
  <c r="N3" i="2" s="1"/>
  <c r="M3" i="2" a="1"/>
  <c r="M3" i="2" s="1"/>
  <c r="L3" i="2" a="1"/>
  <c r="L3" i="2" s="1"/>
  <c r="K3" i="2" a="1"/>
  <c r="K3" i="2" s="1"/>
  <c r="J3" i="2" a="1"/>
  <c r="J3" i="2" s="1"/>
  <c r="I3" i="2" a="1"/>
  <c r="I3" i="2" s="1"/>
  <c r="H3" i="2" a="1"/>
  <c r="H3" i="2" s="1"/>
  <c r="G3" i="2" a="1"/>
  <c r="G3" i="2" s="1"/>
  <c r="F3" i="2" a="1"/>
  <c r="F3" i="2" s="1"/>
  <c r="E3" i="2" a="1"/>
  <c r="E3" i="2" s="1"/>
  <c r="D3" i="2" a="1"/>
  <c r="D3" i="2" s="1"/>
  <c r="B2" i="4" s="1"/>
  <c r="C3" i="2" a="1"/>
  <c r="C3" i="2" s="1"/>
  <c r="X3" i="2" l="1" a="1"/>
  <c r="X3" i="2" s="1"/>
  <c r="K6" i="2"/>
  <c r="AB3" i="2" a="1"/>
  <c r="AB3" i="2" s="1"/>
  <c r="S6" i="2"/>
  <c r="T3" i="2" a="1"/>
  <c r="T3" i="2" s="1"/>
  <c r="B2" i="1" s="1"/>
  <c r="AC3" i="2" a="1"/>
  <c r="AC3" i="2" s="1"/>
  <c r="AA6" i="2"/>
  <c r="G7" i="2"/>
  <c r="O7" i="2"/>
  <c r="W7" i="2"/>
  <c r="L6" i="2"/>
  <c r="T6" i="2"/>
  <c r="AB6" i="2"/>
  <c r="H7" i="2"/>
  <c r="P7" i="2"/>
  <c r="X7" i="2"/>
  <c r="E6" i="2"/>
  <c r="M6" i="2"/>
  <c r="U6" i="2"/>
  <c r="AC6" i="2"/>
  <c r="I7" i="2"/>
  <c r="Q7" i="2"/>
  <c r="Y7" i="2"/>
  <c r="F6" i="2"/>
  <c r="N6" i="2"/>
  <c r="V6" i="2"/>
  <c r="AD6" i="2"/>
  <c r="J7" i="2"/>
  <c r="R7" i="2"/>
  <c r="Z7" i="2"/>
  <c r="O6" i="2"/>
  <c r="W6" i="2"/>
  <c r="B2" i="8" l="1"/>
  <c r="C53" i="1"/>
  <c r="B52" i="1" l="1"/>
  <c r="C52" i="1" s="1"/>
  <c r="B51" i="1"/>
  <c r="C51" i="1" s="1"/>
  <c r="E50" i="1"/>
  <c r="F50" i="1" s="1"/>
  <c r="G50" i="1" s="1"/>
  <c r="H50" i="1" s="1"/>
  <c r="I50" i="1" s="1"/>
  <c r="J50" i="1" s="1"/>
  <c r="K50" i="1" s="1"/>
  <c r="L50" i="1" s="1"/>
  <c r="M50" i="1" s="1"/>
  <c r="N50" i="1" s="1"/>
  <c r="O50" i="1" s="1"/>
  <c r="E30" i="1"/>
  <c r="E31" i="1"/>
  <c r="E32" i="1"/>
  <c r="E33" i="1"/>
  <c r="E34" i="1"/>
  <c r="E35" i="1"/>
  <c r="E37" i="1"/>
  <c r="E38" i="1"/>
  <c r="E39" i="1"/>
  <c r="E36" i="1"/>
  <c r="D52" i="1" l="1"/>
  <c r="E52" i="1" s="1"/>
  <c r="F52" i="1" s="1"/>
  <c r="G52" i="1" s="1"/>
  <c r="H52" i="1" s="1"/>
  <c r="I52" i="1" s="1"/>
  <c r="J52" i="1" s="1"/>
  <c r="D51" i="1"/>
  <c r="E51" i="1" s="1"/>
  <c r="F51" i="1" s="1"/>
  <c r="G51" i="1" s="1"/>
  <c r="H51" i="1" s="1"/>
  <c r="I51" i="1" s="1"/>
  <c r="J51" i="1" s="1"/>
  <c r="D53" i="1"/>
  <c r="E53" i="1" s="1"/>
  <c r="F53" i="1" s="1"/>
  <c r="G53" i="1" s="1"/>
  <c r="H53" i="1" s="1"/>
  <c r="I53" i="1" l="1"/>
  <c r="J53" i="1" s="1"/>
  <c r="K53" i="1" s="1"/>
  <c r="L53" i="1" s="1"/>
  <c r="M53" i="1" s="1"/>
  <c r="N53" i="1" s="1"/>
  <c r="O53" i="1" s="1"/>
  <c r="K51" i="1"/>
  <c r="L51" i="1" s="1"/>
  <c r="M51" i="1" s="1"/>
  <c r="N51" i="1" s="1"/>
  <c r="O51" i="1" s="1"/>
  <c r="K52" i="1"/>
  <c r="L52" i="1" s="1"/>
  <c r="M52" i="1" s="1"/>
  <c r="N52" i="1" s="1"/>
  <c r="O5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<sst xmlns="http://schemas.openxmlformats.org/spreadsheetml/2006/main" count="528" uniqueCount="236">
  <si>
    <t>~UC_Sets: T_E:</t>
  </si>
  <si>
    <t>UC_N</t>
  </si>
  <si>
    <t>UC_ATTR</t>
  </si>
  <si>
    <t>Pset_Set</t>
  </si>
  <si>
    <t>Pset_CI</t>
  </si>
  <si>
    <t>Pset_CO</t>
  </si>
  <si>
    <t>Pset_PN</t>
  </si>
  <si>
    <t>Year</t>
  </si>
  <si>
    <t>LimType</t>
  </si>
  <si>
    <t>UC_CAP</t>
  </si>
  <si>
    <t>UC_CAP~RHS</t>
  </si>
  <si>
    <t>UC_RHSRTS~0</t>
  </si>
  <si>
    <t>UC_Desc</t>
  </si>
  <si>
    <t>CAP, GROWTH</t>
  </si>
  <si>
    <t>DMD</t>
  </si>
  <si>
    <t>LO</t>
  </si>
  <si>
    <t>~UC_T</t>
  </si>
  <si>
    <t>Large PSVs</t>
  </si>
  <si>
    <t>Small PSVs</t>
  </si>
  <si>
    <t>Motor cycles</t>
  </si>
  <si>
    <t>Private cars</t>
  </si>
  <si>
    <t>Over 12.5 tonnes</t>
  </si>
  <si>
    <t>10 - 12.5 tonnes</t>
  </si>
  <si>
    <t>7.5 - 10 tonnes</t>
  </si>
  <si>
    <t>5 - 7.5 tonnes</t>
  </si>
  <si>
    <t>2 - 5 tonnes</t>
  </si>
  <si>
    <t>0 - 2 tonnes</t>
  </si>
  <si>
    <t>Freight</t>
  </si>
  <si>
    <t>CSO, Table THA17</t>
  </si>
  <si>
    <t>New registered vehicles and total number of vehicles in 2019</t>
  </si>
  <si>
    <t>New</t>
  </si>
  <si>
    <t>Total</t>
  </si>
  <si>
    <t>Proportion</t>
  </si>
  <si>
    <t>Growth rate</t>
  </si>
  <si>
    <t>New sales</t>
  </si>
  <si>
    <t>HGV</t>
  </si>
  <si>
    <t>MGV</t>
  </si>
  <si>
    <t>LGV</t>
  </si>
  <si>
    <t>PC</t>
  </si>
  <si>
    <t>T-LGT-BEV*</t>
  </si>
  <si>
    <t>T-MGT-BEV*</t>
  </si>
  <si>
    <t>T-HGT-BEV*</t>
  </si>
  <si>
    <t>T-CAR-BEV*</t>
  </si>
  <si>
    <t>UC_RHSRTS~2018</t>
  </si>
  <si>
    <t>T-CAR-PHEV*</t>
  </si>
  <si>
    <t>T-HGT-HEV*</t>
  </si>
  <si>
    <t>T-MGT-HEV*</t>
  </si>
  <si>
    <t>T-HGT-FCV*</t>
  </si>
  <si>
    <t>T-MGT-FCV*</t>
  </si>
  <si>
    <t>T-CAR-FCV*</t>
  </si>
  <si>
    <t>T-LGT-PHEV*</t>
  </si>
  <si>
    <t>T-LGT-FCV*</t>
  </si>
  <si>
    <t>Development</t>
  </si>
  <si>
    <t>IE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</si>
  <si>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</si>
  <si>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</si>
  <si>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</si>
  <si>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</si>
  <si>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</si>
  <si>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</si>
  <si>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</si>
  <si>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</si>
  <si>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</si>
  <si>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</si>
  <si>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</si>
  <si>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</si>
  <si>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</si>
  <si>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</si>
  <si>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</si>
  <si>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</si>
  <si>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</si>
  <si>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</si>
  <si>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</si>
  <si>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</si>
  <si>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</si>
  <si>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</si>
  <si>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</si>
  <si>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</si>
  <si>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</si>
  <si>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</si>
  <si>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</si>
  <si>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</si>
  <si>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</si>
  <si>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</si>
  <si>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</si>
  <si>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</si>
  <si>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</si>
  <si>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</si>
  <si>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</si>
  <si>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</si>
  <si>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</si>
  <si>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</si>
  <si>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</si>
  <si>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</si>
  <si>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</si>
  <si>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</si>
  <si>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</si>
  <si>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</si>
  <si>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</si>
  <si>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</si>
  <si>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</si>
  <si>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</si>
  <si>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</si>
  <si>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</si>
  <si>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</si>
  <si>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</si>
  <si>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</si>
  <si>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</si>
  <si>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</si>
  <si>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</si>
  <si>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1"/>
        <color theme="1"/>
        <rFont val="Calibri"/>
        <family val="2"/>
        <scheme val="minor"/>
      </rPr>
      <t>https://en.wikipedia.org/wiki/ISO_3166-2:IE</t>
    </r>
  </si>
  <si>
    <t>T-MGT-ICE_NG*</t>
  </si>
  <si>
    <t>T-MGT-ICE_LNG*</t>
  </si>
  <si>
    <t>T-HGT-ICE_NG*</t>
  </si>
  <si>
    <t>T-HGT-ICE_LNG*</t>
  </si>
  <si>
    <t>T-CAR-ICE_NG*</t>
  </si>
  <si>
    <t>T-LGT-ICE_NG*</t>
  </si>
  <si>
    <t>Max growth rate</t>
  </si>
  <si>
    <t>P*CCS*</t>
  </si>
  <si>
    <t>Starting value (GW)</t>
  </si>
  <si>
    <t>Seed value (% of 2018 sales)</t>
  </si>
  <si>
    <t>Total stock 2018</t>
  </si>
  <si>
    <t>P*OCE*TID*</t>
  </si>
  <si>
    <t>P*OCE*WAV*</t>
  </si>
  <si>
    <t>CCS</t>
  </si>
  <si>
    <t>Wave</t>
  </si>
  <si>
    <t>Tidal</t>
  </si>
  <si>
    <t>National</t>
  </si>
  <si>
    <t>PWR</t>
  </si>
  <si>
    <t>BEV</t>
  </si>
  <si>
    <t>PHEV</t>
  </si>
  <si>
    <t>FCV</t>
  </si>
  <si>
    <t>LGT</t>
  </si>
  <si>
    <t>MGT</t>
  </si>
  <si>
    <t>HEV</t>
  </si>
  <si>
    <t>HGT</t>
  </si>
  <si>
    <t>Playground</t>
  </si>
  <si>
    <t>Biomass</t>
  </si>
  <si>
    <t>Biogas</t>
  </si>
  <si>
    <t>SRV</t>
  </si>
  <si>
    <t>SRVBIO</t>
  </si>
  <si>
    <t>SRVBGS</t>
  </si>
  <si>
    <t>FT*</t>
  </si>
  <si>
    <t>P-TH*H2-*</t>
  </si>
  <si>
    <t>ACT, GROWTH</t>
  </si>
  <si>
    <t>UC_ACT</t>
  </si>
  <si>
    <t>UC_ACT~RHS</t>
  </si>
  <si>
    <t>CAR</t>
  </si>
  <si>
    <t>NG-ICE</t>
  </si>
  <si>
    <t>LNG-ICE</t>
  </si>
  <si>
    <t>Mode</t>
  </si>
  <si>
    <t>Type</t>
  </si>
  <si>
    <t>On/Off</t>
  </si>
  <si>
    <t>Seed Value</t>
  </si>
  <si>
    <t>P*WIN*ON*</t>
  </si>
  <si>
    <t>P*WIN*OF*</t>
  </si>
  <si>
    <t>PV</t>
  </si>
  <si>
    <t>CSP</t>
  </si>
  <si>
    <t>P*SOL*PV*</t>
  </si>
  <si>
    <t>P*SOL*CSP*</t>
  </si>
  <si>
    <t>H2GT</t>
  </si>
  <si>
    <t>TIMES-Ireland Model</t>
  </si>
  <si>
    <t>Document type: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</si>
  <si>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</si>
  <si>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</si>
  <si>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</si>
  <si>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</si>
  <si>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</si>
  <si>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</si>
  <si>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</si>
  <si>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</si>
  <si>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</si>
  <si>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</si>
  <si>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Scenario</t>
  </si>
  <si>
    <t>Vahid Aryanpur (UCC, vahid.aryanpur@ucc.ie)</t>
  </si>
  <si>
    <t>Olexandr Balyk (UCC, olexandr.balyk@ucc.ie)</t>
  </si>
  <si>
    <t>Power (PWR), Transport (TRA) and Service (SRV) sectors</t>
  </si>
  <si>
    <t>Specify growth rates</t>
  </si>
  <si>
    <t>Hannah Daly (UCC, h.daly@ucc.ie)</t>
  </si>
  <si>
    <t>UC_PWR_MaxNCap_WON</t>
  </si>
  <si>
    <t>UC_PWR_MaxNCap_WOF</t>
  </si>
  <si>
    <t>UC_NCAP</t>
  </si>
  <si>
    <t>UC_RHSRTS</t>
  </si>
  <si>
    <t>PWR maximum new capacity of wind onshore</t>
  </si>
  <si>
    <t>PWR maximum new capacity of wind offshore</t>
  </si>
  <si>
    <t>UP</t>
  </si>
  <si>
    <t>SUP</t>
  </si>
  <si>
    <t>BIOGAS</t>
  </si>
  <si>
    <t>SBIORGAS*</t>
  </si>
  <si>
    <t>Starting value (PJ)</t>
  </si>
  <si>
    <t>AmbientHeat</t>
  </si>
  <si>
    <t>DistrictHeat</t>
  </si>
  <si>
    <t>Gas</t>
  </si>
  <si>
    <t>SRVGAS</t>
  </si>
  <si>
    <t>RSD</t>
  </si>
  <si>
    <t>RSDBDL</t>
  </si>
  <si>
    <t>Biodiesel</t>
  </si>
  <si>
    <t>Coal</t>
  </si>
  <si>
    <t>Peat</t>
  </si>
  <si>
    <t>Electricity</t>
  </si>
  <si>
    <t>Ethanol</t>
  </si>
  <si>
    <t>LPG</t>
  </si>
  <si>
    <t>Kerosene</t>
  </si>
  <si>
    <t>Solar</t>
  </si>
  <si>
    <t>RSDWOO</t>
  </si>
  <si>
    <t>RSDCOA</t>
  </si>
  <si>
    <t>RSDPEA</t>
  </si>
  <si>
    <t>RSDELC</t>
  </si>
  <si>
    <t>RSDETH</t>
  </si>
  <si>
    <t>RSDGAS</t>
  </si>
  <si>
    <t>RSDLPG</t>
  </si>
  <si>
    <t>RSDKER</t>
  </si>
  <si>
    <t>RSDSOL</t>
  </si>
  <si>
    <t>~TFM_INS</t>
  </si>
  <si>
    <t>TimeSlice</t>
  </si>
  <si>
    <t>Attribute</t>
  </si>
  <si>
    <t>Cset_CN</t>
  </si>
  <si>
    <t>COM_TAXNET</t>
  </si>
  <si>
    <t>SRVAHT,SRVAHT2</t>
  </si>
  <si>
    <t>RSDAHT,RSDAHT2</t>
  </si>
  <si>
    <t>BIOGAS1G,BIOGAS2G</t>
  </si>
  <si>
    <t>RSDHET*</t>
  </si>
  <si>
    <t>SRVHET*</t>
  </si>
  <si>
    <t>SRVELC</t>
  </si>
  <si>
    <t>SRVSOL</t>
  </si>
  <si>
    <t>SRVLPG</t>
  </si>
  <si>
    <t>DH_IND</t>
  </si>
  <si>
    <t>DH_SOL</t>
  </si>
  <si>
    <t>DH_SOL*</t>
  </si>
  <si>
    <t>DH_IND*</t>
  </si>
  <si>
    <t>DH_PWR</t>
  </si>
  <si>
    <t>DH_DC</t>
  </si>
  <si>
    <t>DH_PWR*</t>
  </si>
  <si>
    <t>DH_DC*</t>
  </si>
  <si>
    <t>Immersion Elec</t>
  </si>
  <si>
    <t>R-WH*ELC_N1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</si>
</sst>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(* #,##0.00_);_(* \(#,##0.00\);_(* &quot;-&quot;??_);_(@_)"/>
    <numFmt numFmtId="165" formatCode="_(* #,##0_);_(* \(#,##0\);_(* &quot;-&quot;??_);_(@_)"/>
    <numFmt numFmtId="166" formatCode="0.000"/>
    <numFmt numFmtId="167" formatCode="0.0"/>
    <numFmt numFmtId="168" formatCode="0.0%"/>
  </numFmts>
  <fonts count="20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b/>
      <sz val="10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24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indexed="12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D9D9D9"/>
        <bgColor rgb="FF000000"/>
      </patternFill>
    </fill>
    <fill>
      <patternFill patternType="solid">
        <fgColor rgb="FFFFCC0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5">
    <xf numFmtId="0" fontId="0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/>
  </cellStyleXfs>
  <cellXfs count="55">
    <xf numFmtId="0" fontId="0" fillId="0" borderId="0" xfId="0"/>
    <xf numFmtId="0" fontId="1" fillId="0" borderId="0" xfId="0" applyFont="1"/>
    <xf numFmtId="0" fontId="2" fillId="0" borderId="0" xfId="0" applyFont="1"/>
    <xf numFmtId="0" fontId="5" fillId="0" borderId="0" xfId="0" applyFont="1"/>
    <xf numFmtId="0" fontId="3" fillId="2" borderId="1" xfId="0" applyFont="1" applyFill="1" applyBorder="1"/>
    <xf numFmtId="0" fontId="0" fillId="0" borderId="1" xfId="0" applyBorder="1"/>
    <xf numFmtId="165" fontId="6" fillId="0" borderId="0" xfId="1" applyNumberFormat="1" applyFont="1"/>
    <xf numFmtId="165" fontId="6" fillId="0" borderId="1" xfId="1" applyNumberFormat="1" applyFont="1" applyBorder="1"/>
    <xf numFmtId="0" fontId="3" fillId="2" borderId="1" xfId="0" applyFont="1" applyFill="1" applyBorder="1" applyAlignment="1">
      <alignment horizontal="right"/>
    </xf>
    <xf numFmtId="9" fontId="0" fillId="0" borderId="0" xfId="2" applyFont="1"/>
    <xf numFmtId="9" fontId="0" fillId="0" borderId="1" xfId="2" applyFont="1" applyBorder="1"/>
    <xf numFmtId="9" fontId="0" fillId="0" borderId="0" xfId="0" applyNumberFormat="1"/>
    <xf numFmtId="1" fontId="0" fillId="0" borderId="0" xfId="0" applyNumberFormat="1"/>
    <xf numFmtId="165" fontId="0" fillId="0" borderId="0" xfId="0" applyNumberFormat="1"/>
    <xf numFmtId="0" fontId="3" fillId="3" borderId="1" xfId="0" applyFont="1" applyFill="1" applyBorder="1"/>
    <xf numFmtId="0" fontId="3" fillId="4" borderId="1" xfId="0" applyFont="1" applyFill="1" applyBorder="1"/>
    <xf numFmtId="166" fontId="2" fillId="0" borderId="0" xfId="0" applyNumberFormat="1" applyFont="1"/>
    <xf numFmtId="1" fontId="8" fillId="0" borderId="0" xfId="0" applyNumberFormat="1" applyFont="1"/>
    <xf numFmtId="0" fontId="2" fillId="0" borderId="1" xfId="0" applyFont="1" applyBorder="1"/>
    <xf numFmtId="166" fontId="2" fillId="0" borderId="1" xfId="0" applyNumberFormat="1" applyFont="1" applyBorder="1"/>
    <xf numFmtId="0" fontId="5" fillId="5" borderId="1" xfId="0" applyFont="1" applyFill="1" applyBorder="1" applyAlignment="1">
      <alignment horizontal="left" vertical="center"/>
    </xf>
    <xf numFmtId="0" fontId="5" fillId="5" borderId="1" xfId="0" applyFont="1" applyFill="1" applyBorder="1" applyAlignment="1" applyProtection="1">
      <alignment horizontal="left" vertical="center"/>
      <protection locked="0"/>
    </xf>
    <xf numFmtId="0" fontId="5" fillId="6" borderId="2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2" fontId="2" fillId="0" borderId="0" xfId="0" applyNumberFormat="1" applyFont="1"/>
    <xf numFmtId="2" fontId="2" fillId="0" borderId="1" xfId="0" applyNumberFormat="1" applyFont="1" applyBorder="1"/>
    <xf numFmtId="165" fontId="0" fillId="0" borderId="0" xfId="1" applyNumberFormat="1" applyFont="1"/>
    <xf numFmtId="9" fontId="2" fillId="0" borderId="0" xfId="0" applyNumberFormat="1" applyFont="1"/>
    <xf numFmtId="0" fontId="4" fillId="7" borderId="0" xfId="4" applyFont="1" applyFill="1" applyAlignment="1">
      <alignment vertical="center"/>
    </xf>
    <xf numFmtId="0" fontId="4" fillId="8" borderId="0" xfId="4" applyFont="1" applyFill="1" applyAlignment="1">
      <alignment vertical="center"/>
    </xf>
    <xf numFmtId="0" fontId="11" fillId="8" borderId="0" xfId="4" applyFont="1" applyFill="1" applyAlignment="1">
      <alignment vertical="center"/>
    </xf>
    <xf numFmtId="0" fontId="9" fillId="8" borderId="0" xfId="4" applyFont="1" applyFill="1" applyAlignment="1">
      <alignment vertical="center"/>
    </xf>
    <xf numFmtId="0" fontId="4" fillId="9" borderId="0" xfId="4" applyFont="1" applyFill="1" applyAlignment="1">
      <alignment vertical="center"/>
    </xf>
    <xf numFmtId="0" fontId="12" fillId="8" borderId="0" xfId="4" applyFont="1" applyFill="1" applyAlignment="1">
      <alignment vertical="center"/>
    </xf>
    <xf numFmtId="0" fontId="13" fillId="8" borderId="0" xfId="4" applyFont="1" applyFill="1" applyAlignment="1">
      <alignment vertical="center"/>
    </xf>
    <xf numFmtId="0" fontId="14" fillId="7" borderId="0" xfId="4" applyFont="1" applyFill="1" applyAlignment="1">
      <alignment vertical="center"/>
    </xf>
    <xf numFmtId="0" fontId="15" fillId="8" borderId="0" xfId="4" applyFont="1" applyFill="1" applyAlignment="1">
      <alignment vertical="center"/>
    </xf>
    <xf numFmtId="0" fontId="16" fillId="8" borderId="0" xfId="4" applyFont="1" applyFill="1" applyAlignment="1">
      <alignment vertical="center"/>
    </xf>
    <xf numFmtId="0" fontId="15" fillId="7" borderId="0" xfId="4" applyFont="1" applyFill="1" applyAlignment="1">
      <alignment vertical="center"/>
    </xf>
    <xf numFmtId="167" fontId="15" fillId="7" borderId="0" xfId="4" applyNumberFormat="1" applyFont="1" applyFill="1" applyAlignment="1">
      <alignment horizontal="left" vertical="center"/>
    </xf>
    <xf numFmtId="0" fontId="17" fillId="8" borderId="0" xfId="4" applyFont="1" applyFill="1" applyAlignment="1">
      <alignment vertical="center"/>
    </xf>
    <xf numFmtId="0" fontId="18" fillId="7" borderId="0" xfId="4" applyFont="1" applyFill="1" applyAlignment="1">
      <alignment vertical="center"/>
    </xf>
    <xf numFmtId="0" fontId="9" fillId="7" borderId="0" xfId="3" applyFill="1" applyAlignment="1">
      <alignment vertical="center"/>
    </xf>
    <xf numFmtId="0" fontId="19" fillId="0" borderId="0" xfId="0" applyFont="1"/>
    <xf numFmtId="0" fontId="3" fillId="0" borderId="0" xfId="0" applyFont="1" applyAlignment="1">
      <alignment horizontal="center"/>
    </xf>
    <xf numFmtId="0" fontId="3" fillId="10" borderId="2" xfId="0" applyFont="1" applyFill="1" applyBorder="1"/>
    <xf numFmtId="0" fontId="3" fillId="11" borderId="2" xfId="0" applyFont="1" applyFill="1" applyBorder="1"/>
    <xf numFmtId="0" fontId="10" fillId="10" borderId="2" xfId="0" applyFont="1" applyFill="1" applyBorder="1"/>
    <xf numFmtId="168" fontId="0" fillId="0" borderId="0" xfId="0" applyNumberFormat="1"/>
    <xf numFmtId="0" fontId="15" fillId="7" borderId="0" xfId="4" applyFont="1" applyFill="1" applyAlignment="1">
      <alignment vertical="center"/>
    </xf>
    <xf numFmtId="0" fontId="11" fillId="7" borderId="0" xfId="4" applyFont="1" applyFill="1" applyAlignment="1">
      <alignment horizontal="center" vertical="center"/>
    </xf>
    <xf numFmtId="0" fontId="9" fillId="7" borderId="0" xfId="3" applyFill="1" applyAlignment="1">
      <alignment vertical="center"/>
    </xf>
    <xf numFmtId="0" fontId="0" fillId="0" borderId="0" xfId="0" applyAlignment="1">
      <alignment horizontal="center" vertical="center"/>
    </xf>
  </cellXfs>
  <cellStyles count="5">
    <cellStyle name="Comma" xfId="1" builtinId="3"/>
    <cellStyle name="Hyperlink" xfId="3" builtinId="8"/>
    <cellStyle name="Normal" xfId="0" builtinId="0"/>
    <cellStyle name="Normal 2" xfId="4" xr:uid="{8AFBBF0B-C464-4F31-9D17-7061E47C41A1}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2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9" t="6565" r="4012" b="6338"/>
        <a:stretch/>
      </xdr:blipFill>
      <xdr:spPr>
        <a:xfrm>
          <a:off x="3628275" y="7962900"/>
          <a:ext cx="1400925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38100</xdr:colOff>
          <xdr:row>3</xdr:row>
          <xdr:rowOff>0</xdr:rowOff>
        </xdr:to>
        <xdr:sp macro="" textlink="">
          <xdr:nvSpPr>
            <xdr:cNvPr id="1025" name="Drop Dow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1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930EE-8DBF-4E65-B94E-3B7AE49D01AA}">
  <sheetPr codeName="Sheet5"/>
  <dimension ref="A1:Z99"/>
  <sheetViews>
    <sheetView showGridLines="0" zoomScaleNormal="100" workbookViewId="0">
      <selection activeCell="B20" sqref="B20:D20"/>
    </sheetView>
  </sheetViews>
  <sheetFormatPr defaultColWidth="8.85546875" defaultRowHeight="15" x14ac:dyDescent="0.25"/>
  <cols>
    <col min="1" max="4" width="21.7109375" customWidth="1"/>
    <col min="5" max="6" width="14.140625" customWidth="1"/>
    <col min="7" max="7" width="12.140625" customWidth="1"/>
    <col min="8" max="10" width="8.140625" customWidth="1"/>
    <col min="11" max="11" width="9.7109375" customWidth="1"/>
    <col min="12" max="12" width="8.140625" customWidth="1"/>
    <col min="13" max="13" width="10" customWidth="1"/>
    <col min="14" max="14" width="11.42578125" customWidth="1"/>
    <col min="15" max="15" width="13.42578125" customWidth="1"/>
  </cols>
  <sheetData>
    <row r="1" spans="1:26" x14ac:dyDescent="0.25">
      <c r="A1" s="30"/>
      <c r="B1" s="30"/>
      <c r="C1" s="30"/>
      <c r="D1" s="30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</row>
    <row r="2" spans="1:26" x14ac:dyDescent="0.25">
      <c r="A2" s="30"/>
      <c r="B2" s="30"/>
      <c r="C2" s="30"/>
      <c r="D2" s="30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</row>
    <row r="3" spans="1:26" x14ac:dyDescent="0.25">
      <c r="A3" s="30"/>
      <c r="B3" s="30"/>
      <c r="C3" s="30"/>
      <c r="D3" s="30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</row>
    <row r="4" spans="1:26" x14ac:dyDescent="0.25">
      <c r="A4" s="30"/>
      <c r="B4" s="30"/>
      <c r="C4" s="30"/>
      <c r="D4" s="30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</row>
    <row r="5" spans="1:26" x14ac:dyDescent="0.25">
      <c r="A5" s="30"/>
      <c r="B5" s="30"/>
      <c r="C5" s="30"/>
      <c r="D5" s="30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  <c r="Z5" s="31"/>
    </row>
    <row r="6" spans="1:26" x14ac:dyDescent="0.25">
      <c r="A6" s="30"/>
      <c r="B6" s="30"/>
      <c r="C6" s="30"/>
      <c r="D6" s="30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</row>
    <row r="7" spans="1:26" x14ac:dyDescent="0.25">
      <c r="A7" s="30"/>
      <c r="B7" s="30"/>
      <c r="C7" s="30"/>
      <c r="D7" s="30"/>
      <c r="E7" s="31"/>
      <c r="F7" s="31"/>
      <c r="G7" s="31"/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  <c r="U7" s="31"/>
      <c r="V7" s="31"/>
      <c r="W7" s="31"/>
      <c r="X7" s="31"/>
      <c r="Y7" s="31"/>
      <c r="Z7" s="31"/>
    </row>
    <row r="8" spans="1:26" x14ac:dyDescent="0.25">
      <c r="A8" s="30"/>
      <c r="B8" s="30"/>
      <c r="C8" s="30"/>
      <c r="D8" s="30"/>
      <c r="E8" s="31"/>
      <c r="F8" s="31"/>
      <c r="G8" s="31"/>
      <c r="H8" s="31"/>
      <c r="I8" s="31"/>
      <c r="J8" s="31"/>
      <c r="K8" s="31"/>
      <c r="L8" s="31"/>
      <c r="M8" s="31"/>
      <c r="N8" s="31"/>
      <c r="O8" s="31"/>
      <c r="P8" s="31"/>
      <c r="Q8" s="31"/>
      <c r="R8" s="31"/>
      <c r="S8" s="31"/>
      <c r="T8" s="31"/>
      <c r="U8" s="31"/>
      <c r="V8" s="31"/>
      <c r="W8" s="31"/>
      <c r="X8" s="31"/>
      <c r="Y8" s="31"/>
      <c r="Z8" s="31"/>
    </row>
    <row r="9" spans="1:26" x14ac:dyDescent="0.25">
      <c r="A9" s="30"/>
      <c r="B9" s="30"/>
      <c r="C9" s="30"/>
      <c r="D9" s="30"/>
      <c r="E9" s="31"/>
      <c r="F9" s="31"/>
      <c r="G9" s="31"/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  <c r="Y9" s="31"/>
      <c r="Z9" s="31"/>
    </row>
    <row r="10" spans="1:26" x14ac:dyDescent="0.25">
      <c r="A10" s="30"/>
      <c r="B10" s="30"/>
      <c r="C10" s="30"/>
      <c r="D10" s="30"/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1"/>
      <c r="X10" s="31"/>
      <c r="Y10" s="31"/>
      <c r="Z10" s="31"/>
    </row>
    <row r="11" spans="1:26" x14ac:dyDescent="0.25">
      <c r="A11" s="30"/>
      <c r="B11" s="30"/>
      <c r="C11" s="30"/>
      <c r="D11" s="30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</row>
    <row r="12" spans="1:26" x14ac:dyDescent="0.25">
      <c r="A12" s="30"/>
      <c r="B12" s="30"/>
      <c r="C12" s="30"/>
      <c r="D12" s="30"/>
      <c r="E12" s="31"/>
      <c r="F12" s="31"/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31"/>
    </row>
    <row r="13" spans="1:26" x14ac:dyDescent="0.25">
      <c r="A13" s="30"/>
      <c r="B13" s="30"/>
      <c r="C13" s="30"/>
      <c r="D13" s="30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</row>
    <row r="14" spans="1:26" x14ac:dyDescent="0.25">
      <c r="A14" s="30"/>
      <c r="B14" s="30"/>
      <c r="C14" s="30"/>
      <c r="D14" s="30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1"/>
      <c r="Z14" s="31"/>
    </row>
    <row r="15" spans="1:26" x14ac:dyDescent="0.25">
      <c r="A15" s="30"/>
      <c r="B15" s="30"/>
      <c r="C15" s="30"/>
      <c r="D15" s="30"/>
      <c r="E15" s="31"/>
      <c r="F15" s="31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</row>
    <row r="16" spans="1:26" ht="102.75" customHeight="1" x14ac:dyDescent="0.25">
      <c r="A16" s="52" t="s">
        <v>161</v>
      </c>
      <c r="B16" s="52"/>
      <c r="C16" s="52"/>
      <c r="D16" s="52"/>
      <c r="E16" s="32"/>
      <c r="F16" s="32"/>
      <c r="G16" s="33"/>
      <c r="H16" s="33"/>
      <c r="I16" s="33"/>
      <c r="J16" s="33"/>
      <c r="K16" s="33"/>
      <c r="L16" s="33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1"/>
      <c r="Y16" s="31"/>
      <c r="Z16" s="31"/>
    </row>
    <row r="17" spans="1:26" ht="17.25" customHeight="1" x14ac:dyDescent="0.25">
      <c r="A17" s="34"/>
      <c r="B17" s="34"/>
      <c r="C17" s="34"/>
      <c r="D17" s="34"/>
      <c r="E17" s="31"/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s="31"/>
      <c r="Z17" s="31"/>
    </row>
    <row r="18" spans="1:26" ht="17.25" customHeight="1" x14ac:dyDescent="0.25">
      <c r="A18" s="34"/>
      <c r="B18" s="34"/>
      <c r="C18" s="34"/>
      <c r="D18" s="34"/>
      <c r="E18" s="35"/>
      <c r="F18" s="35"/>
      <c r="G18" s="36"/>
      <c r="H18" s="36"/>
      <c r="I18" s="36"/>
      <c r="J18" s="36"/>
      <c r="K18" s="36"/>
      <c r="L18" s="36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1"/>
    </row>
    <row r="19" spans="1:26" ht="17.25" customHeight="1" x14ac:dyDescent="0.25">
      <c r="A19" s="37" t="s">
        <v>162</v>
      </c>
      <c r="B19" s="51" t="s">
        <v>173</v>
      </c>
      <c r="C19" s="51"/>
      <c r="D19" s="51"/>
      <c r="E19" s="38"/>
      <c r="F19" s="38"/>
      <c r="G19" s="39"/>
      <c r="H19" s="39"/>
      <c r="I19" s="39"/>
      <c r="J19" s="39"/>
      <c r="K19" s="39"/>
      <c r="L19" s="39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</row>
    <row r="20" spans="1:26" ht="17.25" customHeight="1" x14ac:dyDescent="0.25">
      <c r="A20" s="37" t="s">
        <v>163</v>
      </c>
      <c r="B20" s="51" t="s">
        <v>176</v>
      </c>
      <c r="C20" s="51"/>
      <c r="D20" s="51"/>
      <c r="E20" s="38"/>
      <c r="F20" s="38"/>
      <c r="G20" s="39"/>
      <c r="H20" s="39"/>
      <c r="I20" s="39"/>
      <c r="J20" s="39"/>
      <c r="K20" s="39"/>
      <c r="L20" s="39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31"/>
    </row>
    <row r="21" spans="1:26" ht="17.25" customHeight="1" x14ac:dyDescent="0.25">
      <c r="A21" s="37" t="s">
        <v>164</v>
      </c>
      <c r="B21" s="40" t="s">
        <v>177</v>
      </c>
      <c r="C21" s="40"/>
      <c r="D21" s="40"/>
      <c r="E21" s="38"/>
      <c r="F21" s="38"/>
      <c r="G21" s="39"/>
      <c r="H21" s="39"/>
      <c r="I21" s="39"/>
      <c r="J21" s="39"/>
      <c r="K21" s="39"/>
      <c r="L21" s="39"/>
      <c r="M21" s="31"/>
      <c r="N21" s="31"/>
      <c r="O21" s="31"/>
      <c r="P21" s="31"/>
      <c r="Q21" s="31"/>
      <c r="R21" s="31"/>
      <c r="S21" s="31"/>
      <c r="T21" s="31"/>
      <c r="U21" s="31"/>
      <c r="V21" s="31"/>
      <c r="W21" s="31"/>
      <c r="X21" s="31"/>
      <c r="Y21" s="31"/>
      <c r="Z21" s="31"/>
    </row>
    <row r="22" spans="1:26" ht="17.25" customHeight="1" x14ac:dyDescent="0.25">
      <c r="A22" s="37"/>
      <c r="B22" s="40"/>
      <c r="C22" s="40"/>
      <c r="D22" s="40"/>
      <c r="E22" s="38"/>
      <c r="F22" s="38"/>
      <c r="G22" s="39"/>
      <c r="H22" s="39"/>
      <c r="I22" s="39"/>
      <c r="J22" s="39"/>
      <c r="K22" s="39"/>
      <c r="L22" s="39"/>
      <c r="M22" s="31"/>
      <c r="N22" s="31"/>
      <c r="O22" s="31"/>
      <c r="P22" s="31"/>
      <c r="Q22" s="31"/>
      <c r="R22" s="31"/>
      <c r="S22" s="31"/>
      <c r="T22" s="31"/>
      <c r="U22" s="31"/>
      <c r="V22" s="31"/>
      <c r="W22" s="31"/>
      <c r="X22" s="31"/>
      <c r="Y22" s="31"/>
      <c r="Z22" s="31"/>
    </row>
    <row r="23" spans="1:26" ht="17.25" customHeight="1" x14ac:dyDescent="0.25">
      <c r="A23" s="37" t="s">
        <v>165</v>
      </c>
      <c r="B23" s="51" t="s">
        <v>178</v>
      </c>
      <c r="C23" s="51"/>
      <c r="D23" s="51"/>
      <c r="E23" s="31"/>
      <c r="F23" s="31"/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31"/>
      <c r="Y23" s="31"/>
      <c r="Z23" s="31"/>
    </row>
    <row r="24" spans="1:26" ht="17.25" customHeight="1" x14ac:dyDescent="0.25">
      <c r="A24" s="37"/>
      <c r="B24" s="51" t="s">
        <v>174</v>
      </c>
      <c r="C24" s="51"/>
      <c r="D24" s="51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/>
      <c r="V24" s="31"/>
      <c r="W24" s="31"/>
      <c r="X24" s="31"/>
      <c r="Y24" s="31"/>
      <c r="Z24" s="31"/>
    </row>
    <row r="25" spans="1:26" ht="17.25" customHeight="1" x14ac:dyDescent="0.25">
      <c r="A25" s="37"/>
      <c r="B25" s="40" t="s">
        <v>175</v>
      </c>
      <c r="C25" s="40"/>
      <c r="D25" s="40"/>
      <c r="E25" s="31"/>
      <c r="F25" s="31"/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  <c r="Y25" s="31"/>
      <c r="Z25" s="31"/>
    </row>
    <row r="26" spans="1:26" ht="17.25" customHeight="1" x14ac:dyDescent="0.25">
      <c r="A26" s="37" t="s">
        <v>166</v>
      </c>
      <c r="B26" s="51" t="s">
        <v>175</v>
      </c>
      <c r="C26" s="51"/>
      <c r="D26" s="51"/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/>
      <c r="V26" s="31"/>
      <c r="W26" s="31"/>
      <c r="X26" s="31"/>
      <c r="Y26" s="31"/>
      <c r="Z26" s="31"/>
    </row>
    <row r="27" spans="1:26" ht="17.25" customHeight="1" x14ac:dyDescent="0.25">
      <c r="A27" s="37"/>
      <c r="B27" s="40"/>
      <c r="C27" s="40"/>
      <c r="D27" s="40"/>
      <c r="E27" s="31"/>
      <c r="F27" s="31"/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1"/>
      <c r="W27" s="31"/>
      <c r="X27" s="31"/>
      <c r="Y27" s="31"/>
      <c r="Z27" s="31"/>
    </row>
    <row r="28" spans="1:26" ht="17.25" customHeight="1" x14ac:dyDescent="0.25">
      <c r="A28" s="37"/>
      <c r="B28" s="40"/>
      <c r="C28" s="40"/>
      <c r="D28" s="40"/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31"/>
      <c r="W28" s="31"/>
      <c r="X28" s="31"/>
      <c r="Y28" s="31"/>
      <c r="Z28" s="31"/>
    </row>
    <row r="29" spans="1:26" ht="17.25" customHeight="1" x14ac:dyDescent="0.25">
      <c r="A29" s="37" t="s">
        <v>167</v>
      </c>
      <c r="B29" s="41">
        <v>1</v>
      </c>
      <c r="C29" s="40"/>
      <c r="D29" s="40"/>
      <c r="E29" s="31"/>
      <c r="F29" s="31"/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1"/>
      <c r="W29" s="31"/>
      <c r="X29" s="31"/>
      <c r="Y29" s="31"/>
      <c r="Z29" s="31"/>
    </row>
    <row r="30" spans="1:26" ht="17.25" customHeight="1" x14ac:dyDescent="0.25">
      <c r="A30" s="37" t="s">
        <v>168</v>
      </c>
      <c r="B30" s="53" t="s">
        <v>169</v>
      </c>
      <c r="C30" s="51"/>
      <c r="D30" s="51"/>
      <c r="E30" s="42"/>
      <c r="F30" s="42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</row>
    <row r="31" spans="1:26" ht="17.25" customHeight="1" x14ac:dyDescent="0.25">
      <c r="A31" s="37" t="s">
        <v>170</v>
      </c>
      <c r="B31" s="51" t="s">
        <v>171</v>
      </c>
      <c r="C31" s="51"/>
      <c r="D31" s="51"/>
      <c r="E31" s="42"/>
      <c r="F31" s="42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1"/>
      <c r="W31" s="31"/>
      <c r="X31" s="31"/>
      <c r="Y31" s="31"/>
      <c r="Z31" s="31"/>
    </row>
    <row r="32" spans="1:26" ht="17.25" customHeight="1" x14ac:dyDescent="0.25">
      <c r="A32" s="43"/>
      <c r="B32" s="44" t="s">
        <v>172</v>
      </c>
      <c r="C32" s="43"/>
      <c r="D32" s="43"/>
      <c r="E32" s="31"/>
      <c r="F32" s="31"/>
      <c r="G32" s="31"/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31"/>
      <c r="W32" s="31"/>
      <c r="X32" s="31"/>
      <c r="Y32" s="31"/>
      <c r="Z32" s="31"/>
    </row>
    <row r="33" spans="1:26" x14ac:dyDescent="0.25">
      <c r="A33" s="30"/>
      <c r="B33" s="30"/>
      <c r="C33" s="30"/>
      <c r="D33" s="30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/>
      <c r="V33" s="31"/>
      <c r="W33" s="31"/>
      <c r="X33" s="31"/>
      <c r="Y33" s="31"/>
      <c r="Z33" s="31"/>
    </row>
    <row r="34" spans="1:26" x14ac:dyDescent="0.25">
      <c r="A34" s="30"/>
      <c r="B34" s="30"/>
      <c r="C34" s="30"/>
      <c r="D34" s="30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31"/>
      <c r="W34" s="31"/>
      <c r="X34" s="31"/>
      <c r="Y34" s="31"/>
      <c r="Z34" s="31"/>
    </row>
    <row r="35" spans="1:26" x14ac:dyDescent="0.25">
      <c r="A35" s="30"/>
      <c r="B35" s="30"/>
      <c r="C35" s="30"/>
      <c r="D35" s="30"/>
      <c r="E35" s="31"/>
      <c r="F35" s="31"/>
      <c r="G35" s="31"/>
      <c r="H35" s="31"/>
      <c r="I35" s="31"/>
      <c r="J35" s="31"/>
      <c r="K35" s="31"/>
      <c r="L35" s="31"/>
      <c r="M35" s="31"/>
      <c r="N35" s="31"/>
      <c r="O35" s="31"/>
      <c r="P35" s="31"/>
      <c r="Q35" s="31"/>
      <c r="R35" s="31"/>
      <c r="S35" s="31"/>
      <c r="T35" s="31"/>
      <c r="U35" s="31"/>
      <c r="V35" s="31"/>
      <c r="W35" s="31"/>
      <c r="X35" s="31"/>
      <c r="Y35" s="31"/>
      <c r="Z35" s="31"/>
    </row>
    <row r="36" spans="1:26" x14ac:dyDescent="0.25">
      <c r="A36" s="30"/>
      <c r="B36" s="30"/>
      <c r="C36" s="30"/>
      <c r="D36" s="30"/>
      <c r="E36" s="31"/>
      <c r="F36" s="31"/>
      <c r="G36" s="31"/>
      <c r="H36" s="31"/>
      <c r="I36" s="31"/>
      <c r="J36" s="31"/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31"/>
      <c r="V36" s="31"/>
      <c r="W36" s="31"/>
      <c r="X36" s="31"/>
      <c r="Y36" s="31"/>
      <c r="Z36" s="31"/>
    </row>
    <row r="37" spans="1:26" x14ac:dyDescent="0.25">
      <c r="A37" s="30"/>
      <c r="B37" s="30"/>
      <c r="C37" s="30"/>
      <c r="D37" s="30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</row>
    <row r="38" spans="1:26" x14ac:dyDescent="0.25">
      <c r="A38" s="30"/>
      <c r="B38" s="30"/>
      <c r="C38" s="30"/>
      <c r="D38" s="30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</row>
    <row r="39" spans="1:26" x14ac:dyDescent="0.25">
      <c r="A39" s="30"/>
      <c r="B39" s="30"/>
      <c r="C39" s="30"/>
      <c r="D39" s="30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  <c r="Y39" s="31"/>
      <c r="Z39" s="31"/>
    </row>
    <row r="40" spans="1:26" x14ac:dyDescent="0.25">
      <c r="A40" s="30"/>
      <c r="B40" s="30"/>
      <c r="C40" s="30"/>
      <c r="D40" s="30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</row>
    <row r="41" spans="1:26" x14ac:dyDescent="0.25">
      <c r="A41" s="30"/>
      <c r="B41" s="30"/>
      <c r="C41" s="30"/>
      <c r="D41" s="30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</row>
    <row r="42" spans="1:26" x14ac:dyDescent="0.25">
      <c r="A42" s="30"/>
      <c r="B42" s="30"/>
      <c r="C42" s="30"/>
      <c r="D42" s="30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</row>
    <row r="43" spans="1:26" x14ac:dyDescent="0.25">
      <c r="A43" s="31"/>
      <c r="B43" s="31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</row>
    <row r="44" spans="1:26" x14ac:dyDescent="0.25">
      <c r="A44" s="31"/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</row>
    <row r="45" spans="1:26" x14ac:dyDescent="0.25">
      <c r="A45" s="31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  <c r="Y45" s="31"/>
      <c r="Z45" s="31"/>
    </row>
    <row r="46" spans="1:26" x14ac:dyDescent="0.25">
      <c r="A46" s="31"/>
      <c r="B46" s="31"/>
      <c r="C46" s="31"/>
      <c r="D46" s="31"/>
      <c r="E46" s="31"/>
      <c r="F46" s="31"/>
      <c r="G46" s="31"/>
      <c r="H46" s="31"/>
      <c r="I46" s="31"/>
      <c r="J46" s="31"/>
      <c r="K46" s="31"/>
      <c r="L46" s="31"/>
      <c r="M46" s="31"/>
      <c r="N46" s="31"/>
      <c r="O46" s="31"/>
      <c r="P46" s="31"/>
      <c r="Q46" s="31"/>
      <c r="R46" s="31"/>
      <c r="S46" s="31"/>
      <c r="T46" s="31"/>
      <c r="U46" s="31"/>
      <c r="V46" s="31"/>
      <c r="W46" s="31"/>
      <c r="X46" s="31"/>
      <c r="Y46" s="31"/>
      <c r="Z46" s="31"/>
    </row>
    <row r="47" spans="1:26" x14ac:dyDescent="0.25">
      <c r="A47" s="31"/>
      <c r="B47" s="31"/>
      <c r="C47" s="31"/>
      <c r="D47" s="31"/>
      <c r="E47" s="31"/>
      <c r="F47" s="31"/>
      <c r="G47" s="31"/>
      <c r="H47" s="31"/>
      <c r="I47" s="31"/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  <c r="Y47" s="31"/>
      <c r="Z47" s="31"/>
    </row>
    <row r="48" spans="1:26" x14ac:dyDescent="0.25">
      <c r="A48" s="31"/>
      <c r="B48" s="31"/>
      <c r="C48" s="31"/>
      <c r="D48" s="31"/>
      <c r="E48" s="31"/>
      <c r="F48" s="31"/>
      <c r="G48" s="31"/>
      <c r="H48" s="31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31"/>
    </row>
    <row r="49" spans="1:26" x14ac:dyDescent="0.25">
      <c r="A49" s="31"/>
      <c r="B49" s="31"/>
      <c r="C49" s="31"/>
      <c r="D49" s="31"/>
      <c r="E49" s="31"/>
      <c r="F49" s="31"/>
      <c r="G49" s="31"/>
      <c r="H49" s="31"/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1"/>
      <c r="Z49" s="31"/>
    </row>
    <row r="50" spans="1:26" x14ac:dyDescent="0.25">
      <c r="A50" s="31"/>
      <c r="B50" s="31"/>
      <c r="C50" s="31"/>
      <c r="D50" s="31"/>
      <c r="E50" s="31"/>
      <c r="F50" s="31"/>
      <c r="G50" s="31"/>
      <c r="H50" s="31"/>
      <c r="I50" s="31"/>
      <c r="J50" s="31"/>
      <c r="K50" s="31"/>
      <c r="L50" s="31"/>
      <c r="M50" s="31"/>
      <c r="N50" s="31"/>
      <c r="O50" s="31"/>
      <c r="P50" s="31"/>
      <c r="Q50" s="31"/>
      <c r="R50" s="31"/>
      <c r="S50" s="31"/>
      <c r="T50" s="31"/>
      <c r="U50" s="31"/>
      <c r="V50" s="31"/>
      <c r="W50" s="31"/>
      <c r="X50" s="31"/>
      <c r="Y50" s="31"/>
      <c r="Z50" s="31"/>
    </row>
    <row r="51" spans="1:26" x14ac:dyDescent="0.25">
      <c r="A51" s="31"/>
      <c r="B51" s="31"/>
      <c r="C51" s="31"/>
      <c r="D51" s="31"/>
      <c r="E51" s="31"/>
      <c r="F51" s="31"/>
      <c r="G51" s="31"/>
      <c r="H51" s="31"/>
      <c r="I51" s="31"/>
      <c r="J51" s="31"/>
      <c r="K51" s="31"/>
      <c r="L51" s="31"/>
      <c r="M51" s="31"/>
      <c r="N51" s="31"/>
      <c r="O51" s="31"/>
      <c r="P51" s="31"/>
      <c r="Q51" s="31"/>
      <c r="R51" s="31"/>
      <c r="S51" s="31"/>
      <c r="T51" s="31"/>
      <c r="U51" s="31"/>
      <c r="V51" s="31"/>
      <c r="W51" s="31"/>
      <c r="X51" s="31"/>
      <c r="Y51" s="31"/>
      <c r="Z51" s="31"/>
    </row>
    <row r="52" spans="1:26" x14ac:dyDescent="0.25">
      <c r="A52" s="31"/>
      <c r="B52" s="31"/>
      <c r="C52" s="31"/>
      <c r="D52" s="31"/>
      <c r="E52" s="31"/>
      <c r="F52" s="31"/>
      <c r="G52" s="31"/>
      <c r="H52" s="31"/>
      <c r="I52" s="31"/>
      <c r="J52" s="31"/>
      <c r="K52" s="31"/>
      <c r="L52" s="31"/>
      <c r="M52" s="31"/>
      <c r="N52" s="31"/>
      <c r="O52" s="31"/>
      <c r="P52" s="31"/>
      <c r="Q52" s="31"/>
      <c r="R52" s="31"/>
      <c r="S52" s="31"/>
      <c r="T52" s="31"/>
      <c r="U52" s="31"/>
      <c r="V52" s="31"/>
      <c r="W52" s="31"/>
      <c r="X52" s="31"/>
      <c r="Y52" s="31"/>
      <c r="Z52" s="31"/>
    </row>
    <row r="53" spans="1:26" x14ac:dyDescent="0.25">
      <c r="A53" s="31"/>
      <c r="B53" s="31"/>
      <c r="C53" s="31"/>
      <c r="D53" s="31"/>
      <c r="E53" s="31"/>
      <c r="F53" s="31"/>
      <c r="G53" s="31"/>
      <c r="H53" s="31"/>
      <c r="I53" s="31"/>
      <c r="J53" s="31"/>
      <c r="K53" s="31"/>
      <c r="L53" s="31"/>
      <c r="M53" s="31"/>
      <c r="N53" s="31"/>
      <c r="O53" s="31"/>
      <c r="P53" s="31"/>
      <c r="Q53" s="31"/>
      <c r="R53" s="31"/>
      <c r="S53" s="31"/>
      <c r="T53" s="31"/>
      <c r="U53" s="31"/>
      <c r="V53" s="31"/>
      <c r="W53" s="31"/>
      <c r="X53" s="31"/>
      <c r="Y53" s="31"/>
      <c r="Z53" s="31"/>
    </row>
    <row r="54" spans="1:26" x14ac:dyDescent="0.25">
      <c r="A54" s="31"/>
      <c r="B54" s="31"/>
      <c r="C54" s="31"/>
      <c r="D54" s="31"/>
      <c r="E54" s="31"/>
      <c r="F54" s="31"/>
      <c r="G54" s="31"/>
      <c r="H54" s="31"/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31"/>
      <c r="T54" s="31"/>
      <c r="U54" s="31"/>
      <c r="V54" s="31"/>
      <c r="W54" s="31"/>
      <c r="X54" s="31"/>
      <c r="Y54" s="31"/>
      <c r="Z54" s="31"/>
    </row>
    <row r="55" spans="1:26" x14ac:dyDescent="0.25">
      <c r="A55" s="31"/>
      <c r="B55" s="31"/>
      <c r="C55" s="31"/>
      <c r="D55" s="31"/>
      <c r="E55" s="31"/>
      <c r="F55" s="31"/>
      <c r="G55" s="31"/>
      <c r="H55" s="31"/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31"/>
      <c r="T55" s="31"/>
      <c r="U55" s="31"/>
      <c r="V55" s="31"/>
      <c r="W55" s="31"/>
      <c r="X55" s="31"/>
      <c r="Y55" s="31"/>
      <c r="Z55" s="31"/>
    </row>
    <row r="56" spans="1:26" x14ac:dyDescent="0.25">
      <c r="A56" s="31"/>
      <c r="B56" s="31"/>
      <c r="C56" s="31"/>
      <c r="D56" s="31"/>
      <c r="E56" s="31"/>
      <c r="F56" s="31"/>
      <c r="G56" s="31"/>
      <c r="H56" s="31"/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31"/>
      <c r="T56" s="31"/>
      <c r="U56" s="31"/>
      <c r="V56" s="31"/>
      <c r="W56" s="31"/>
      <c r="X56" s="31"/>
      <c r="Y56" s="31"/>
      <c r="Z56" s="31"/>
    </row>
    <row r="57" spans="1:26" x14ac:dyDescent="0.25">
      <c r="A57" s="31"/>
      <c r="B57" s="31"/>
      <c r="C57" s="31"/>
      <c r="D57" s="31"/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</row>
    <row r="58" spans="1:26" x14ac:dyDescent="0.25">
      <c r="A58" s="31"/>
      <c r="B58" s="31"/>
      <c r="C58" s="31"/>
      <c r="D58" s="31"/>
      <c r="E58" s="31"/>
      <c r="F58" s="31"/>
      <c r="G58" s="31"/>
      <c r="H58" s="31"/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  <c r="Y58" s="31"/>
      <c r="Z58" s="31"/>
    </row>
    <row r="59" spans="1:26" x14ac:dyDescent="0.25">
      <c r="A59" s="31"/>
      <c r="B59" s="31"/>
      <c r="C59" s="31"/>
      <c r="D59" s="31"/>
      <c r="E59" s="31"/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  <c r="Y59" s="31"/>
      <c r="Z59" s="31"/>
    </row>
    <row r="60" spans="1:26" x14ac:dyDescent="0.25">
      <c r="A60" s="31"/>
      <c r="B60" s="31"/>
      <c r="C60" s="31"/>
      <c r="D60" s="31"/>
      <c r="E60" s="31"/>
      <c r="F60" s="31"/>
      <c r="G60" s="31"/>
      <c r="H60" s="31"/>
      <c r="I60" s="31"/>
      <c r="J60" s="31"/>
      <c r="K60" s="31"/>
      <c r="L60" s="31"/>
      <c r="M60" s="31"/>
      <c r="N60" s="31"/>
      <c r="O60" s="31"/>
      <c r="P60" s="31"/>
      <c r="Q60" s="31"/>
      <c r="R60" s="31"/>
      <c r="S60" s="31"/>
      <c r="T60" s="31"/>
      <c r="U60" s="31"/>
      <c r="V60" s="31"/>
      <c r="W60" s="31"/>
      <c r="X60" s="31"/>
      <c r="Y60" s="31"/>
      <c r="Z60" s="31"/>
    </row>
    <row r="61" spans="1:26" x14ac:dyDescent="0.25">
      <c r="A61" s="31"/>
      <c r="B61" s="31"/>
      <c r="C61" s="31"/>
      <c r="D61" s="31"/>
      <c r="E61" s="31"/>
      <c r="F61" s="31"/>
      <c r="G61" s="31"/>
      <c r="H61" s="31"/>
      <c r="I61" s="31"/>
      <c r="J61" s="31"/>
      <c r="K61" s="31"/>
      <c r="L61" s="31"/>
      <c r="M61" s="31"/>
      <c r="N61" s="31"/>
      <c r="O61" s="31"/>
      <c r="P61" s="31"/>
      <c r="Q61" s="31"/>
      <c r="R61" s="31"/>
      <c r="S61" s="31"/>
      <c r="T61" s="31"/>
      <c r="U61" s="31"/>
      <c r="V61" s="31"/>
      <c r="W61" s="31"/>
      <c r="X61" s="31"/>
      <c r="Y61" s="31"/>
      <c r="Z61" s="31"/>
    </row>
    <row r="62" spans="1:26" x14ac:dyDescent="0.25">
      <c r="A62" s="31"/>
      <c r="B62" s="31"/>
      <c r="C62" s="31"/>
      <c r="D62" s="31"/>
      <c r="E62" s="31"/>
      <c r="F62" s="31"/>
      <c r="G62" s="31"/>
      <c r="H62" s="31"/>
      <c r="I62" s="31"/>
      <c r="J62" s="31"/>
      <c r="K62" s="31"/>
      <c r="L62" s="31"/>
      <c r="M62" s="31"/>
      <c r="N62" s="31"/>
      <c r="O62" s="31"/>
      <c r="P62" s="31"/>
      <c r="Q62" s="31"/>
      <c r="R62" s="31"/>
      <c r="S62" s="31"/>
      <c r="T62" s="31"/>
      <c r="U62" s="31"/>
      <c r="V62" s="31"/>
      <c r="W62" s="31"/>
      <c r="X62" s="31"/>
      <c r="Y62" s="31"/>
      <c r="Z62" s="31"/>
    </row>
    <row r="63" spans="1:26" x14ac:dyDescent="0.25">
      <c r="A63" s="31"/>
      <c r="B63" s="31"/>
      <c r="C63" s="31"/>
      <c r="D63" s="31"/>
      <c r="E63" s="31"/>
      <c r="F63" s="31"/>
      <c r="G63" s="31"/>
      <c r="H63" s="31"/>
      <c r="I63" s="31"/>
      <c r="J63" s="31"/>
      <c r="K63" s="31"/>
      <c r="L63" s="31"/>
      <c r="M63" s="31"/>
      <c r="N63" s="31"/>
      <c r="O63" s="31"/>
      <c r="P63" s="31"/>
      <c r="Q63" s="31"/>
      <c r="R63" s="31"/>
      <c r="S63" s="31"/>
      <c r="T63" s="31"/>
      <c r="U63" s="31"/>
      <c r="V63" s="31"/>
      <c r="W63" s="31"/>
      <c r="X63" s="31"/>
      <c r="Y63" s="31"/>
      <c r="Z63" s="31"/>
    </row>
    <row r="64" spans="1:26" x14ac:dyDescent="0.25">
      <c r="A64" s="31"/>
      <c r="B64" s="31"/>
      <c r="C64" s="31"/>
      <c r="D64" s="31"/>
      <c r="E64" s="31"/>
      <c r="F64" s="31"/>
      <c r="G64" s="31"/>
      <c r="H64" s="31"/>
      <c r="I64" s="31"/>
      <c r="J64" s="31"/>
      <c r="K64" s="31"/>
      <c r="L64" s="31"/>
      <c r="M64" s="31"/>
      <c r="N64" s="31"/>
      <c r="O64" s="31"/>
      <c r="P64" s="31"/>
      <c r="Q64" s="31"/>
      <c r="R64" s="31"/>
      <c r="S64" s="31"/>
      <c r="T64" s="31"/>
      <c r="U64" s="31"/>
      <c r="V64" s="31"/>
      <c r="W64" s="31"/>
      <c r="X64" s="31"/>
      <c r="Y64" s="31"/>
      <c r="Z64" s="31"/>
    </row>
    <row r="65" spans="1:26" x14ac:dyDescent="0.25">
      <c r="A65" s="31"/>
      <c r="B65" s="31"/>
      <c r="C65" s="31"/>
      <c r="D65" s="31"/>
      <c r="E65" s="31"/>
      <c r="F65" s="31"/>
      <c r="G65" s="31"/>
      <c r="H65" s="31"/>
      <c r="I65" s="31"/>
      <c r="J65" s="31"/>
      <c r="K65" s="31"/>
      <c r="L65" s="31"/>
      <c r="M65" s="31"/>
      <c r="N65" s="31"/>
      <c r="O65" s="31"/>
      <c r="P65" s="31"/>
      <c r="Q65" s="31"/>
      <c r="R65" s="31"/>
      <c r="S65" s="31"/>
      <c r="T65" s="31"/>
      <c r="U65" s="31"/>
      <c r="V65" s="31"/>
      <c r="W65" s="31"/>
      <c r="X65" s="31"/>
      <c r="Y65" s="31"/>
      <c r="Z65" s="31"/>
    </row>
    <row r="66" spans="1:26" x14ac:dyDescent="0.25">
      <c r="A66" s="31"/>
      <c r="B66" s="31"/>
      <c r="C66" s="31"/>
      <c r="D66" s="31"/>
      <c r="E66" s="31"/>
      <c r="F66" s="31"/>
      <c r="G66" s="31"/>
      <c r="H66" s="31"/>
      <c r="I66" s="31"/>
      <c r="J66" s="31"/>
      <c r="K66" s="31"/>
      <c r="L66" s="31"/>
      <c r="M66" s="31"/>
      <c r="N66" s="31"/>
      <c r="O66" s="31"/>
      <c r="P66" s="31"/>
      <c r="Q66" s="31"/>
      <c r="R66" s="31"/>
      <c r="S66" s="31"/>
      <c r="T66" s="31"/>
      <c r="U66" s="31"/>
      <c r="V66" s="31"/>
      <c r="W66" s="31"/>
      <c r="X66" s="31"/>
      <c r="Y66" s="31"/>
      <c r="Z66" s="31"/>
    </row>
    <row r="67" spans="1:26" x14ac:dyDescent="0.25">
      <c r="A67" s="31"/>
      <c r="B67" s="31"/>
      <c r="C67" s="31"/>
      <c r="D67" s="31"/>
      <c r="E67" s="31"/>
      <c r="F67" s="31"/>
      <c r="G67" s="31"/>
      <c r="H67" s="31"/>
      <c r="I67" s="31"/>
      <c r="J67" s="31"/>
      <c r="K67" s="31"/>
      <c r="L67" s="31"/>
      <c r="M67" s="31"/>
      <c r="N67" s="31"/>
      <c r="O67" s="31"/>
      <c r="P67" s="31"/>
      <c r="Q67" s="31"/>
      <c r="R67" s="31"/>
      <c r="S67" s="31"/>
      <c r="T67" s="31"/>
      <c r="U67" s="31"/>
      <c r="V67" s="31"/>
      <c r="W67" s="31"/>
      <c r="X67" s="31"/>
      <c r="Y67" s="31"/>
      <c r="Z67" s="31"/>
    </row>
    <row r="68" spans="1:26" x14ac:dyDescent="0.25">
      <c r="A68" s="31"/>
      <c r="B68" s="31"/>
      <c r="C68" s="31"/>
      <c r="D68" s="31"/>
      <c r="E68" s="31"/>
      <c r="F68" s="31"/>
      <c r="G68" s="31"/>
      <c r="H68" s="31"/>
      <c r="I68" s="31"/>
      <c r="J68" s="31"/>
      <c r="K68" s="31"/>
      <c r="L68" s="31"/>
      <c r="M68" s="31"/>
      <c r="N68" s="31"/>
      <c r="O68" s="31"/>
      <c r="P68" s="31"/>
      <c r="Q68" s="31"/>
      <c r="R68" s="31"/>
      <c r="S68" s="31"/>
      <c r="T68" s="31"/>
      <c r="U68" s="31"/>
      <c r="V68" s="31"/>
      <c r="W68" s="31"/>
      <c r="X68" s="31"/>
      <c r="Y68" s="31"/>
      <c r="Z68" s="31"/>
    </row>
    <row r="69" spans="1:26" x14ac:dyDescent="0.25">
      <c r="A69" s="31"/>
      <c r="B69" s="31"/>
      <c r="C69" s="31"/>
      <c r="D69" s="31"/>
      <c r="E69" s="31"/>
      <c r="F69" s="31"/>
      <c r="G69" s="31"/>
      <c r="H69" s="31"/>
      <c r="I69" s="31"/>
      <c r="J69" s="31"/>
      <c r="K69" s="31"/>
      <c r="L69" s="31"/>
      <c r="M69" s="31"/>
      <c r="N69" s="31"/>
      <c r="O69" s="31"/>
      <c r="P69" s="31"/>
      <c r="Q69" s="31"/>
      <c r="R69" s="31"/>
      <c r="S69" s="31"/>
      <c r="T69" s="31"/>
      <c r="U69" s="31"/>
      <c r="V69" s="31"/>
      <c r="W69" s="31"/>
      <c r="X69" s="31"/>
      <c r="Y69" s="31"/>
      <c r="Z69" s="31"/>
    </row>
    <row r="70" spans="1:26" x14ac:dyDescent="0.25">
      <c r="A70" s="31"/>
      <c r="B70" s="31"/>
      <c r="C70" s="31"/>
      <c r="D70" s="31"/>
      <c r="E70" s="31"/>
      <c r="F70" s="31"/>
      <c r="G70" s="31"/>
      <c r="H70" s="31"/>
      <c r="I70" s="31"/>
      <c r="J70" s="31"/>
      <c r="K70" s="31"/>
      <c r="L70" s="31"/>
      <c r="M70" s="31"/>
      <c r="N70" s="31"/>
      <c r="O70" s="31"/>
      <c r="P70" s="31"/>
      <c r="Q70" s="31"/>
      <c r="R70" s="31"/>
      <c r="S70" s="31"/>
      <c r="T70" s="31"/>
      <c r="U70" s="31"/>
      <c r="V70" s="31"/>
      <c r="W70" s="31"/>
      <c r="X70" s="31"/>
      <c r="Y70" s="31"/>
      <c r="Z70" s="31"/>
    </row>
    <row r="71" spans="1:26" x14ac:dyDescent="0.25">
      <c r="A71" s="31"/>
      <c r="B71" s="31"/>
      <c r="C71" s="31"/>
      <c r="D71" s="31"/>
      <c r="E71" s="31"/>
      <c r="F71" s="31"/>
      <c r="G71" s="31"/>
      <c r="H71" s="31"/>
      <c r="I71" s="31"/>
      <c r="J71" s="31"/>
      <c r="K71" s="31"/>
      <c r="L71" s="31"/>
      <c r="M71" s="31"/>
      <c r="N71" s="31"/>
      <c r="O71" s="31"/>
      <c r="P71" s="31"/>
      <c r="Q71" s="31"/>
      <c r="R71" s="31"/>
      <c r="S71" s="31"/>
      <c r="T71" s="31"/>
      <c r="U71" s="31"/>
      <c r="V71" s="31"/>
      <c r="W71" s="31"/>
      <c r="X71" s="31"/>
      <c r="Y71" s="31"/>
      <c r="Z71" s="31"/>
    </row>
    <row r="72" spans="1:26" x14ac:dyDescent="0.25">
      <c r="A72" s="31"/>
      <c r="B72" s="31"/>
      <c r="C72" s="31"/>
      <c r="D72" s="31"/>
      <c r="E72" s="31"/>
      <c r="F72" s="31"/>
      <c r="G72" s="31"/>
      <c r="H72" s="31"/>
      <c r="I72" s="31"/>
      <c r="J72" s="31"/>
      <c r="K72" s="31"/>
      <c r="L72" s="31"/>
      <c r="M72" s="31"/>
      <c r="N72" s="31"/>
      <c r="O72" s="31"/>
      <c r="P72" s="31"/>
      <c r="Q72" s="31"/>
      <c r="R72" s="31"/>
      <c r="S72" s="31"/>
      <c r="T72" s="31"/>
      <c r="U72" s="31"/>
      <c r="V72" s="31"/>
      <c r="W72" s="31"/>
      <c r="X72" s="31"/>
      <c r="Y72" s="31"/>
      <c r="Z72" s="31"/>
    </row>
    <row r="73" spans="1:26" x14ac:dyDescent="0.25">
      <c r="A73" s="31"/>
      <c r="B73" s="31"/>
      <c r="C73" s="31"/>
      <c r="D73" s="31"/>
      <c r="E73" s="31"/>
      <c r="F73" s="31"/>
      <c r="G73" s="31"/>
      <c r="H73" s="31"/>
      <c r="I73" s="31"/>
      <c r="J73" s="31"/>
      <c r="K73" s="31"/>
      <c r="L73" s="31"/>
      <c r="M73" s="31"/>
      <c r="N73" s="31"/>
      <c r="O73" s="31"/>
      <c r="P73" s="31"/>
      <c r="Q73" s="31"/>
      <c r="R73" s="31"/>
      <c r="S73" s="31"/>
      <c r="T73" s="31"/>
      <c r="U73" s="31"/>
      <c r="V73" s="31"/>
      <c r="W73" s="31"/>
      <c r="X73" s="31"/>
      <c r="Y73" s="31"/>
      <c r="Z73" s="31"/>
    </row>
    <row r="74" spans="1:26" x14ac:dyDescent="0.25">
      <c r="A74" s="31"/>
      <c r="B74" s="31"/>
      <c r="C74" s="31"/>
      <c r="D74" s="31"/>
      <c r="E74" s="31"/>
      <c r="F74" s="31"/>
      <c r="G74" s="31"/>
      <c r="H74" s="31"/>
      <c r="I74" s="31"/>
      <c r="J74" s="31"/>
      <c r="K74" s="31"/>
      <c r="L74" s="31"/>
      <c r="M74" s="31"/>
      <c r="N74" s="31"/>
      <c r="O74" s="31"/>
      <c r="P74" s="31"/>
      <c r="Q74" s="31"/>
      <c r="R74" s="31"/>
      <c r="S74" s="31"/>
      <c r="T74" s="31"/>
      <c r="U74" s="31"/>
      <c r="V74" s="31"/>
      <c r="W74" s="31"/>
      <c r="X74" s="31"/>
      <c r="Y74" s="31"/>
      <c r="Z74" s="31"/>
    </row>
    <row r="75" spans="1:26" x14ac:dyDescent="0.25">
      <c r="A75" s="31"/>
      <c r="B75" s="31"/>
      <c r="C75" s="31"/>
      <c r="D75" s="31"/>
      <c r="E75" s="31"/>
      <c r="F75" s="31"/>
      <c r="G75" s="31"/>
      <c r="H75" s="31"/>
      <c r="I75" s="31"/>
      <c r="J75" s="31"/>
      <c r="K75" s="31"/>
      <c r="L75" s="31"/>
      <c r="M75" s="31"/>
      <c r="N75" s="31"/>
      <c r="O75" s="31"/>
      <c r="P75" s="31"/>
      <c r="Q75" s="31"/>
      <c r="R75" s="31"/>
      <c r="S75" s="31"/>
      <c r="T75" s="31"/>
      <c r="U75" s="31"/>
      <c r="V75" s="31"/>
      <c r="W75" s="31"/>
      <c r="X75" s="31"/>
      <c r="Y75" s="31"/>
      <c r="Z75" s="31"/>
    </row>
    <row r="76" spans="1:26" x14ac:dyDescent="0.25">
      <c r="A76" s="31"/>
      <c r="B76" s="31"/>
      <c r="C76" s="31"/>
      <c r="D76" s="31"/>
      <c r="E76" s="31"/>
      <c r="F76" s="31"/>
      <c r="G76" s="31"/>
      <c r="H76" s="31"/>
      <c r="I76" s="31"/>
      <c r="J76" s="31"/>
      <c r="K76" s="31"/>
      <c r="L76" s="31"/>
      <c r="M76" s="31"/>
      <c r="N76" s="31"/>
      <c r="O76" s="31"/>
      <c r="P76" s="31"/>
      <c r="Q76" s="31"/>
      <c r="R76" s="31"/>
      <c r="S76" s="31"/>
      <c r="T76" s="31"/>
      <c r="U76" s="31"/>
      <c r="V76" s="31"/>
      <c r="W76" s="31"/>
      <c r="X76" s="31"/>
      <c r="Y76" s="31"/>
      <c r="Z76" s="31"/>
    </row>
    <row r="77" spans="1:26" x14ac:dyDescent="0.25">
      <c r="A77" s="31"/>
      <c r="B77" s="31"/>
      <c r="C77" s="31"/>
      <c r="D77" s="31"/>
      <c r="E77" s="31"/>
      <c r="F77" s="31"/>
      <c r="G77" s="31"/>
      <c r="H77" s="31"/>
      <c r="I77" s="31"/>
      <c r="J77" s="31"/>
      <c r="K77" s="31"/>
      <c r="L77" s="31"/>
      <c r="M77" s="31"/>
      <c r="N77" s="31"/>
      <c r="O77" s="31"/>
      <c r="P77" s="31"/>
      <c r="Q77" s="31"/>
      <c r="R77" s="31"/>
      <c r="S77" s="31"/>
      <c r="T77" s="31"/>
      <c r="U77" s="31"/>
      <c r="V77" s="31"/>
      <c r="W77" s="31"/>
      <c r="X77" s="31"/>
      <c r="Y77" s="31"/>
      <c r="Z77" s="31"/>
    </row>
    <row r="78" spans="1:26" x14ac:dyDescent="0.25">
      <c r="A78" s="31"/>
      <c r="B78" s="31"/>
      <c r="C78" s="31"/>
      <c r="D78" s="31"/>
      <c r="E78" s="31"/>
      <c r="F78" s="31"/>
      <c r="G78" s="31"/>
      <c r="H78" s="31"/>
      <c r="I78" s="31"/>
      <c r="J78" s="31"/>
      <c r="K78" s="31"/>
      <c r="L78" s="31"/>
      <c r="M78" s="31"/>
      <c r="N78" s="31"/>
      <c r="O78" s="31"/>
      <c r="P78" s="31"/>
      <c r="Q78" s="31"/>
      <c r="R78" s="31"/>
      <c r="S78" s="31"/>
      <c r="T78" s="31"/>
      <c r="U78" s="31"/>
      <c r="V78" s="31"/>
      <c r="W78" s="31"/>
      <c r="X78" s="31"/>
      <c r="Y78" s="31"/>
      <c r="Z78" s="31"/>
    </row>
    <row r="79" spans="1:26" x14ac:dyDescent="0.25">
      <c r="A79" s="31"/>
      <c r="B79" s="31"/>
      <c r="C79" s="31"/>
      <c r="D79" s="31"/>
      <c r="E79" s="31"/>
      <c r="F79" s="31"/>
      <c r="G79" s="31"/>
      <c r="H79" s="31"/>
      <c r="I79" s="31"/>
      <c r="J79" s="31"/>
      <c r="K79" s="31"/>
      <c r="L79" s="31"/>
      <c r="M79" s="31"/>
      <c r="N79" s="31"/>
      <c r="O79" s="31"/>
      <c r="P79" s="31"/>
      <c r="Q79" s="31"/>
      <c r="R79" s="31"/>
      <c r="S79" s="31"/>
      <c r="T79" s="31"/>
      <c r="U79" s="31"/>
      <c r="V79" s="31"/>
      <c r="W79" s="31"/>
      <c r="X79" s="31"/>
      <c r="Y79" s="31"/>
      <c r="Z79" s="31"/>
    </row>
    <row r="80" spans="1:26" x14ac:dyDescent="0.25">
      <c r="A80" s="31"/>
      <c r="B80" s="31"/>
      <c r="C80" s="31"/>
      <c r="D80" s="31"/>
      <c r="E80" s="31"/>
      <c r="F80" s="31"/>
      <c r="G80" s="31"/>
      <c r="H80" s="31"/>
      <c r="I80" s="31"/>
      <c r="J80" s="31"/>
      <c r="K80" s="31"/>
      <c r="L80" s="31"/>
      <c r="M80" s="31"/>
      <c r="N80" s="31"/>
      <c r="O80" s="31"/>
      <c r="P80" s="31"/>
      <c r="Q80" s="31"/>
      <c r="R80" s="31"/>
      <c r="S80" s="31"/>
      <c r="T80" s="31"/>
      <c r="U80" s="31"/>
      <c r="V80" s="31"/>
      <c r="W80" s="31"/>
      <c r="X80" s="31"/>
      <c r="Y80" s="31"/>
      <c r="Z80" s="31"/>
    </row>
    <row r="81" spans="1:26" x14ac:dyDescent="0.25">
      <c r="A81" s="31"/>
      <c r="B81" s="31"/>
      <c r="C81" s="31"/>
      <c r="D81" s="31"/>
      <c r="E81" s="31"/>
      <c r="F81" s="31"/>
      <c r="G81" s="31"/>
      <c r="H81" s="31"/>
      <c r="I81" s="31"/>
      <c r="J81" s="31"/>
      <c r="K81" s="31"/>
      <c r="L81" s="31"/>
      <c r="M81" s="31"/>
      <c r="N81" s="31"/>
      <c r="O81" s="31"/>
      <c r="P81" s="31"/>
      <c r="Q81" s="31"/>
      <c r="R81" s="31"/>
      <c r="S81" s="31"/>
      <c r="T81" s="31"/>
      <c r="U81" s="31"/>
      <c r="V81" s="31"/>
      <c r="W81" s="31"/>
      <c r="X81" s="31"/>
      <c r="Y81" s="31"/>
      <c r="Z81" s="31"/>
    </row>
    <row r="82" spans="1:26" x14ac:dyDescent="0.25">
      <c r="A82" s="31"/>
      <c r="B82" s="31"/>
      <c r="C82" s="31"/>
      <c r="D82" s="31"/>
      <c r="E82" s="31"/>
      <c r="F82" s="31"/>
      <c r="G82" s="31"/>
      <c r="H82" s="31"/>
      <c r="I82" s="31"/>
      <c r="J82" s="31"/>
      <c r="K82" s="31"/>
      <c r="L82" s="31"/>
      <c r="M82" s="31"/>
      <c r="N82" s="31"/>
      <c r="O82" s="31"/>
      <c r="P82" s="31"/>
      <c r="Q82" s="31"/>
      <c r="R82" s="31"/>
      <c r="S82" s="31"/>
      <c r="T82" s="31"/>
      <c r="U82" s="31"/>
      <c r="V82" s="31"/>
      <c r="W82" s="31"/>
      <c r="X82" s="31"/>
      <c r="Y82" s="31"/>
      <c r="Z82" s="31"/>
    </row>
    <row r="83" spans="1:26" x14ac:dyDescent="0.25">
      <c r="A83" s="31"/>
      <c r="B83" s="31"/>
      <c r="C83" s="31"/>
      <c r="D83" s="31"/>
      <c r="E83" s="31"/>
      <c r="F83" s="31"/>
      <c r="G83" s="31"/>
      <c r="H83" s="31"/>
      <c r="I83" s="31"/>
      <c r="J83" s="31"/>
      <c r="K83" s="31"/>
      <c r="L83" s="31"/>
      <c r="M83" s="31"/>
      <c r="N83" s="31"/>
      <c r="O83" s="31"/>
      <c r="P83" s="31"/>
      <c r="Q83" s="31"/>
      <c r="R83" s="31"/>
      <c r="S83" s="31"/>
      <c r="T83" s="31"/>
      <c r="U83" s="31"/>
      <c r="V83" s="31"/>
      <c r="W83" s="31"/>
      <c r="X83" s="31"/>
      <c r="Y83" s="31"/>
      <c r="Z83" s="31"/>
    </row>
    <row r="84" spans="1:26" x14ac:dyDescent="0.25">
      <c r="A84" s="31"/>
      <c r="B84" s="31"/>
      <c r="C84" s="31"/>
      <c r="D84" s="31"/>
      <c r="E84" s="31"/>
      <c r="F84" s="31"/>
      <c r="G84" s="31"/>
      <c r="H84" s="31"/>
      <c r="I84" s="31"/>
      <c r="J84" s="31"/>
      <c r="K84" s="31"/>
      <c r="L84" s="31"/>
      <c r="M84" s="31"/>
      <c r="N84" s="31"/>
      <c r="O84" s="31"/>
      <c r="P84" s="31"/>
      <c r="Q84" s="31"/>
      <c r="R84" s="31"/>
      <c r="S84" s="31"/>
      <c r="T84" s="31"/>
      <c r="U84" s="31"/>
      <c r="V84" s="31"/>
      <c r="W84" s="31"/>
      <c r="X84" s="31"/>
      <c r="Y84" s="31"/>
      <c r="Z84" s="31"/>
    </row>
    <row r="85" spans="1:26" x14ac:dyDescent="0.25">
      <c r="A85" s="31"/>
      <c r="B85" s="31"/>
      <c r="C85" s="31"/>
      <c r="D85" s="31"/>
      <c r="E85" s="31"/>
      <c r="F85" s="31"/>
      <c r="G85" s="31"/>
      <c r="H85" s="31"/>
      <c r="I85" s="31"/>
      <c r="J85" s="31"/>
      <c r="K85" s="31"/>
      <c r="L85" s="31"/>
      <c r="M85" s="31"/>
      <c r="N85" s="31"/>
      <c r="O85" s="31"/>
      <c r="P85" s="31"/>
      <c r="Q85" s="31"/>
      <c r="R85" s="31"/>
      <c r="S85" s="31"/>
      <c r="T85" s="31"/>
      <c r="U85" s="31"/>
      <c r="V85" s="31"/>
      <c r="W85" s="31"/>
      <c r="X85" s="31"/>
      <c r="Y85" s="31"/>
      <c r="Z85" s="31"/>
    </row>
    <row r="86" spans="1:26" x14ac:dyDescent="0.25">
      <c r="A86" s="31"/>
      <c r="B86" s="31"/>
      <c r="C86" s="31"/>
      <c r="D86" s="31"/>
      <c r="E86" s="31"/>
      <c r="F86" s="31"/>
      <c r="G86" s="31"/>
      <c r="H86" s="31"/>
      <c r="I86" s="31"/>
      <c r="J86" s="31"/>
      <c r="K86" s="31"/>
      <c r="L86" s="31"/>
      <c r="M86" s="31"/>
      <c r="N86" s="31"/>
      <c r="O86" s="31"/>
      <c r="P86" s="31"/>
      <c r="Q86" s="31"/>
      <c r="R86" s="31"/>
      <c r="S86" s="31"/>
      <c r="T86" s="31"/>
      <c r="U86" s="31"/>
      <c r="V86" s="31"/>
      <c r="W86" s="31"/>
      <c r="X86" s="31"/>
      <c r="Y86" s="31"/>
      <c r="Z86" s="31"/>
    </row>
    <row r="87" spans="1:26" x14ac:dyDescent="0.25">
      <c r="A87" s="31"/>
      <c r="B87" s="31"/>
      <c r="C87" s="31"/>
      <c r="D87" s="31"/>
      <c r="E87" s="31"/>
      <c r="F87" s="31"/>
      <c r="G87" s="31"/>
      <c r="H87" s="31"/>
      <c r="I87" s="31"/>
      <c r="J87" s="31"/>
      <c r="K87" s="31"/>
      <c r="L87" s="31"/>
      <c r="M87" s="31"/>
      <c r="N87" s="31"/>
      <c r="O87" s="31"/>
      <c r="P87" s="31"/>
      <c r="Q87" s="31"/>
      <c r="R87" s="31"/>
      <c r="S87" s="31"/>
      <c r="T87" s="31"/>
      <c r="U87" s="31"/>
      <c r="V87" s="31"/>
      <c r="W87" s="31"/>
      <c r="X87" s="31"/>
      <c r="Y87" s="31"/>
      <c r="Z87" s="31"/>
    </row>
    <row r="88" spans="1:26" x14ac:dyDescent="0.25">
      <c r="A88" s="31"/>
      <c r="B88" s="31"/>
      <c r="C88" s="31"/>
      <c r="D88" s="31"/>
      <c r="E88" s="31"/>
      <c r="F88" s="31"/>
      <c r="G88" s="31"/>
      <c r="H88" s="31"/>
      <c r="I88" s="31"/>
      <c r="J88" s="31"/>
      <c r="K88" s="31"/>
      <c r="L88" s="31"/>
      <c r="M88" s="31"/>
      <c r="N88" s="31"/>
      <c r="O88" s="31"/>
      <c r="P88" s="31"/>
      <c r="Q88" s="31"/>
      <c r="R88" s="31"/>
      <c r="S88" s="31"/>
      <c r="T88" s="31"/>
      <c r="U88" s="31"/>
      <c r="V88" s="31"/>
      <c r="W88" s="31"/>
      <c r="X88" s="31"/>
      <c r="Y88" s="31"/>
      <c r="Z88" s="31"/>
    </row>
    <row r="89" spans="1:26" x14ac:dyDescent="0.25">
      <c r="A89" s="31"/>
      <c r="B89" s="31"/>
      <c r="C89" s="31"/>
      <c r="D89" s="31"/>
      <c r="E89" s="31"/>
      <c r="F89" s="31"/>
      <c r="G89" s="31"/>
      <c r="H89" s="31"/>
      <c r="I89" s="31"/>
      <c r="J89" s="31"/>
      <c r="K89" s="31"/>
      <c r="L89" s="31"/>
      <c r="M89" s="31"/>
      <c r="N89" s="31"/>
      <c r="O89" s="31"/>
      <c r="P89" s="31"/>
      <c r="Q89" s="31"/>
      <c r="R89" s="31"/>
      <c r="S89" s="31"/>
      <c r="T89" s="31"/>
      <c r="U89" s="31"/>
      <c r="V89" s="31"/>
      <c r="W89" s="31"/>
      <c r="X89" s="31"/>
      <c r="Y89" s="31"/>
      <c r="Z89" s="31"/>
    </row>
    <row r="90" spans="1:26" x14ac:dyDescent="0.25">
      <c r="A90" s="31"/>
      <c r="B90" s="31"/>
      <c r="C90" s="31"/>
      <c r="D90" s="31"/>
      <c r="E90" s="31"/>
      <c r="F90" s="31"/>
      <c r="G90" s="31"/>
      <c r="H90" s="31"/>
      <c r="I90" s="31"/>
      <c r="J90" s="31"/>
      <c r="K90" s="31"/>
      <c r="L90" s="31"/>
      <c r="M90" s="31"/>
      <c r="N90" s="31"/>
      <c r="O90" s="31"/>
      <c r="P90" s="31"/>
      <c r="Q90" s="31"/>
      <c r="R90" s="31"/>
      <c r="S90" s="31"/>
      <c r="T90" s="31"/>
      <c r="U90" s="31"/>
      <c r="V90" s="31"/>
      <c r="W90" s="31"/>
      <c r="X90" s="31"/>
      <c r="Y90" s="31"/>
      <c r="Z90" s="31"/>
    </row>
    <row r="91" spans="1:26" x14ac:dyDescent="0.25">
      <c r="A91" s="31"/>
      <c r="B91" s="31"/>
      <c r="C91" s="31"/>
      <c r="D91" s="31"/>
      <c r="E91" s="31"/>
      <c r="F91" s="31"/>
      <c r="G91" s="31"/>
      <c r="H91" s="31"/>
      <c r="I91" s="31"/>
      <c r="J91" s="31"/>
      <c r="K91" s="31"/>
      <c r="L91" s="31"/>
      <c r="M91" s="31"/>
      <c r="N91" s="31"/>
      <c r="O91" s="31"/>
      <c r="P91" s="31"/>
      <c r="Q91" s="31"/>
      <c r="R91" s="31"/>
      <c r="S91" s="31"/>
      <c r="T91" s="31"/>
      <c r="U91" s="31"/>
      <c r="V91" s="31"/>
      <c r="W91" s="31"/>
      <c r="X91" s="31"/>
      <c r="Y91" s="31"/>
      <c r="Z91" s="31"/>
    </row>
    <row r="92" spans="1:26" x14ac:dyDescent="0.25">
      <c r="A92" s="31"/>
      <c r="B92" s="31"/>
      <c r="C92" s="31"/>
      <c r="D92" s="31"/>
      <c r="E92" s="31"/>
      <c r="F92" s="31"/>
      <c r="G92" s="31"/>
      <c r="H92" s="31"/>
      <c r="I92" s="31"/>
      <c r="J92" s="31"/>
      <c r="K92" s="31"/>
      <c r="L92" s="31"/>
      <c r="M92" s="31"/>
      <c r="N92" s="31"/>
      <c r="O92" s="31"/>
      <c r="P92" s="31"/>
      <c r="Q92" s="31"/>
      <c r="R92" s="31"/>
      <c r="S92" s="31"/>
      <c r="T92" s="31"/>
      <c r="U92" s="31"/>
      <c r="V92" s="31"/>
      <c r="W92" s="31"/>
      <c r="X92" s="31"/>
      <c r="Y92" s="31"/>
      <c r="Z92" s="31"/>
    </row>
    <row r="93" spans="1:26" x14ac:dyDescent="0.25">
      <c r="A93" s="31"/>
      <c r="B93" s="31"/>
      <c r="C93" s="31"/>
      <c r="D93" s="31"/>
      <c r="E93" s="31"/>
      <c r="F93" s="31"/>
      <c r="G93" s="31"/>
      <c r="H93" s="31"/>
      <c r="I93" s="31"/>
      <c r="J93" s="31"/>
      <c r="K93" s="31"/>
      <c r="L93" s="31"/>
      <c r="M93" s="31"/>
      <c r="N93" s="31"/>
      <c r="O93" s="31"/>
      <c r="P93" s="31"/>
      <c r="Q93" s="31"/>
      <c r="R93" s="31"/>
      <c r="S93" s="31"/>
      <c r="T93" s="31"/>
      <c r="U93" s="31"/>
      <c r="V93" s="31"/>
      <c r="W93" s="31"/>
      <c r="X93" s="31"/>
      <c r="Y93" s="31"/>
      <c r="Z93" s="31"/>
    </row>
    <row r="94" spans="1:26" x14ac:dyDescent="0.25">
      <c r="A94" s="31"/>
      <c r="B94" s="31"/>
      <c r="C94" s="31"/>
      <c r="D94" s="31"/>
      <c r="E94" s="31"/>
      <c r="F94" s="31"/>
      <c r="G94" s="31"/>
      <c r="H94" s="31"/>
      <c r="I94" s="31"/>
      <c r="J94" s="31"/>
      <c r="K94" s="31"/>
      <c r="L94" s="31"/>
      <c r="M94" s="31"/>
      <c r="N94" s="31"/>
      <c r="O94" s="31"/>
      <c r="P94" s="31"/>
      <c r="Q94" s="31"/>
      <c r="R94" s="31"/>
      <c r="S94" s="31"/>
      <c r="T94" s="31"/>
      <c r="U94" s="31"/>
      <c r="V94" s="31"/>
      <c r="W94" s="31"/>
      <c r="X94" s="31"/>
      <c r="Y94" s="31"/>
      <c r="Z94" s="31"/>
    </row>
    <row r="95" spans="1:26" x14ac:dyDescent="0.25">
      <c r="A95" s="31"/>
      <c r="B95" s="31"/>
      <c r="C95" s="31"/>
      <c r="D95" s="31"/>
      <c r="E95" s="31"/>
      <c r="F95" s="31"/>
      <c r="G95" s="31"/>
      <c r="H95" s="31"/>
      <c r="I95" s="31"/>
      <c r="J95" s="31"/>
      <c r="K95" s="31"/>
      <c r="L95" s="31"/>
      <c r="M95" s="31"/>
      <c r="N95" s="31"/>
      <c r="O95" s="31"/>
      <c r="P95" s="31"/>
      <c r="Q95" s="31"/>
      <c r="R95" s="31"/>
      <c r="S95" s="31"/>
      <c r="T95" s="31"/>
      <c r="U95" s="31"/>
      <c r="V95" s="31"/>
      <c r="W95" s="31"/>
      <c r="X95" s="31"/>
      <c r="Y95" s="31"/>
      <c r="Z95" s="31"/>
    </row>
    <row r="96" spans="1:26" x14ac:dyDescent="0.25">
      <c r="A96" s="31"/>
      <c r="B96" s="31"/>
      <c r="C96" s="31"/>
      <c r="D96" s="31"/>
      <c r="E96" s="31"/>
      <c r="F96" s="31"/>
      <c r="G96" s="31"/>
      <c r="H96" s="31"/>
      <c r="I96" s="31"/>
      <c r="J96" s="31"/>
      <c r="K96" s="31"/>
      <c r="L96" s="31"/>
      <c r="M96" s="31"/>
      <c r="N96" s="31"/>
      <c r="O96" s="31"/>
      <c r="P96" s="31"/>
      <c r="Q96" s="31"/>
      <c r="R96" s="31"/>
      <c r="S96" s="31"/>
      <c r="T96" s="31"/>
      <c r="U96" s="31"/>
      <c r="V96" s="31"/>
      <c r="W96" s="31"/>
      <c r="X96" s="31"/>
      <c r="Y96" s="31"/>
      <c r="Z96" s="31"/>
    </row>
    <row r="97" spans="1:26" x14ac:dyDescent="0.25">
      <c r="A97" s="31"/>
      <c r="B97" s="31"/>
      <c r="C97" s="31"/>
      <c r="D97" s="31"/>
      <c r="E97" s="31"/>
      <c r="F97" s="31"/>
      <c r="G97" s="31"/>
      <c r="H97" s="31"/>
      <c r="I97" s="31"/>
      <c r="J97" s="31"/>
      <c r="K97" s="31"/>
      <c r="L97" s="31"/>
      <c r="M97" s="31"/>
      <c r="N97" s="31"/>
      <c r="O97" s="31"/>
      <c r="P97" s="31"/>
      <c r="Q97" s="31"/>
      <c r="R97" s="31"/>
      <c r="S97" s="31"/>
      <c r="T97" s="31"/>
      <c r="U97" s="31"/>
      <c r="V97" s="31"/>
      <c r="W97" s="31"/>
      <c r="X97" s="31"/>
      <c r="Y97" s="31"/>
      <c r="Z97" s="31"/>
    </row>
    <row r="98" spans="1:26" x14ac:dyDescent="0.25">
      <c r="A98" s="31"/>
      <c r="B98" s="31"/>
      <c r="C98" s="31"/>
      <c r="D98" s="31"/>
      <c r="E98" s="31"/>
      <c r="F98" s="31"/>
      <c r="G98" s="31"/>
      <c r="H98" s="31"/>
      <c r="I98" s="31"/>
      <c r="J98" s="31"/>
      <c r="K98" s="31"/>
      <c r="L98" s="31"/>
      <c r="M98" s="31"/>
      <c r="N98" s="31"/>
      <c r="O98" s="31"/>
      <c r="P98" s="31"/>
      <c r="Q98" s="31"/>
      <c r="R98" s="31"/>
      <c r="S98" s="31"/>
      <c r="T98" s="31"/>
      <c r="U98" s="31"/>
      <c r="V98" s="31"/>
      <c r="W98" s="31"/>
      <c r="X98" s="31"/>
      <c r="Y98" s="31"/>
      <c r="Z98" s="31"/>
    </row>
    <row r="99" spans="1:26" x14ac:dyDescent="0.25">
      <c r="A99" s="31"/>
      <c r="B99" s="31"/>
      <c r="C99" s="31"/>
      <c r="D99" s="31"/>
      <c r="E99" s="31"/>
      <c r="F99" s="31"/>
      <c r="G99" s="31"/>
      <c r="H99" s="31"/>
      <c r="I99" s="31"/>
      <c r="J99" s="31"/>
      <c r="K99" s="31"/>
      <c r="L99" s="31"/>
      <c r="M99" s="31"/>
      <c r="N99" s="31"/>
      <c r="O99" s="31"/>
      <c r="P99" s="31"/>
      <c r="Q99" s="31"/>
      <c r="R99" s="31"/>
      <c r="S99" s="31"/>
      <c r="T99" s="31"/>
      <c r="U99" s="31"/>
      <c r="V99" s="31"/>
      <c r="W99" s="31"/>
      <c r="X99" s="31"/>
      <c r="Y99" s="31"/>
      <c r="Z99" s="31"/>
    </row>
  </sheetData>
  <mergeCells count="8">
    <mergeCell ref="B31:D31"/>
    <mergeCell ref="A16:D16"/>
    <mergeCell ref="B19:D19"/>
    <mergeCell ref="B20:D20"/>
    <mergeCell ref="B23:D23"/>
    <mergeCell ref="B26:D26"/>
    <mergeCell ref="B30:D30"/>
    <mergeCell ref="B24:D24"/>
  </mergeCells>
  <hyperlinks>
    <hyperlink ref="B30" r:id="rId1" xr:uid="{E3D83E1E-7C42-4532-9DF5-A3A399664E1F}"/>
    <hyperlink ref="B32" r:id="rId2" xr:uid="{C175474B-D142-4EE1-9EA1-68FBD55DEC89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6C345-0D8E-4CDB-A3D4-9EEBCC27251E}">
  <sheetPr codeName="Sheet1"/>
  <dimension ref="A3:AD37"/>
  <sheetViews>
    <sheetView workbookViewId="0">
      <selection activeCell="D8" sqref="D8"/>
    </sheetView>
  </sheetViews>
  <sheetFormatPr defaultColWidth="9.140625" defaultRowHeight="15" x14ac:dyDescent="0.25"/>
  <cols>
    <col min="1" max="1" width="12.140625" customWidth="1"/>
    <col min="2" max="2" width="11.7109375" customWidth="1"/>
    <col min="3" max="3" width="3.140625" bestFit="1" customWidth="1"/>
    <col min="4" max="4" width="8.5703125" bestFit="1" customWidth="1"/>
    <col min="5" max="5" width="6.42578125" bestFit="1" customWidth="1"/>
    <col min="6" max="6" width="4.85546875" bestFit="1" customWidth="1"/>
    <col min="7" max="7" width="5.7109375" bestFit="1" customWidth="1"/>
    <col min="8" max="8" width="5.85546875" bestFit="1" customWidth="1"/>
    <col min="9" max="9" width="5.42578125" bestFit="1" customWidth="1"/>
    <col min="10" max="11" width="5.7109375" bestFit="1" customWidth="1"/>
    <col min="12" max="12" width="6.5703125" bestFit="1" customWidth="1"/>
    <col min="13" max="13" width="6.140625" bestFit="1" customWidth="1"/>
    <col min="14" max="14" width="6.7109375" bestFit="1" customWidth="1"/>
    <col min="15" max="15" width="6.5703125" bestFit="1" customWidth="1"/>
    <col min="16" max="16" width="7.28515625" bestFit="1" customWidth="1"/>
    <col min="17" max="17" width="5.7109375" bestFit="1" customWidth="1"/>
    <col min="18" max="18" width="6.140625" bestFit="1" customWidth="1"/>
    <col min="19" max="19" width="5.7109375" bestFit="1" customWidth="1"/>
    <col min="20" max="20" width="5.5703125" bestFit="1" customWidth="1"/>
    <col min="21" max="21" width="5.85546875" bestFit="1" customWidth="1"/>
    <col min="22" max="22" width="6.7109375" bestFit="1" customWidth="1"/>
    <col min="23" max="23" width="4.85546875" bestFit="1" customWidth="1"/>
    <col min="24" max="24" width="7.5703125" customWidth="1"/>
    <col min="25" max="25" width="6.7109375" bestFit="1" customWidth="1"/>
    <col min="26" max="26" width="6.140625" bestFit="1" customWidth="1"/>
    <col min="27" max="28" width="6" bestFit="1" customWidth="1"/>
    <col min="29" max="29" width="5.7109375" bestFit="1" customWidth="1"/>
    <col min="30" max="30" width="6.7109375" bestFit="1" customWidth="1"/>
  </cols>
  <sheetData>
    <row r="3" spans="1:30" x14ac:dyDescent="0.25">
      <c r="C3" s="20" t="str" cm="1">
        <f t="array" ref="C3">IF(LEFT(INDEX(C5:C7,$A$4),1)&lt;&gt;"*",INDEX(C5:C7,$A$4),"")</f>
        <v>IE</v>
      </c>
      <c r="D3" s="20" t="str" cm="1">
        <f t="array" ref="D3">IF(LEFT(INDEX(D5:D7,$A$4),1)&lt;&gt;"*",INDEX(D5:D7,$A$4),"")</f>
        <v>National</v>
      </c>
      <c r="E3" s="20" t="str" cm="1">
        <f t="array" ref="E3">IF(LEFT(INDEX(E5:E7,$A$4),1)&lt;&gt;"*",INDEX(E5:E7,$A$4),"")</f>
        <v>IE-CW</v>
      </c>
      <c r="F3" s="20" t="str" cm="1">
        <f t="array" ref="F3">IF(LEFT(INDEX(F5:F7,$A$4),1)&lt;&gt;"*",INDEX(F5:F7,$A$4),"")</f>
        <v>IE-D</v>
      </c>
      <c r="G3" s="20" t="str" cm="1">
        <f t="array" ref="G3">IF(LEFT(INDEX(G5:G7,$A$4),1)&lt;&gt;"*",INDEX(G5:G7,$A$4),"")</f>
        <v>IE-KE</v>
      </c>
      <c r="H3" s="20" t="str" cm="1">
        <f t="array" ref="H3">IF(LEFT(INDEX(H5:H7,$A$4),1)&lt;&gt;"*",INDEX(H5:H7,$A$4),"")</f>
        <v>IE-KK</v>
      </c>
      <c r="I3" s="20" t="str" cm="1">
        <f t="array" ref="I3">IF(LEFT(INDEX(I5:I7,$A$4),1)&lt;&gt;"*",INDEX(I5:I7,$A$4),"")</f>
        <v>IE-LS</v>
      </c>
      <c r="J3" s="20" t="str" cm="1">
        <f t="array" ref="J3">IF(LEFT(INDEX(J5:J7,$A$4),1)&lt;&gt;"*",INDEX(J5:J7,$A$4),"")</f>
        <v>IE-LD</v>
      </c>
      <c r="K3" s="20" t="str" cm="1">
        <f t="array" ref="K3">IF(LEFT(INDEX(K5:K7,$A$4),1)&lt;&gt;"*",INDEX(K5:K7,$A$4),"")</f>
        <v>IE-LH</v>
      </c>
      <c r="L3" s="20" t="str" cm="1">
        <f t="array" ref="L3">IF(LEFT(INDEX(L5:L7,$A$4),1)&lt;&gt;"*",INDEX(L5:L7,$A$4),"")</f>
        <v>IE-MH</v>
      </c>
      <c r="M3" s="20" t="str" cm="1">
        <f t="array" ref="M3">IF(LEFT(INDEX(M5:M7,$A$4),1)&lt;&gt;"*",INDEX(M5:M7,$A$4),"")</f>
        <v>IE-OY</v>
      </c>
      <c r="N3" s="20" t="str" cm="1">
        <f t="array" ref="N3">IF(LEFT(INDEX(N5:N7,$A$4),1)&lt;&gt;"*",INDEX(N5:N7,$A$4),"")</f>
        <v>IE-WH</v>
      </c>
      <c r="O3" s="20" t="str" cm="1">
        <f t="array" ref="O3">IF(LEFT(INDEX(O5:O7,$A$4),1)&lt;&gt;"*",INDEX(O5:O7,$A$4),"")</f>
        <v>IE-WX</v>
      </c>
      <c r="P3" s="20" t="str" cm="1">
        <f t="array" ref="P3">IF(LEFT(INDEX(P5:P7,$A$4),1)&lt;&gt;"*",INDEX(P5:P7,$A$4),"")</f>
        <v>IE-WW</v>
      </c>
      <c r="Q3" s="20" t="str" cm="1">
        <f t="array" ref="Q3">IF(LEFT(INDEX(Q5:Q7,$A$4),1)&lt;&gt;"*",INDEX(Q5:Q7,$A$4),"")</f>
        <v>IE-CE</v>
      </c>
      <c r="R3" s="20" t="str" cm="1">
        <f t="array" ref="R3">IF(LEFT(INDEX(R5:R7,$A$4),1)&lt;&gt;"*",INDEX(R5:R7,$A$4),"")</f>
        <v>IE-CO</v>
      </c>
      <c r="S3" s="20" t="str" cm="1">
        <f t="array" ref="S3">IF(LEFT(INDEX(S5:S7,$A$4),1)&lt;&gt;"*",INDEX(S5:S7,$A$4),"")</f>
        <v>IE-KY</v>
      </c>
      <c r="T3" s="20" t="str" cm="1">
        <f t="array" ref="T3">IF(LEFT(INDEX(T5:T7,$A$4),1)&lt;&gt;"*",INDEX(T5:T7,$A$4),"")</f>
        <v>IE-LK</v>
      </c>
      <c r="U3" s="20" t="str" cm="1">
        <f t="array" ref="U3">IF(LEFT(INDEX(U5:U7,$A$4),1)&lt;&gt;"*",INDEX(U5:U7,$A$4),"")</f>
        <v>IE-TA</v>
      </c>
      <c r="V3" s="20" t="str" cm="1">
        <f t="array" ref="V3">IF(LEFT(INDEX(V5:V7,$A$4),1)&lt;&gt;"*",INDEX(V5:V7,$A$4),"")</f>
        <v>IE-WD</v>
      </c>
      <c r="W3" s="20" t="str" cm="1">
        <f t="array" ref="W3">IF(LEFT(INDEX(W5:W7,$A$4),1)&lt;&gt;"*",INDEX(W5:W7,$A$4),"")</f>
        <v>IE-G</v>
      </c>
      <c r="X3" s="20" t="str" cm="1">
        <f t="array" ref="X3">IF(LEFT(INDEX(X5:X7,$A$4),1)&lt;&gt;"*",INDEX(X5:X7,$A$4),"")</f>
        <v>IE-LM</v>
      </c>
      <c r="Y3" s="20" t="str" cm="1">
        <f t="array" ref="Y3">IF(LEFT(INDEX(Y5:Y7,$A$4),1)&lt;&gt;"*",INDEX(Y5:Y7,$A$4),"")</f>
        <v>IE-MO</v>
      </c>
      <c r="Z3" s="20" t="str" cm="1">
        <f t="array" ref="Z3">IF(LEFT(INDEX(Z5:Z7,$A$4),1)&lt;&gt;"*",INDEX(Z5:Z7,$A$4),"")</f>
        <v>IE-RN</v>
      </c>
      <c r="AA3" s="20" t="str" cm="1">
        <f t="array" ref="AA3">IF(LEFT(INDEX(AA5:AA7,$A$4),1)&lt;&gt;"*",INDEX(AA5:AA7,$A$4),"")</f>
        <v>IE-SO</v>
      </c>
      <c r="AB3" s="20" t="str" cm="1">
        <f t="array" ref="AB3">IF(LEFT(INDEX(AB5:AB7,$A$4),1)&lt;&gt;"*",INDEX(AB5:AB7,$A$4),"")</f>
        <v>IE-CN</v>
      </c>
      <c r="AC3" s="20" t="str" cm="1">
        <f t="array" ref="AC3">IF(LEFT(INDEX(AC5:AC7,$A$4),1)&lt;&gt;"*",INDEX(AC5:AC7,$A$4),"")</f>
        <v>IE-DL</v>
      </c>
      <c r="AD3" s="20" t="str" cm="1">
        <f t="array" ref="AD3">IF(LEFT(INDEX(AD5:AD7,$A$4),1)&lt;&gt;"*",INDEX(AD5:AD7,$A$4),"")</f>
        <v>IE-MN</v>
      </c>
    </row>
    <row r="4" spans="1:30" x14ac:dyDescent="0.25">
      <c r="A4">
        <v>1</v>
      </c>
    </row>
    <row r="5" spans="1:30" x14ac:dyDescent="0.25">
      <c r="A5" t="s">
        <v>52</v>
      </c>
      <c r="C5" s="21" t="s">
        <v>53</v>
      </c>
      <c r="D5" s="21" t="s">
        <v>127</v>
      </c>
      <c r="E5" s="20" t="str">
        <f>Regions!A11</f>
        <v>IE-CW</v>
      </c>
      <c r="F5" s="20" t="str">
        <f>Regions!A16</f>
        <v>IE-D</v>
      </c>
      <c r="G5" s="20" t="str">
        <f>Regions!A19</f>
        <v>IE-KE</v>
      </c>
      <c r="H5" s="20" t="str">
        <f>Regions!A20</f>
        <v>IE-KK</v>
      </c>
      <c r="I5" s="20" t="str">
        <f>Regions!A21</f>
        <v>IE-LS</v>
      </c>
      <c r="J5" s="20" t="str">
        <f>Regions!A24</f>
        <v>IE-LD</v>
      </c>
      <c r="K5" s="20" t="str">
        <f>Regions!A25</f>
        <v>IE-LH</v>
      </c>
      <c r="L5" s="20" t="str">
        <f>Regions!A27</f>
        <v>IE-MH</v>
      </c>
      <c r="M5" s="20" t="str">
        <f>Regions!A29</f>
        <v>IE-OY</v>
      </c>
      <c r="N5" s="20" t="str">
        <f>Regions!A34</f>
        <v>IE-WH</v>
      </c>
      <c r="O5" s="20" t="str">
        <f>Regions!A35</f>
        <v>IE-WX</v>
      </c>
      <c r="P5" s="20" t="str">
        <f>Regions!A36</f>
        <v>IE-WW</v>
      </c>
      <c r="Q5" s="20" t="str">
        <f>Regions!A13</f>
        <v>IE-CE</v>
      </c>
      <c r="R5" s="20" t="str">
        <f>Regions!A14</f>
        <v>IE-CO</v>
      </c>
      <c r="S5" s="20" t="str">
        <f>Regions!A18</f>
        <v>IE-KY</v>
      </c>
      <c r="T5" s="20" t="str">
        <f>Regions!A23</f>
        <v>IE-LK</v>
      </c>
      <c r="U5" s="20" t="str">
        <f>Regions!A32</f>
        <v>IE-TA</v>
      </c>
      <c r="V5" s="20" t="str">
        <f>Regions!A33</f>
        <v>IE-WD</v>
      </c>
      <c r="W5" s="20" t="str">
        <f>Regions!A17</f>
        <v>IE-G</v>
      </c>
      <c r="X5" s="20" t="str">
        <f>Regions!A22</f>
        <v>IE-LM</v>
      </c>
      <c r="Y5" s="20" t="str">
        <f>Regions!A26</f>
        <v>IE-MO</v>
      </c>
      <c r="Z5" s="20" t="str">
        <f>Regions!A30</f>
        <v>IE-RN</v>
      </c>
      <c r="AA5" s="20" t="str">
        <f>Regions!A31</f>
        <v>IE-SO</v>
      </c>
      <c r="AB5" s="20" t="str">
        <f>Regions!A12</f>
        <v>IE-CN</v>
      </c>
      <c r="AC5" s="20" t="str">
        <f>Regions!A15</f>
        <v>IE-DL</v>
      </c>
      <c r="AD5" s="20" t="str">
        <f>Regions!A28</f>
        <v>IE-MN</v>
      </c>
    </row>
    <row r="6" spans="1:30" x14ac:dyDescent="0.25">
      <c r="A6" t="s">
        <v>54</v>
      </c>
      <c r="C6" s="20" t="str">
        <f>C5</f>
        <v>IE</v>
      </c>
      <c r="D6" s="20" t="str">
        <f>IF(LEFT(D5,1)&lt;&gt;"*","*"&amp;D5,D5)</f>
        <v>*National</v>
      </c>
      <c r="E6" s="20" t="str">
        <f t="shared" ref="E6:AD6" si="0">IF(LEFT(E5,1)&lt;&gt;"*","*"&amp;E5,E5)</f>
        <v>*IE-CW</v>
      </c>
      <c r="F6" s="20" t="str">
        <f t="shared" si="0"/>
        <v>*IE-D</v>
      </c>
      <c r="G6" s="20" t="str">
        <f t="shared" si="0"/>
        <v>*IE-KE</v>
      </c>
      <c r="H6" s="20" t="str">
        <f t="shared" si="0"/>
        <v>*IE-KK</v>
      </c>
      <c r="I6" s="20" t="str">
        <f t="shared" si="0"/>
        <v>*IE-LS</v>
      </c>
      <c r="J6" s="20" t="str">
        <f t="shared" si="0"/>
        <v>*IE-LD</v>
      </c>
      <c r="K6" s="20" t="str">
        <f t="shared" si="0"/>
        <v>*IE-LH</v>
      </c>
      <c r="L6" s="20" t="str">
        <f t="shared" si="0"/>
        <v>*IE-MH</v>
      </c>
      <c r="M6" s="20" t="str">
        <f t="shared" si="0"/>
        <v>*IE-OY</v>
      </c>
      <c r="N6" s="20" t="str">
        <f t="shared" si="0"/>
        <v>*IE-WH</v>
      </c>
      <c r="O6" s="20" t="str">
        <f t="shared" si="0"/>
        <v>*IE-WX</v>
      </c>
      <c r="P6" s="20" t="str">
        <f t="shared" si="0"/>
        <v>*IE-WW</v>
      </c>
      <c r="Q6" s="20" t="str">
        <f t="shared" si="0"/>
        <v>*IE-CE</v>
      </c>
      <c r="R6" s="20" t="str">
        <f t="shared" si="0"/>
        <v>*IE-CO</v>
      </c>
      <c r="S6" s="20" t="str">
        <f t="shared" si="0"/>
        <v>*IE-KY</v>
      </c>
      <c r="T6" s="20" t="str">
        <f t="shared" si="0"/>
        <v>*IE-LK</v>
      </c>
      <c r="U6" s="20" t="str">
        <f t="shared" si="0"/>
        <v>*IE-TA</v>
      </c>
      <c r="V6" s="20" t="str">
        <f t="shared" si="0"/>
        <v>*IE-WD</v>
      </c>
      <c r="W6" s="20" t="str">
        <f t="shared" si="0"/>
        <v>*IE-G</v>
      </c>
      <c r="X6" s="20" t="str">
        <f t="shared" si="0"/>
        <v>*IE-LM</v>
      </c>
      <c r="Y6" s="20" t="str">
        <f t="shared" si="0"/>
        <v>*IE-MO</v>
      </c>
      <c r="Z6" s="20" t="str">
        <f t="shared" si="0"/>
        <v>*IE-RN</v>
      </c>
      <c r="AA6" s="20" t="str">
        <f t="shared" si="0"/>
        <v>*IE-SO</v>
      </c>
      <c r="AB6" s="20" t="str">
        <f t="shared" si="0"/>
        <v>*IE-CN</v>
      </c>
      <c r="AC6" s="20" t="str">
        <f t="shared" si="0"/>
        <v>*IE-DL</v>
      </c>
      <c r="AD6" s="20" t="str">
        <f t="shared" si="0"/>
        <v>*IE-MN</v>
      </c>
    </row>
    <row r="7" spans="1:30" x14ac:dyDescent="0.25">
      <c r="A7" t="s">
        <v>55</v>
      </c>
      <c r="C7" s="20" t="str">
        <f>"*"&amp;C5</f>
        <v>*IE</v>
      </c>
      <c r="D7" s="20" t="str">
        <f>D5</f>
        <v>National</v>
      </c>
      <c r="E7" s="20" t="str">
        <f t="shared" ref="E7:AD7" si="1">E5</f>
        <v>IE-CW</v>
      </c>
      <c r="F7" s="20" t="str">
        <f t="shared" si="1"/>
        <v>IE-D</v>
      </c>
      <c r="G7" s="20" t="str">
        <f t="shared" si="1"/>
        <v>IE-KE</v>
      </c>
      <c r="H7" s="20" t="str">
        <f t="shared" si="1"/>
        <v>IE-KK</v>
      </c>
      <c r="I7" s="20" t="str">
        <f t="shared" si="1"/>
        <v>IE-LS</v>
      </c>
      <c r="J7" s="20" t="str">
        <f t="shared" si="1"/>
        <v>IE-LD</v>
      </c>
      <c r="K7" s="20" t="str">
        <f t="shared" si="1"/>
        <v>IE-LH</v>
      </c>
      <c r="L7" s="20" t="str">
        <f t="shared" si="1"/>
        <v>IE-MH</v>
      </c>
      <c r="M7" s="20" t="str">
        <f t="shared" si="1"/>
        <v>IE-OY</v>
      </c>
      <c r="N7" s="20" t="str">
        <f t="shared" si="1"/>
        <v>IE-WH</v>
      </c>
      <c r="O7" s="20" t="str">
        <f t="shared" si="1"/>
        <v>IE-WX</v>
      </c>
      <c r="P7" s="20" t="str">
        <f t="shared" si="1"/>
        <v>IE-WW</v>
      </c>
      <c r="Q7" s="20" t="str">
        <f t="shared" si="1"/>
        <v>IE-CE</v>
      </c>
      <c r="R7" s="20" t="str">
        <f t="shared" si="1"/>
        <v>IE-CO</v>
      </c>
      <c r="S7" s="20" t="str">
        <f t="shared" si="1"/>
        <v>IE-KY</v>
      </c>
      <c r="T7" s="20" t="str">
        <f t="shared" si="1"/>
        <v>IE-LK</v>
      </c>
      <c r="U7" s="20" t="str">
        <f t="shared" si="1"/>
        <v>IE-TA</v>
      </c>
      <c r="V7" s="20" t="str">
        <f t="shared" si="1"/>
        <v>IE-WD</v>
      </c>
      <c r="W7" s="20" t="str">
        <f t="shared" si="1"/>
        <v>IE-G</v>
      </c>
      <c r="X7" s="20" t="str">
        <f t="shared" si="1"/>
        <v>IE-LM</v>
      </c>
      <c r="Y7" s="20" t="str">
        <f t="shared" si="1"/>
        <v>IE-MO</v>
      </c>
      <c r="Z7" s="20" t="str">
        <f t="shared" si="1"/>
        <v>IE-RN</v>
      </c>
      <c r="AA7" s="20" t="str">
        <f t="shared" si="1"/>
        <v>IE-SO</v>
      </c>
      <c r="AB7" s="20" t="str">
        <f t="shared" si="1"/>
        <v>IE-CN</v>
      </c>
      <c r="AC7" s="20" t="str">
        <f t="shared" si="1"/>
        <v>IE-DL</v>
      </c>
      <c r="AD7" s="20" t="str">
        <f t="shared" si="1"/>
        <v>IE-MN</v>
      </c>
    </row>
    <row r="10" spans="1:30" ht="15.75" thickBot="1" x14ac:dyDescent="0.3">
      <c r="A10" s="22" t="s">
        <v>56</v>
      </c>
      <c r="B10" s="22" t="s">
        <v>57</v>
      </c>
    </row>
    <row r="11" spans="1:30" x14ac:dyDescent="0.25">
      <c r="A11" s="23" t="s">
        <v>58</v>
      </c>
      <c r="B11" s="23" t="s">
        <v>59</v>
      </c>
    </row>
    <row r="12" spans="1:30" x14ac:dyDescent="0.25">
      <c r="A12" s="24" t="s">
        <v>60</v>
      </c>
      <c r="B12" s="24" t="s">
        <v>61</v>
      </c>
    </row>
    <row r="13" spans="1:30" x14ac:dyDescent="0.25">
      <c r="A13" s="24" t="s">
        <v>62</v>
      </c>
      <c r="B13" s="24" t="s">
        <v>63</v>
      </c>
    </row>
    <row r="14" spans="1:30" x14ac:dyDescent="0.25">
      <c r="A14" s="24" t="s">
        <v>64</v>
      </c>
      <c r="B14" s="24" t="s">
        <v>65</v>
      </c>
    </row>
    <row r="15" spans="1:30" x14ac:dyDescent="0.25">
      <c r="A15" s="24" t="s">
        <v>66</v>
      </c>
      <c r="B15" s="24" t="s">
        <v>67</v>
      </c>
    </row>
    <row r="16" spans="1:30" x14ac:dyDescent="0.25">
      <c r="A16" s="24" t="s">
        <v>68</v>
      </c>
      <c r="B16" s="24" t="s">
        <v>69</v>
      </c>
    </row>
    <row r="17" spans="1:2" x14ac:dyDescent="0.25">
      <c r="A17" s="24" t="s">
        <v>70</v>
      </c>
      <c r="B17" s="24" t="s">
        <v>71</v>
      </c>
    </row>
    <row r="18" spans="1:2" x14ac:dyDescent="0.25">
      <c r="A18" s="24" t="s">
        <v>72</v>
      </c>
      <c r="B18" s="24" t="s">
        <v>73</v>
      </c>
    </row>
    <row r="19" spans="1:2" x14ac:dyDescent="0.25">
      <c r="A19" s="24" t="s">
        <v>74</v>
      </c>
      <c r="B19" s="24" t="s">
        <v>75</v>
      </c>
    </row>
    <row r="20" spans="1:2" x14ac:dyDescent="0.25">
      <c r="A20" s="24" t="s">
        <v>76</v>
      </c>
      <c r="B20" s="24" t="s">
        <v>77</v>
      </c>
    </row>
    <row r="21" spans="1:2" x14ac:dyDescent="0.25">
      <c r="A21" s="24" t="s">
        <v>78</v>
      </c>
      <c r="B21" s="24" t="s">
        <v>79</v>
      </c>
    </row>
    <row r="22" spans="1:2" x14ac:dyDescent="0.25">
      <c r="A22" s="24" t="s">
        <v>80</v>
      </c>
      <c r="B22" s="24" t="s">
        <v>81</v>
      </c>
    </row>
    <row r="23" spans="1:2" x14ac:dyDescent="0.25">
      <c r="A23" s="24" t="s">
        <v>82</v>
      </c>
      <c r="B23" s="24" t="s">
        <v>83</v>
      </c>
    </row>
    <row r="24" spans="1:2" x14ac:dyDescent="0.25">
      <c r="A24" s="24" t="s">
        <v>84</v>
      </c>
      <c r="B24" s="24" t="s">
        <v>85</v>
      </c>
    </row>
    <row r="25" spans="1:2" x14ac:dyDescent="0.25">
      <c r="A25" s="24" t="s">
        <v>86</v>
      </c>
      <c r="B25" s="24" t="s">
        <v>87</v>
      </c>
    </row>
    <row r="26" spans="1:2" x14ac:dyDescent="0.25">
      <c r="A26" s="24" t="s">
        <v>88</v>
      </c>
      <c r="B26" s="24" t="s">
        <v>89</v>
      </c>
    </row>
    <row r="27" spans="1:2" x14ac:dyDescent="0.25">
      <c r="A27" s="24" t="s">
        <v>90</v>
      </c>
      <c r="B27" s="24" t="s">
        <v>91</v>
      </c>
    </row>
    <row r="28" spans="1:2" x14ac:dyDescent="0.25">
      <c r="A28" s="24" t="s">
        <v>92</v>
      </c>
      <c r="B28" s="24" t="s">
        <v>93</v>
      </c>
    </row>
    <row r="29" spans="1:2" x14ac:dyDescent="0.25">
      <c r="A29" s="24" t="s">
        <v>94</v>
      </c>
      <c r="B29" s="24" t="s">
        <v>95</v>
      </c>
    </row>
    <row r="30" spans="1:2" x14ac:dyDescent="0.25">
      <c r="A30" s="24" t="s">
        <v>96</v>
      </c>
      <c r="B30" s="24" t="s">
        <v>97</v>
      </c>
    </row>
    <row r="31" spans="1:2" x14ac:dyDescent="0.25">
      <c r="A31" s="24" t="s">
        <v>98</v>
      </c>
      <c r="B31" s="24" t="s">
        <v>99</v>
      </c>
    </row>
    <row r="32" spans="1:2" x14ac:dyDescent="0.25">
      <c r="A32" s="24" t="s">
        <v>100</v>
      </c>
      <c r="B32" s="24" t="s">
        <v>101</v>
      </c>
    </row>
    <row r="33" spans="1:2" x14ac:dyDescent="0.25">
      <c r="A33" s="24" t="s">
        <v>102</v>
      </c>
      <c r="B33" s="24" t="s">
        <v>103</v>
      </c>
    </row>
    <row r="34" spans="1:2" x14ac:dyDescent="0.25">
      <c r="A34" s="24" t="s">
        <v>104</v>
      </c>
      <c r="B34" s="24" t="s">
        <v>105</v>
      </c>
    </row>
    <row r="35" spans="1:2" x14ac:dyDescent="0.25">
      <c r="A35" s="24" t="s">
        <v>106</v>
      </c>
      <c r="B35" s="24" t="s">
        <v>107</v>
      </c>
    </row>
    <row r="36" spans="1:2" x14ac:dyDescent="0.25">
      <c r="A36" s="24" t="s">
        <v>108</v>
      </c>
      <c r="B36" s="24" t="s">
        <v>109</v>
      </c>
    </row>
    <row r="37" spans="1:2" x14ac:dyDescent="0.25">
      <c r="A37" s="25" t="s">
        <v>110</v>
      </c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3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38100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17C8F-9D07-4311-9372-0B0C534E50C4}">
  <dimension ref="A2:N17"/>
  <sheetViews>
    <sheetView zoomScaleNormal="100" workbookViewId="0">
      <selection activeCell="L17" sqref="L17"/>
    </sheetView>
  </sheetViews>
  <sheetFormatPr defaultRowHeight="15" x14ac:dyDescent="0.25"/>
  <cols>
    <col min="2" max="2" width="26.42578125" bestFit="1" customWidth="1"/>
    <col min="3" max="3" width="15.5703125" bestFit="1" customWidth="1"/>
    <col min="4" max="4" width="18.42578125" bestFit="1" customWidth="1"/>
    <col min="7" max="7" width="13.28515625" bestFit="1" customWidth="1"/>
    <col min="11" max="11" width="33.5703125" bestFit="1" customWidth="1"/>
    <col min="14" max="14" width="39.42578125" bestFit="1" customWidth="1"/>
  </cols>
  <sheetData>
    <row r="2" spans="1:14" x14ac:dyDescent="0.25">
      <c r="B2" s="1" t="str">
        <f>"~UC_Sets: R_E: " &amp; _xlfn.TEXTJOIN(",",TRUE,Regions!C3:D3)</f>
        <v>~UC_Sets: R_E: IE,National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x14ac:dyDescent="0.25">
      <c r="B4" s="2"/>
      <c r="C4" s="2"/>
      <c r="D4" s="2"/>
      <c r="E4" s="2"/>
      <c r="F4" s="2" t="s">
        <v>16</v>
      </c>
      <c r="G4" s="2"/>
      <c r="H4" s="2"/>
      <c r="I4" s="2"/>
      <c r="J4" s="2"/>
      <c r="K4" s="2"/>
    </row>
    <row r="5" spans="1:14" x14ac:dyDescent="0.25">
      <c r="B5" s="4" t="s">
        <v>1</v>
      </c>
      <c r="C5" s="14" t="s">
        <v>2</v>
      </c>
      <c r="D5" s="14" t="s">
        <v>6</v>
      </c>
      <c r="E5" s="15" t="s">
        <v>7</v>
      </c>
      <c r="F5" s="15" t="s">
        <v>8</v>
      </c>
      <c r="G5" s="4" t="s">
        <v>145</v>
      </c>
      <c r="H5" s="4" t="s">
        <v>146</v>
      </c>
      <c r="I5" s="4" t="s">
        <v>43</v>
      </c>
      <c r="J5" s="4" t="s">
        <v>11</v>
      </c>
      <c r="K5" s="4" t="s">
        <v>12</v>
      </c>
    </row>
    <row r="6" spans="1:14" x14ac:dyDescent="0.25">
      <c r="B6" s="2" t="str">
        <f t="shared" ref="B6" si="0">_xlfn.TEXTJOIN("_",TRUE,"UC",A10,"MaxGrowth",B10)</f>
        <v>UC_SUP_MaxGrowth_BIOGAS</v>
      </c>
      <c r="C6" s="2" t="s">
        <v>144</v>
      </c>
      <c r="D6" s="2" t="s">
        <v>188</v>
      </c>
      <c r="E6" s="2">
        <v>2018</v>
      </c>
      <c r="F6" s="2" t="s">
        <v>15</v>
      </c>
      <c r="G6" s="26">
        <f t="shared" ref="G6" si="1">1+$C10</f>
        <v>1.4</v>
      </c>
      <c r="H6" s="2">
        <v>1</v>
      </c>
      <c r="I6" s="16">
        <f t="shared" ref="I6" si="2">-D10</f>
        <v>-0.2</v>
      </c>
      <c r="J6" s="2">
        <v>5</v>
      </c>
      <c r="K6" s="2" t="str">
        <f t="shared" ref="K6" si="3">_xlfn.TEXTJOIN(" ",TRUE,A10, "maximum growth rate of",B10)</f>
        <v>SUP maximum growth rate of BIOGAS</v>
      </c>
    </row>
    <row r="7" spans="1:14" x14ac:dyDescent="0.25">
      <c r="B7" s="2"/>
      <c r="C7" s="2"/>
      <c r="D7" s="2"/>
      <c r="E7" s="2"/>
      <c r="F7" s="2"/>
      <c r="G7" s="26"/>
      <c r="H7" s="2"/>
      <c r="I7" s="16"/>
      <c r="J7" s="2"/>
      <c r="K7" s="2"/>
    </row>
    <row r="9" spans="1:14" x14ac:dyDescent="0.25">
      <c r="C9" t="s">
        <v>117</v>
      </c>
      <c r="D9" t="s">
        <v>189</v>
      </c>
    </row>
    <row r="10" spans="1:14" x14ac:dyDescent="0.25">
      <c r="A10" t="s">
        <v>186</v>
      </c>
      <c r="B10" t="s">
        <v>187</v>
      </c>
      <c r="C10" s="11">
        <v>0.4</v>
      </c>
      <c r="D10">
        <v>0.2</v>
      </c>
    </row>
    <row r="11" spans="1:14" x14ac:dyDescent="0.25">
      <c r="D11" s="2"/>
      <c r="F11" s="2"/>
      <c r="H11" s="16"/>
    </row>
    <row r="15" spans="1:14" x14ac:dyDescent="0.25">
      <c r="B15" s="45" t="s">
        <v>213</v>
      </c>
      <c r="H15" s="46"/>
    </row>
    <row r="16" spans="1:14" ht="15.75" thickBot="1" x14ac:dyDescent="0.3">
      <c r="B16" s="47" t="s">
        <v>214</v>
      </c>
      <c r="C16" s="47" t="s">
        <v>8</v>
      </c>
      <c r="D16" s="47" t="s">
        <v>215</v>
      </c>
      <c r="E16" s="47" t="s">
        <v>7</v>
      </c>
      <c r="F16" s="48" t="str">
        <f>IF(Regions!C$3&lt;&gt;"",Regions!C$3,"*")</f>
        <v>IE</v>
      </c>
      <c r="G16" s="48" t="str">
        <f>IF(Regions!C$3&lt;&gt;"",Regions!D$3,"*")</f>
        <v>National</v>
      </c>
      <c r="H16" s="49" t="s">
        <v>216</v>
      </c>
    </row>
    <row r="17" spans="4:8" x14ac:dyDescent="0.25">
      <c r="D17" t="s">
        <v>217</v>
      </c>
      <c r="E17">
        <v>2018</v>
      </c>
      <c r="F17">
        <v>2222</v>
      </c>
      <c r="G17">
        <f>F17</f>
        <v>2222</v>
      </c>
      <c r="H17" t="s">
        <v>220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92B0C-7472-4C75-A119-CE0EE6C8A8E0}">
  <sheetPr codeName="Sheet2"/>
  <dimension ref="A2:N35"/>
  <sheetViews>
    <sheetView zoomScale="90" zoomScaleNormal="90" workbookViewId="0">
      <selection sqref="A1:XFD1048576"/>
    </sheetView>
  </sheetViews>
  <sheetFormatPr defaultRowHeight="15" x14ac:dyDescent="0.25"/>
  <cols>
    <col min="2" max="2" width="26.42578125" bestFit="1" customWidth="1"/>
    <col min="3" max="3" width="15.5703125" bestFit="1" customWidth="1"/>
    <col min="4" max="4" width="18.42578125" bestFit="1" customWidth="1"/>
    <col min="7" max="7" width="13.28515625" bestFit="1" customWidth="1"/>
    <col min="11" max="11" width="33.5703125" bestFit="1" customWidth="1"/>
    <col min="14" max="14" width="39.42578125" bestFit="1" customWidth="1"/>
  </cols>
  <sheetData>
    <row r="2" spans="2:14" x14ac:dyDescent="0.25">
      <c r="B2" s="1" t="str">
        <f>"~UC_Sets: R_E: " &amp; _xlfn.TEXTJOIN(",",TRUE,Regions!C3:D3)</f>
        <v>~UC_Sets: R_E: IE,National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2:14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2:14" x14ac:dyDescent="0.25">
      <c r="B4" s="2"/>
      <c r="C4" s="2"/>
      <c r="D4" s="2"/>
      <c r="E4" s="2"/>
      <c r="F4" s="2" t="s">
        <v>16</v>
      </c>
      <c r="G4" s="2"/>
      <c r="H4" s="2"/>
      <c r="I4" s="2"/>
      <c r="J4" s="2"/>
      <c r="K4" s="2"/>
    </row>
    <row r="5" spans="2:14" x14ac:dyDescent="0.25">
      <c r="B5" s="4" t="s">
        <v>1</v>
      </c>
      <c r="C5" s="14" t="s">
        <v>2</v>
      </c>
      <c r="D5" s="14" t="s">
        <v>6</v>
      </c>
      <c r="E5" s="15" t="s">
        <v>7</v>
      </c>
      <c r="F5" s="15" t="s">
        <v>8</v>
      </c>
      <c r="G5" s="4" t="s">
        <v>9</v>
      </c>
      <c r="H5" s="4" t="s">
        <v>10</v>
      </c>
      <c r="I5" s="4" t="s">
        <v>43</v>
      </c>
      <c r="J5" s="4" t="s">
        <v>11</v>
      </c>
      <c r="K5" s="4" t="s">
        <v>12</v>
      </c>
    </row>
    <row r="6" spans="2:14" x14ac:dyDescent="0.25">
      <c r="B6" s="2" t="str">
        <f t="shared" ref="B6:B9" si="0">_xlfn.TEXTJOIN("_",TRUE,"UC",A19,"MaxGrowth",B19)</f>
        <v>UC_PWR_MaxGrowth_CCS</v>
      </c>
      <c r="C6" s="2" t="s">
        <v>13</v>
      </c>
      <c r="D6" s="2" t="s">
        <v>118</v>
      </c>
      <c r="E6" s="2">
        <v>2018</v>
      </c>
      <c r="F6" s="2" t="s">
        <v>15</v>
      </c>
      <c r="G6" s="26">
        <f t="shared" ref="G6:G9" si="1">1+$C19</f>
        <v>1.02</v>
      </c>
      <c r="H6" s="2">
        <v>1</v>
      </c>
      <c r="I6" s="16">
        <f t="shared" ref="I6:I11" si="2">-D19</f>
        <v>-0.1</v>
      </c>
      <c r="J6" s="2">
        <v>5</v>
      </c>
      <c r="K6" s="2" t="str">
        <f t="shared" ref="K6:K15" si="3">_xlfn.TEXTJOIN(" ",TRUE,A19, "maximum growth rate of",B19)</f>
        <v>PWR maximum growth rate of CCS</v>
      </c>
    </row>
    <row r="7" spans="2:14" x14ac:dyDescent="0.25">
      <c r="B7" s="2" t="str">
        <f t="shared" si="0"/>
        <v>UC_PWR_MaxGrowth_Wave</v>
      </c>
      <c r="C7" s="2" t="s">
        <v>13</v>
      </c>
      <c r="D7" s="2" t="s">
        <v>123</v>
      </c>
      <c r="E7">
        <v>2035</v>
      </c>
      <c r="F7" s="2" t="s">
        <v>15</v>
      </c>
      <c r="G7" s="26">
        <f t="shared" si="1"/>
        <v>1.2</v>
      </c>
      <c r="H7" s="2">
        <v>1</v>
      </c>
      <c r="I7" s="16">
        <f t="shared" si="2"/>
        <v>-0.4</v>
      </c>
      <c r="J7" s="2">
        <v>5</v>
      </c>
      <c r="K7" s="2" t="str">
        <f t="shared" si="3"/>
        <v>PWR maximum growth rate of Wave</v>
      </c>
    </row>
    <row r="8" spans="2:14" x14ac:dyDescent="0.25">
      <c r="B8" s="2" t="str">
        <f t="shared" si="0"/>
        <v>UC_PWR_MaxGrowth_Tidal</v>
      </c>
      <c r="C8" s="2" t="s">
        <v>13</v>
      </c>
      <c r="D8" s="2" t="s">
        <v>122</v>
      </c>
      <c r="E8">
        <v>2035</v>
      </c>
      <c r="F8" s="2" t="s">
        <v>15</v>
      </c>
      <c r="G8" s="26">
        <f t="shared" si="1"/>
        <v>1.2</v>
      </c>
      <c r="H8" s="2">
        <v>1</v>
      </c>
      <c r="I8" s="16">
        <f t="shared" si="2"/>
        <v>-0.1</v>
      </c>
      <c r="J8" s="2">
        <v>5</v>
      </c>
      <c r="K8" s="2" t="str">
        <f t="shared" si="3"/>
        <v>PWR maximum growth rate of Tidal</v>
      </c>
    </row>
    <row r="9" spans="2:14" x14ac:dyDescent="0.25">
      <c r="B9" s="2" t="str">
        <f t="shared" si="0"/>
        <v>UC_PWR_MaxGrowth_H2GT</v>
      </c>
      <c r="C9" s="2" t="s">
        <v>13</v>
      </c>
      <c r="D9" s="2" t="s">
        <v>143</v>
      </c>
      <c r="E9" s="2">
        <v>2020</v>
      </c>
      <c r="F9" s="2" t="s">
        <v>15</v>
      </c>
      <c r="G9" s="26">
        <f t="shared" si="1"/>
        <v>1.2</v>
      </c>
      <c r="H9" s="2">
        <v>1</v>
      </c>
      <c r="I9" s="16">
        <f t="shared" si="2"/>
        <v>-0.5</v>
      </c>
      <c r="J9" s="2">
        <v>5</v>
      </c>
      <c r="K9" s="2" t="str">
        <f t="shared" si="3"/>
        <v>PWR maximum growth rate of H2GT</v>
      </c>
    </row>
    <row r="10" spans="2:14" x14ac:dyDescent="0.25">
      <c r="B10" s="2" t="str">
        <f>_xlfn.TEXTJOIN("_",TRUE,"UC",A23,"MaxGrowth",B23)</f>
        <v>UC_PWR_MaxGrowth_PV</v>
      </c>
      <c r="C10" s="2" t="s">
        <v>13</v>
      </c>
      <c r="D10" s="2" t="s">
        <v>158</v>
      </c>
      <c r="E10">
        <v>2018</v>
      </c>
      <c r="F10" s="2" t="s">
        <v>15</v>
      </c>
      <c r="G10" s="26">
        <f>1+$C23</f>
        <v>1.2</v>
      </c>
      <c r="H10" s="2">
        <v>1</v>
      </c>
      <c r="I10" s="16">
        <f t="shared" si="2"/>
        <v>-0.5</v>
      </c>
      <c r="J10" s="2">
        <v>5</v>
      </c>
      <c r="K10" s="2" t="str">
        <f t="shared" si="3"/>
        <v>PWR maximum growth rate of PV</v>
      </c>
    </row>
    <row r="11" spans="2:14" x14ac:dyDescent="0.25">
      <c r="B11" s="2" t="str">
        <f>_xlfn.TEXTJOIN("_",TRUE,"UC",A24,"MaxGrowth",B24)</f>
        <v>UC_PWR_MaxGrowth_CSP</v>
      </c>
      <c r="C11" s="2" t="s">
        <v>13</v>
      </c>
      <c r="D11" s="2" t="s">
        <v>159</v>
      </c>
      <c r="E11">
        <v>2018</v>
      </c>
      <c r="F11" s="2" t="s">
        <v>15</v>
      </c>
      <c r="G11" s="26">
        <f>1+$C24</f>
        <v>1.2</v>
      </c>
      <c r="H11" s="2">
        <v>1</v>
      </c>
      <c r="I11" s="16">
        <f t="shared" si="2"/>
        <v>-0.5</v>
      </c>
      <c r="J11" s="2">
        <v>5</v>
      </c>
      <c r="K11" s="2" t="str">
        <f t="shared" si="3"/>
        <v>PWR maximum growth rate of CSP</v>
      </c>
    </row>
    <row r="12" spans="2:14" x14ac:dyDescent="0.25">
      <c r="B12" s="2" t="str">
        <f>_xlfn.TEXTJOIN("_",TRUE,"UC",A25,"MaxGrowth",B25)</f>
        <v>UC_PWR_MaxGrowth_DH_IND</v>
      </c>
      <c r="C12" s="2" t="s">
        <v>13</v>
      </c>
      <c r="D12" s="2" t="s">
        <v>229</v>
      </c>
      <c r="E12">
        <v>2018</v>
      </c>
      <c r="F12" s="2" t="s">
        <v>15</v>
      </c>
      <c r="G12" s="26">
        <f>1+$C25</f>
        <v>1.1000000000000001</v>
      </c>
      <c r="H12" s="2">
        <v>1</v>
      </c>
      <c r="I12" s="16">
        <f t="shared" ref="I12:I14" si="4">-D25</f>
        <v>-0.1</v>
      </c>
      <c r="J12" s="2">
        <v>5</v>
      </c>
      <c r="K12" s="2" t="str">
        <f t="shared" si="3"/>
        <v>PWR maximum growth rate of DH_IND</v>
      </c>
    </row>
    <row r="13" spans="2:14" x14ac:dyDescent="0.25">
      <c r="B13" s="2" t="str">
        <f t="shared" ref="B13:B14" si="5">_xlfn.TEXTJOIN("_",TRUE,"UC",A26,"MaxGrowth",B26)</f>
        <v>UC_PWR_MaxGrowth_DH_PWR</v>
      </c>
      <c r="C13" s="2" t="s">
        <v>13</v>
      </c>
      <c r="D13" s="2" t="s">
        <v>232</v>
      </c>
      <c r="E13">
        <v>2018</v>
      </c>
      <c r="F13" s="2" t="s">
        <v>15</v>
      </c>
      <c r="G13" s="26">
        <f t="shared" ref="G13:G14" si="6">1+$C26</f>
        <v>1.05</v>
      </c>
      <c r="H13" s="2">
        <v>1</v>
      </c>
      <c r="I13" s="16">
        <f t="shared" si="4"/>
        <v>-0.1</v>
      </c>
      <c r="J13" s="2">
        <v>5</v>
      </c>
      <c r="K13" s="2" t="str">
        <f t="shared" si="3"/>
        <v>PWR maximum growth rate of DH_PWR</v>
      </c>
    </row>
    <row r="14" spans="2:14" x14ac:dyDescent="0.25">
      <c r="B14" s="2" t="str">
        <f t="shared" si="5"/>
        <v>UC_PWR_MaxGrowth_DH_DC</v>
      </c>
      <c r="C14" s="2" t="s">
        <v>13</v>
      </c>
      <c r="D14" s="2" t="s">
        <v>233</v>
      </c>
      <c r="E14">
        <v>2018</v>
      </c>
      <c r="F14" s="2" t="s">
        <v>15</v>
      </c>
      <c r="G14" s="26">
        <f t="shared" si="6"/>
        <v>1.1000000000000001</v>
      </c>
      <c r="H14" s="2">
        <v>1</v>
      </c>
      <c r="I14" s="16">
        <f t="shared" si="4"/>
        <v>-0.1</v>
      </c>
      <c r="J14" s="2">
        <v>5</v>
      </c>
      <c r="K14" s="2" t="str">
        <f t="shared" si="3"/>
        <v>PWR maximum growth rate of DH_DC</v>
      </c>
    </row>
    <row r="15" spans="2:14" x14ac:dyDescent="0.25">
      <c r="B15" s="2" t="str">
        <f>_xlfn.TEXTJOIN("_",TRUE,"UC",A28,"MaxGrowth",B28)</f>
        <v>UC_PWR_MaxGrowth_DH_SOL</v>
      </c>
      <c r="C15" s="2" t="s">
        <v>13</v>
      </c>
      <c r="D15" s="2" t="s">
        <v>228</v>
      </c>
      <c r="E15">
        <v>2018</v>
      </c>
      <c r="F15" s="2" t="s">
        <v>15</v>
      </c>
      <c r="G15" s="26">
        <f>1+$C28</f>
        <v>1.1000000000000001</v>
      </c>
      <c r="H15" s="2">
        <v>1</v>
      </c>
      <c r="I15" s="16">
        <f>-D28</f>
        <v>-0.1</v>
      </c>
      <c r="J15" s="2">
        <v>5</v>
      </c>
      <c r="K15" s="2" t="str">
        <f t="shared" si="3"/>
        <v>PWR maximum growth rate of DH_SOL</v>
      </c>
    </row>
    <row r="16" spans="2:14" x14ac:dyDescent="0.25">
      <c r="B16" s="2"/>
      <c r="C16" s="2"/>
      <c r="D16" s="2"/>
      <c r="F16" s="2"/>
      <c r="G16" s="26"/>
      <c r="H16" s="2"/>
      <c r="I16" s="16"/>
      <c r="J16" s="2"/>
      <c r="K16" s="2"/>
    </row>
    <row r="18" spans="1:11" x14ac:dyDescent="0.25">
      <c r="C18" t="s">
        <v>117</v>
      </c>
      <c r="D18" t="s">
        <v>119</v>
      </c>
    </row>
    <row r="19" spans="1:11" x14ac:dyDescent="0.25">
      <c r="A19" t="s">
        <v>128</v>
      </c>
      <c r="B19" t="s">
        <v>124</v>
      </c>
      <c r="C19" s="50">
        <v>0.02</v>
      </c>
      <c r="D19">
        <v>0.1</v>
      </c>
    </row>
    <row r="20" spans="1:11" x14ac:dyDescent="0.25">
      <c r="A20" t="s">
        <v>128</v>
      </c>
      <c r="B20" t="s">
        <v>125</v>
      </c>
      <c r="C20" s="11">
        <v>0.2</v>
      </c>
      <c r="D20">
        <v>0.4</v>
      </c>
    </row>
    <row r="21" spans="1:11" x14ac:dyDescent="0.25">
      <c r="A21" t="s">
        <v>128</v>
      </c>
      <c r="B21" t="s">
        <v>126</v>
      </c>
      <c r="C21" s="11">
        <v>0.2</v>
      </c>
      <c r="D21">
        <v>0.1</v>
      </c>
    </row>
    <row r="22" spans="1:11" x14ac:dyDescent="0.25">
      <c r="A22" t="s">
        <v>128</v>
      </c>
      <c r="B22" t="s">
        <v>160</v>
      </c>
      <c r="C22" s="11">
        <v>0.2</v>
      </c>
      <c r="D22">
        <v>0.5</v>
      </c>
    </row>
    <row r="23" spans="1:11" x14ac:dyDescent="0.25">
      <c r="A23" t="s">
        <v>128</v>
      </c>
      <c r="B23" t="s">
        <v>156</v>
      </c>
      <c r="C23" s="11">
        <v>0.2</v>
      </c>
      <c r="D23">
        <v>0.5</v>
      </c>
    </row>
    <row r="24" spans="1:11" x14ac:dyDescent="0.25">
      <c r="A24" t="s">
        <v>128</v>
      </c>
      <c r="B24" t="s">
        <v>157</v>
      </c>
      <c r="C24" s="11">
        <v>0.2</v>
      </c>
      <c r="D24">
        <v>0.5</v>
      </c>
    </row>
    <row r="25" spans="1:11" x14ac:dyDescent="0.25">
      <c r="A25" t="s">
        <v>128</v>
      </c>
      <c r="B25" t="s">
        <v>226</v>
      </c>
      <c r="C25" s="11">
        <v>0.1</v>
      </c>
      <c r="D25">
        <v>0.1</v>
      </c>
    </row>
    <row r="26" spans="1:11" x14ac:dyDescent="0.25">
      <c r="A26" t="s">
        <v>128</v>
      </c>
      <c r="B26" t="s">
        <v>230</v>
      </c>
      <c r="C26" s="11">
        <v>0.05</v>
      </c>
      <c r="D26">
        <v>0.1</v>
      </c>
    </row>
    <row r="27" spans="1:11" x14ac:dyDescent="0.25">
      <c r="A27" t="s">
        <v>128</v>
      </c>
      <c r="B27" t="s">
        <v>231</v>
      </c>
      <c r="C27" s="11">
        <v>0.1</v>
      </c>
      <c r="D27">
        <v>0.1</v>
      </c>
    </row>
    <row r="28" spans="1:11" x14ac:dyDescent="0.25">
      <c r="A28" t="s">
        <v>128</v>
      </c>
      <c r="B28" t="s">
        <v>227</v>
      </c>
      <c r="C28" s="11">
        <v>0.1</v>
      </c>
      <c r="D28">
        <v>0.1</v>
      </c>
    </row>
    <row r="29" spans="1:11" x14ac:dyDescent="0.25">
      <c r="C29" s="11"/>
    </row>
    <row r="30" spans="1:11" x14ac:dyDescent="0.25">
      <c r="B30" s="2"/>
      <c r="C30" s="2"/>
      <c r="D30" s="2"/>
      <c r="E30" s="2"/>
      <c r="F30" s="2" t="s">
        <v>16</v>
      </c>
      <c r="G30" s="2"/>
      <c r="H30" s="2"/>
      <c r="I30" s="2"/>
      <c r="J30" s="2"/>
      <c r="K30" s="2"/>
    </row>
    <row r="31" spans="1:11" x14ac:dyDescent="0.25">
      <c r="B31" s="4" t="s">
        <v>1</v>
      </c>
      <c r="C31" s="14" t="s">
        <v>2</v>
      </c>
      <c r="D31" s="14" t="s">
        <v>6</v>
      </c>
      <c r="E31" s="15" t="s">
        <v>7</v>
      </c>
      <c r="F31" s="15" t="s">
        <v>8</v>
      </c>
      <c r="G31" s="4" t="s">
        <v>181</v>
      </c>
      <c r="H31" s="4" t="s">
        <v>182</v>
      </c>
      <c r="I31" s="4" t="s">
        <v>11</v>
      </c>
      <c r="J31" s="4" t="s">
        <v>12</v>
      </c>
    </row>
    <row r="32" spans="1:11" x14ac:dyDescent="0.25">
      <c r="B32" s="2" t="s">
        <v>179</v>
      </c>
      <c r="C32" s="2"/>
      <c r="D32" s="2" t="s">
        <v>154</v>
      </c>
      <c r="E32" s="2">
        <v>2019</v>
      </c>
      <c r="F32" s="2" t="s">
        <v>185</v>
      </c>
      <c r="G32" s="26">
        <f>1+$C37</f>
        <v>1</v>
      </c>
      <c r="H32" s="16">
        <v>0.6</v>
      </c>
      <c r="I32" s="2">
        <v>3</v>
      </c>
      <c r="J32" s="2" t="s">
        <v>183</v>
      </c>
    </row>
    <row r="33" spans="2:10" x14ac:dyDescent="0.25">
      <c r="B33" s="2"/>
      <c r="C33" s="2"/>
      <c r="D33" s="2" t="s">
        <v>154</v>
      </c>
      <c r="E33" s="2">
        <v>2020</v>
      </c>
      <c r="F33" s="2" t="s">
        <v>185</v>
      </c>
      <c r="G33" s="26">
        <f>1+$C38</f>
        <v>1</v>
      </c>
      <c r="H33" s="16">
        <v>0.5</v>
      </c>
      <c r="I33" s="2"/>
      <c r="J33" s="2"/>
    </row>
    <row r="34" spans="2:10" x14ac:dyDescent="0.25">
      <c r="B34" s="2" t="s">
        <v>180</v>
      </c>
      <c r="C34" s="2"/>
      <c r="D34" s="2" t="s">
        <v>155</v>
      </c>
      <c r="E34">
        <v>2026</v>
      </c>
      <c r="F34" s="2" t="s">
        <v>185</v>
      </c>
      <c r="G34" s="26">
        <f>1+$C38</f>
        <v>1</v>
      </c>
      <c r="H34" s="16">
        <v>1</v>
      </c>
      <c r="I34" s="2">
        <v>3</v>
      </c>
      <c r="J34" s="2" t="s">
        <v>184</v>
      </c>
    </row>
    <row r="35" spans="2:10" x14ac:dyDescent="0.25">
      <c r="D35" s="2"/>
      <c r="E35">
        <v>2027</v>
      </c>
      <c r="F35" s="2" t="s">
        <v>185</v>
      </c>
      <c r="H35" s="1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3FEB4-63EA-406B-A848-C3344FC12632}">
  <dimension ref="A2:N39"/>
  <sheetViews>
    <sheetView topLeftCell="A2" zoomScale="70" zoomScaleNormal="70" workbookViewId="0">
      <selection activeCell="D31" sqref="D31"/>
    </sheetView>
  </sheetViews>
  <sheetFormatPr defaultRowHeight="15" x14ac:dyDescent="0.25"/>
  <cols>
    <col min="2" max="2" width="32.7109375" bestFit="1" customWidth="1"/>
    <col min="3" max="3" width="15.5703125" bestFit="1" customWidth="1"/>
    <col min="4" max="4" width="18.42578125" bestFit="1" customWidth="1"/>
    <col min="6" max="6" width="17.42578125" customWidth="1"/>
    <col min="7" max="7" width="15" customWidth="1"/>
    <col min="8" max="8" width="5.140625" customWidth="1"/>
    <col min="9" max="9" width="8.85546875" bestFit="1" customWidth="1"/>
    <col min="10" max="10" width="8.28515625" bestFit="1" customWidth="1"/>
    <col min="11" max="11" width="13.42578125" bestFit="1" customWidth="1"/>
    <col min="12" max="12" width="12.140625" bestFit="1" customWidth="1"/>
    <col min="13" max="13" width="14.42578125" bestFit="1" customWidth="1"/>
    <col min="14" max="14" width="38.5703125" bestFit="1" customWidth="1"/>
  </cols>
  <sheetData>
    <row r="2" spans="2:14" x14ac:dyDescent="0.25">
      <c r="B2" s="1" t="str">
        <f>"~UC_Sets: R_E: " &amp; _xlfn.TEXTJOIN(",",TRUE,Regions!C3,Regions!E3:AD3)</f>
        <v>~UC_Sets: R_E: IE,IE-CW,IE-D,IE-KE,IE-KK,IE-LS,IE-LD,IE-LH,IE-MH,IE-OY,IE-WH,IE-WX,IE-WW,IE-CE,IE-CO,IE-KY,IE-LK,IE-TA,IE-WD,IE-G,IE-LM,IE-MO,IE-RN,IE-SO,IE-CN,IE-DL,IE-MN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2:14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2:14" x14ac:dyDescent="0.25">
      <c r="B4" s="2"/>
      <c r="C4" s="2"/>
      <c r="D4" s="2"/>
      <c r="E4" s="2"/>
      <c r="F4" s="2"/>
      <c r="G4" s="2"/>
      <c r="H4" s="2"/>
      <c r="I4" s="2" t="s">
        <v>16</v>
      </c>
      <c r="J4" s="2"/>
      <c r="K4" s="2"/>
      <c r="L4" s="2"/>
      <c r="M4" s="2"/>
      <c r="N4" s="2"/>
    </row>
    <row r="5" spans="2:14" x14ac:dyDescent="0.25">
      <c r="B5" s="4" t="s">
        <v>1</v>
      </c>
      <c r="C5" s="14" t="s">
        <v>2</v>
      </c>
      <c r="D5" s="14" t="s">
        <v>3</v>
      </c>
      <c r="E5" s="14" t="s">
        <v>4</v>
      </c>
      <c r="F5" s="14" t="s">
        <v>5</v>
      </c>
      <c r="G5" s="14" t="s">
        <v>6</v>
      </c>
      <c r="H5" s="15" t="s">
        <v>7</v>
      </c>
      <c r="I5" s="15" t="s">
        <v>8</v>
      </c>
      <c r="J5" s="4" t="s">
        <v>145</v>
      </c>
      <c r="K5" s="4" t="s">
        <v>146</v>
      </c>
      <c r="L5" s="4" t="s">
        <v>182</v>
      </c>
      <c r="M5" s="4" t="s">
        <v>11</v>
      </c>
      <c r="N5" s="4" t="s">
        <v>12</v>
      </c>
    </row>
    <row r="6" spans="2:14" x14ac:dyDescent="0.25">
      <c r="B6" s="2" t="str">
        <f>_xlfn.TEXTJOIN("_",TRUE,"*UC",A22,"MaxGrowth",B22)</f>
        <v>*UC_RSD_MaxGrowth_AmbientHeat</v>
      </c>
      <c r="C6" s="2" t="s">
        <v>144</v>
      </c>
      <c r="D6" s="2"/>
      <c r="F6" s="2" t="s">
        <v>219</v>
      </c>
      <c r="G6" s="2" t="s">
        <v>142</v>
      </c>
      <c r="H6" s="2">
        <v>2019</v>
      </c>
      <c r="I6" s="2" t="s">
        <v>15</v>
      </c>
      <c r="J6" s="29">
        <f t="shared" ref="J6:J12" si="0">1+C22</f>
        <v>1.3</v>
      </c>
      <c r="K6" s="2">
        <v>1</v>
      </c>
      <c r="L6" s="16">
        <f t="shared" ref="L6:L12" si="1">-D22</f>
        <v>-0.3</v>
      </c>
      <c r="M6" s="2">
        <v>5</v>
      </c>
      <c r="N6" s="2" t="str">
        <f>_xlfn.TEXTJOIN(" ",TRUE,A23, "maximum growth rate of",B23)</f>
        <v>RSD maximum growth rate of Biodiesel</v>
      </c>
    </row>
    <row r="7" spans="2:14" x14ac:dyDescent="0.25">
      <c r="B7" s="2" t="str">
        <f t="shared" ref="B6:B11" si="2">_xlfn.TEXTJOIN("_",TRUE,"UC",A23,"MaxGrowth",B23)</f>
        <v>UC_RSD_MaxGrowth_Biodiesel</v>
      </c>
      <c r="C7" s="2" t="s">
        <v>144</v>
      </c>
      <c r="D7" s="2"/>
      <c r="F7" t="s">
        <v>195</v>
      </c>
      <c r="G7" s="2" t="s">
        <v>142</v>
      </c>
      <c r="H7" s="2">
        <v>2019</v>
      </c>
      <c r="I7" s="2" t="s">
        <v>15</v>
      </c>
      <c r="J7" s="29">
        <f t="shared" si="0"/>
        <v>1.03</v>
      </c>
      <c r="K7" s="2">
        <v>1</v>
      </c>
      <c r="L7" s="16">
        <f t="shared" si="1"/>
        <v>-0.2</v>
      </c>
      <c r="M7" s="2">
        <v>5</v>
      </c>
      <c r="N7" s="2" t="str">
        <f>_xlfn.TEXTJOIN(" ",TRUE,A24, "maximum growth rate of",B24)</f>
        <v>RSD maximum growth rate of Biomass</v>
      </c>
    </row>
    <row r="8" spans="2:14" x14ac:dyDescent="0.25">
      <c r="B8" s="2" t="str">
        <f t="shared" si="2"/>
        <v>UC_RSD_MaxGrowth_Biomass</v>
      </c>
      <c r="C8" s="2" t="s">
        <v>144</v>
      </c>
      <c r="D8" s="2"/>
      <c r="F8" t="s">
        <v>204</v>
      </c>
      <c r="G8" s="2" t="s">
        <v>142</v>
      </c>
      <c r="H8" s="2">
        <v>2019</v>
      </c>
      <c r="I8" s="2" t="s">
        <v>15</v>
      </c>
      <c r="J8" s="29">
        <f t="shared" si="0"/>
        <v>1.0249999999999999</v>
      </c>
      <c r="K8" s="2">
        <v>1</v>
      </c>
      <c r="L8" s="16">
        <f t="shared" si="1"/>
        <v>0</v>
      </c>
      <c r="M8" s="2">
        <v>5</v>
      </c>
      <c r="N8" s="2" t="str">
        <f>_xlfn.TEXTJOIN(" ",TRUE,A24, "maximum growth rate of",B24)</f>
        <v>RSD maximum growth rate of Biomass</v>
      </c>
    </row>
    <row r="9" spans="2:14" x14ac:dyDescent="0.25">
      <c r="B9" s="2" t="str">
        <f>_xlfn.TEXTJOIN("_",TRUE,"UC",A25,"MinDeGrowth",B25)</f>
        <v>UC_RSD_MinDeGrowth_Coal</v>
      </c>
      <c r="C9" s="2" t="s">
        <v>144</v>
      </c>
      <c r="D9" s="2"/>
      <c r="F9" t="s">
        <v>205</v>
      </c>
      <c r="G9" s="2" t="s">
        <v>142</v>
      </c>
      <c r="H9" s="2">
        <v>2019</v>
      </c>
      <c r="I9" s="2" t="s">
        <v>15</v>
      </c>
      <c r="J9" s="29">
        <f>1-C25</f>
        <v>0.98</v>
      </c>
      <c r="K9" s="2">
        <v>1</v>
      </c>
      <c r="L9" s="16">
        <f t="shared" si="1"/>
        <v>0</v>
      </c>
      <c r="M9" s="2">
        <v>5</v>
      </c>
      <c r="N9" s="2" t="str">
        <f>_xlfn.TEXTJOIN(" ",TRUE,A25, "maximum growth rate of",B25)</f>
        <v>RSD maximum growth rate of Coal</v>
      </c>
    </row>
    <row r="10" spans="2:14" x14ac:dyDescent="0.25">
      <c r="B10" s="2" t="str">
        <f t="shared" si="2"/>
        <v>UC_RSD_MaxGrowth_Peat</v>
      </c>
      <c r="C10" s="2" t="s">
        <v>144</v>
      </c>
      <c r="D10" s="2"/>
      <c r="F10" t="s">
        <v>206</v>
      </c>
      <c r="G10" s="2" t="s">
        <v>142</v>
      </c>
      <c r="H10" s="2">
        <v>2019</v>
      </c>
      <c r="I10" s="2" t="s">
        <v>15</v>
      </c>
      <c r="J10" s="29">
        <f t="shared" si="0"/>
        <v>1.02</v>
      </c>
      <c r="K10" s="2">
        <v>1</v>
      </c>
      <c r="L10" s="16">
        <f t="shared" si="1"/>
        <v>0</v>
      </c>
      <c r="M10" s="2">
        <v>5</v>
      </c>
      <c r="N10" s="2" t="str">
        <f>_xlfn.TEXTJOIN(" ",TRUE,A26, "maximum growth rate of",B26)</f>
        <v>RSD maximum growth rate of Peat</v>
      </c>
    </row>
    <row r="11" spans="2:14" x14ac:dyDescent="0.25">
      <c r="B11" s="2" t="str">
        <f t="shared" si="2"/>
        <v>UC_RSD_MaxGrowth_Electricity</v>
      </c>
      <c r="C11" s="2" t="s">
        <v>144</v>
      </c>
      <c r="D11" s="2"/>
      <c r="F11" t="s">
        <v>207</v>
      </c>
      <c r="G11" s="2" t="s">
        <v>142</v>
      </c>
      <c r="H11" s="2">
        <v>2019</v>
      </c>
      <c r="I11" s="2" t="s">
        <v>15</v>
      </c>
      <c r="J11" s="29">
        <f t="shared" si="0"/>
        <v>1.3</v>
      </c>
      <c r="K11" s="2">
        <v>1</v>
      </c>
      <c r="L11" s="16">
        <f t="shared" si="1"/>
        <v>-0.1</v>
      </c>
      <c r="M11" s="2">
        <v>5</v>
      </c>
      <c r="N11" s="2" t="str">
        <f>_xlfn.TEXTJOIN(" ",TRUE,A27, "maximum growth rate of",B27)</f>
        <v>RSD maximum growth rate of Electricity</v>
      </c>
    </row>
    <row r="12" spans="2:14" x14ac:dyDescent="0.25">
      <c r="B12" s="2" t="str">
        <f>_xlfn.TEXTJOIN("_",TRUE,"UC",A28,"MaxGrowth",B28)</f>
        <v>UC_RSD_MaxGrowth_Ethanol</v>
      </c>
      <c r="C12" s="2" t="s">
        <v>144</v>
      </c>
      <c r="D12" s="2"/>
      <c r="F12" t="s">
        <v>208</v>
      </c>
      <c r="G12" s="2" t="s">
        <v>142</v>
      </c>
      <c r="H12" s="2">
        <v>2019</v>
      </c>
      <c r="I12" s="2" t="s">
        <v>15</v>
      </c>
      <c r="J12" s="29">
        <f t="shared" si="0"/>
        <v>1.1000000000000001</v>
      </c>
      <c r="K12" s="2">
        <v>1</v>
      </c>
      <c r="L12" s="16">
        <f t="shared" si="1"/>
        <v>0</v>
      </c>
      <c r="M12" s="2">
        <v>5</v>
      </c>
      <c r="N12" s="2" t="str">
        <f>_xlfn.TEXTJOIN(" ",TRUE,A28, "maximum growth rate of",B28)</f>
        <v>RSD maximum growth rate of Ethanol</v>
      </c>
    </row>
    <row r="13" spans="2:14" x14ac:dyDescent="0.25">
      <c r="B13" s="2" t="str">
        <f>_xlfn.TEXTJOIN("_",TRUE,"UC",A29,"MaxGrowth",B29)</f>
        <v>UC_RSD_MaxGrowth_Gas</v>
      </c>
      <c r="C13" s="2" t="s">
        <v>144</v>
      </c>
      <c r="D13" s="2"/>
      <c r="F13" t="s">
        <v>209</v>
      </c>
      <c r="G13" s="2" t="s">
        <v>142</v>
      </c>
      <c r="H13" s="2">
        <v>2020</v>
      </c>
      <c r="I13" s="2" t="s">
        <v>15</v>
      </c>
      <c r="J13" s="29">
        <f>1-C29</f>
        <v>1</v>
      </c>
      <c r="K13" s="2">
        <v>1</v>
      </c>
      <c r="L13" s="16">
        <f t="shared" ref="L13:L16" si="3">-D29</f>
        <v>-0.1</v>
      </c>
      <c r="M13" s="2">
        <v>5</v>
      </c>
      <c r="N13" s="2" t="str">
        <f>_xlfn.TEXTJOIN(" ",TRUE,A29, "minimum growth rate of",B29)</f>
        <v>RSD minimum growth rate of Gas</v>
      </c>
    </row>
    <row r="14" spans="2:14" x14ac:dyDescent="0.25">
      <c r="B14" s="2" t="str">
        <f>_xlfn.TEXTJOIN("_",TRUE,"UC",A30,"MaxGrowth",B30)</f>
        <v>UC_RSD_MaxGrowth_DistrictHeat</v>
      </c>
      <c r="C14" s="2" t="s">
        <v>144</v>
      </c>
      <c r="D14" s="2"/>
      <c r="F14" t="s">
        <v>221</v>
      </c>
      <c r="G14" s="2" t="s">
        <v>142</v>
      </c>
      <c r="H14" s="2">
        <v>2019</v>
      </c>
      <c r="I14" s="2" t="s">
        <v>15</v>
      </c>
      <c r="J14" s="29">
        <f t="shared" ref="J14:J15" si="4">1+C30</f>
        <v>1</v>
      </c>
      <c r="K14" s="2">
        <v>1</v>
      </c>
      <c r="L14" s="16">
        <f t="shared" si="3"/>
        <v>0</v>
      </c>
      <c r="M14" s="2">
        <v>5</v>
      </c>
      <c r="N14" s="2" t="str">
        <f t="shared" ref="N14:N15" si="5">_xlfn.TEXTJOIN(" ",TRUE,A30, "maximum growth rate of",B30)</f>
        <v>RSD maximum growth rate of DistrictHeat</v>
      </c>
    </row>
    <row r="15" spans="2:14" x14ac:dyDescent="0.25">
      <c r="B15" s="2" t="str">
        <f t="shared" ref="B15" si="6">_xlfn.TEXTJOIN("_",TRUE,"UC",A31,"MaxGrowth",B31)</f>
        <v>UC_RSD_MaxGrowth_LPG</v>
      </c>
      <c r="C15" s="2" t="s">
        <v>144</v>
      </c>
      <c r="D15" s="2"/>
      <c r="F15" t="s">
        <v>210</v>
      </c>
      <c r="G15" s="2" t="s">
        <v>142</v>
      </c>
      <c r="H15" s="2">
        <v>2019</v>
      </c>
      <c r="I15" s="2" t="s">
        <v>15</v>
      </c>
      <c r="J15" s="29">
        <f t="shared" si="4"/>
        <v>1.01</v>
      </c>
      <c r="K15" s="2">
        <v>1</v>
      </c>
      <c r="L15" s="16">
        <f t="shared" si="3"/>
        <v>0</v>
      </c>
      <c r="M15" s="2">
        <v>5</v>
      </c>
      <c r="N15" s="2" t="str">
        <f t="shared" si="5"/>
        <v>RSD maximum growth rate of LPG</v>
      </c>
    </row>
    <row r="16" spans="2:14" x14ac:dyDescent="0.25">
      <c r="B16" s="2" t="str">
        <f>_xlfn.TEXTJOIN("_",TRUE,"UC",A32,"MaxGrowth",B32)</f>
        <v>UC_RSD_MaxGrowth_Kerosene</v>
      </c>
      <c r="C16" s="2" t="s">
        <v>144</v>
      </c>
      <c r="D16" s="2"/>
      <c r="F16" t="s">
        <v>211</v>
      </c>
      <c r="G16" s="2" t="s">
        <v>142</v>
      </c>
      <c r="H16" s="2">
        <v>2019</v>
      </c>
      <c r="I16" s="2" t="s">
        <v>185</v>
      </c>
      <c r="J16" s="29">
        <f>1-C32</f>
        <v>0.97</v>
      </c>
      <c r="K16" s="2">
        <v>1</v>
      </c>
      <c r="L16" s="16">
        <f t="shared" si="3"/>
        <v>0</v>
      </c>
      <c r="M16" s="2">
        <v>5</v>
      </c>
      <c r="N16" s="2" t="str">
        <f>_xlfn.TEXTJOIN(" ",TRUE,A32, "max growth rate of",B32)</f>
        <v>RSD max growth rate of Kerosene</v>
      </c>
    </row>
    <row r="17" spans="1:14" x14ac:dyDescent="0.25">
      <c r="B17" s="2" t="str">
        <f>_xlfn.TEXTJOIN("_",TRUE,"*UC",A33,"MaxGrowth",B33)</f>
        <v>*UC_RSD_MaxGrowth_Solar</v>
      </c>
      <c r="C17" s="2" t="s">
        <v>144</v>
      </c>
      <c r="D17" s="2"/>
      <c r="F17" t="s">
        <v>212</v>
      </c>
      <c r="G17" s="2" t="s">
        <v>142</v>
      </c>
      <c r="H17" s="2">
        <v>2019</v>
      </c>
      <c r="I17" s="2" t="s">
        <v>15</v>
      </c>
      <c r="J17" s="29">
        <f>1+C33</f>
        <v>1.1499999999999999</v>
      </c>
      <c r="K17" s="2">
        <v>1</v>
      </c>
      <c r="L17" s="16">
        <f>-D33</f>
        <v>0</v>
      </c>
      <c r="M17" s="2">
        <v>5</v>
      </c>
      <c r="N17" s="2" t="str">
        <f>_xlfn.TEXTJOIN(" ",TRUE,A33, "maximum growth rate of",B33)</f>
        <v>RSD maximum growth rate of Solar</v>
      </c>
    </row>
    <row r="18" spans="1:14" x14ac:dyDescent="0.25">
      <c r="B18" s="2" t="str">
        <f>_xlfn.TEXTJOIN("_",TRUE,"UC",A33,"MinGrowth",B33)</f>
        <v>UC_RSD_MinGrowth_Solar</v>
      </c>
      <c r="C18" s="2" t="s">
        <v>144</v>
      </c>
      <c r="D18" s="2"/>
      <c r="F18" t="s">
        <v>212</v>
      </c>
      <c r="G18" s="2" t="s">
        <v>142</v>
      </c>
      <c r="H18" s="2">
        <v>2019</v>
      </c>
      <c r="I18" s="2" t="s">
        <v>185</v>
      </c>
      <c r="J18" s="29">
        <f>1+C33/10</f>
        <v>1.0149999999999999</v>
      </c>
      <c r="K18" s="2">
        <v>1</v>
      </c>
      <c r="L18" s="16">
        <f>-D33</f>
        <v>0</v>
      </c>
      <c r="M18" s="2">
        <v>5</v>
      </c>
      <c r="N18" s="2" t="str">
        <f>_xlfn.TEXTJOIN(" ",TRUE,A33, "minimum growth rate of",B33)</f>
        <v>RSD minimum growth rate of Solar</v>
      </c>
    </row>
    <row r="19" spans="1:14" x14ac:dyDescent="0.25">
      <c r="B19" s="2" t="str">
        <f>_xlfn.TEXTJOIN("_",TRUE,"*UC",A34,"MaxGrowth",B34)</f>
        <v>*UC_RSD_MaxGrowth_Immersion Elec</v>
      </c>
      <c r="C19" s="2" t="s">
        <v>144</v>
      </c>
      <c r="D19" s="2"/>
      <c r="F19" t="s">
        <v>207</v>
      </c>
      <c r="G19" s="2" t="s">
        <v>235</v>
      </c>
      <c r="H19" s="2">
        <v>2019</v>
      </c>
      <c r="I19" s="2" t="s">
        <v>15</v>
      </c>
      <c r="J19" s="29">
        <f>1+C34</f>
        <v>1.03</v>
      </c>
      <c r="K19" s="2">
        <v>1</v>
      </c>
      <c r="L19" s="16">
        <f>-D34</f>
        <v>0</v>
      </c>
      <c r="M19" s="2">
        <v>5</v>
      </c>
      <c r="N19" s="2" t="str">
        <f>_xlfn.TEXTJOIN(" ",TRUE,A34, "minimum growth rate of",B34)</f>
        <v>RSD minimum growth rate of Immersion Elec</v>
      </c>
    </row>
    <row r="21" spans="1:14" x14ac:dyDescent="0.25">
      <c r="C21" t="s">
        <v>117</v>
      </c>
      <c r="D21" t="s">
        <v>189</v>
      </c>
    </row>
    <row r="22" spans="1:14" x14ac:dyDescent="0.25">
      <c r="A22" t="s">
        <v>194</v>
      </c>
      <c r="B22" t="s">
        <v>190</v>
      </c>
      <c r="C22" s="50">
        <v>0.3</v>
      </c>
      <c r="D22">
        <v>0.3</v>
      </c>
    </row>
    <row r="23" spans="1:14" x14ac:dyDescent="0.25">
      <c r="A23" t="s">
        <v>194</v>
      </c>
      <c r="B23" t="s">
        <v>196</v>
      </c>
      <c r="C23" s="50">
        <v>0.03</v>
      </c>
      <c r="D23">
        <v>0.2</v>
      </c>
    </row>
    <row r="24" spans="1:14" x14ac:dyDescent="0.25">
      <c r="A24" t="s">
        <v>194</v>
      </c>
      <c r="B24" t="s">
        <v>137</v>
      </c>
      <c r="C24" s="50">
        <v>2.5000000000000001E-2</v>
      </c>
      <c r="D24">
        <v>0</v>
      </c>
    </row>
    <row r="25" spans="1:14" x14ac:dyDescent="0.25">
      <c r="A25" t="s">
        <v>194</v>
      </c>
      <c r="B25" t="s">
        <v>197</v>
      </c>
      <c r="C25" s="50">
        <v>0.02</v>
      </c>
      <c r="D25">
        <v>0</v>
      </c>
    </row>
    <row r="26" spans="1:14" x14ac:dyDescent="0.25">
      <c r="A26" t="s">
        <v>194</v>
      </c>
      <c r="B26" t="s">
        <v>198</v>
      </c>
      <c r="C26" s="50">
        <v>0.02</v>
      </c>
      <c r="D26">
        <v>0</v>
      </c>
    </row>
    <row r="27" spans="1:14" x14ac:dyDescent="0.25">
      <c r="A27" t="s">
        <v>194</v>
      </c>
      <c r="B27" t="s">
        <v>199</v>
      </c>
      <c r="C27" s="50">
        <v>0.3</v>
      </c>
      <c r="D27">
        <v>0.1</v>
      </c>
    </row>
    <row r="28" spans="1:14" x14ac:dyDescent="0.25">
      <c r="A28" t="s">
        <v>194</v>
      </c>
      <c r="B28" t="s">
        <v>200</v>
      </c>
      <c r="C28" s="50">
        <v>0.1</v>
      </c>
      <c r="D28">
        <v>0</v>
      </c>
    </row>
    <row r="29" spans="1:14" x14ac:dyDescent="0.25">
      <c r="A29" t="s">
        <v>194</v>
      </c>
      <c r="B29" t="s">
        <v>192</v>
      </c>
      <c r="C29" s="50">
        <v>0</v>
      </c>
      <c r="D29">
        <v>0.1</v>
      </c>
    </row>
    <row r="30" spans="1:14" x14ac:dyDescent="0.25">
      <c r="A30" t="s">
        <v>194</v>
      </c>
      <c r="B30" t="s">
        <v>191</v>
      </c>
      <c r="C30" s="50">
        <v>0</v>
      </c>
      <c r="D30">
        <v>0</v>
      </c>
    </row>
    <row r="31" spans="1:14" x14ac:dyDescent="0.25">
      <c r="A31" t="s">
        <v>194</v>
      </c>
      <c r="B31" t="s">
        <v>201</v>
      </c>
      <c r="C31" s="50">
        <v>0.01</v>
      </c>
      <c r="D31">
        <v>0</v>
      </c>
    </row>
    <row r="32" spans="1:14" x14ac:dyDescent="0.25">
      <c r="A32" t="s">
        <v>194</v>
      </c>
      <c r="B32" t="s">
        <v>202</v>
      </c>
      <c r="C32" s="50">
        <v>0.03</v>
      </c>
      <c r="D32">
        <v>0</v>
      </c>
    </row>
    <row r="33" spans="1:8" x14ac:dyDescent="0.25">
      <c r="A33" t="s">
        <v>194</v>
      </c>
      <c r="B33" t="s">
        <v>203</v>
      </c>
      <c r="C33" s="50">
        <v>0.15</v>
      </c>
      <c r="D33">
        <v>0</v>
      </c>
    </row>
    <row r="34" spans="1:8" x14ac:dyDescent="0.25">
      <c r="A34" t="s">
        <v>194</v>
      </c>
      <c r="B34" t="s">
        <v>234</v>
      </c>
      <c r="C34" s="50">
        <v>0.03</v>
      </c>
      <c r="D34">
        <v>0</v>
      </c>
    </row>
    <row r="36" spans="1:8" x14ac:dyDescent="0.25">
      <c r="B36" s="45" t="s">
        <v>213</v>
      </c>
      <c r="H36" s="46"/>
    </row>
    <row r="37" spans="1:8" ht="15.75" thickBot="1" x14ac:dyDescent="0.3">
      <c r="B37" s="47" t="s">
        <v>214</v>
      </c>
      <c r="C37" s="47" t="s">
        <v>8</v>
      </c>
      <c r="D37" s="47" t="s">
        <v>215</v>
      </c>
      <c r="E37" s="47" t="s">
        <v>7</v>
      </c>
      <c r="F37" s="48" t="str">
        <f>IF(Regions!C$3&lt;&gt;"",Regions!C$3,"*")</f>
        <v>IE</v>
      </c>
      <c r="G37" s="48" t="str">
        <f>IF(Regions!C$3&lt;&gt;"",Regions!D$3,"*")</f>
        <v>National</v>
      </c>
      <c r="H37" s="49" t="s">
        <v>216</v>
      </c>
    </row>
    <row r="38" spans="1:8" x14ac:dyDescent="0.25">
      <c r="D38" t="s">
        <v>217</v>
      </c>
      <c r="E38">
        <v>2018</v>
      </c>
      <c r="F38">
        <v>1E-3</v>
      </c>
      <c r="G38">
        <v>0</v>
      </c>
      <c r="H38" t="str">
        <f xml:space="preserve"> _xlfn.TEXTJOIN(",",TRUE,F6:F19)</f>
        <v>RSDAHT,RSDAHT2,RSDBDL,RSDWOO,RSDCOA,RSDPEA,RSDELC,RSDETH,RSDGAS,RSDHET*,RSDLPG,RSDKER,RSDSOL,RSDSOL,RSDELC</v>
      </c>
    </row>
    <row r="39" spans="1:8" x14ac:dyDescent="0.25">
      <c r="D39" t="s">
        <v>217</v>
      </c>
      <c r="E39">
        <v>2018</v>
      </c>
      <c r="F39">
        <v>1E-3</v>
      </c>
      <c r="G39">
        <v>1E-3</v>
      </c>
      <c r="H39" t="str">
        <f xml:space="preserve"> _xlfn.TEXTJOIN(",",TRUE,F6)</f>
        <v>RSDAHT,RSDAHT2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F46D0-BFBE-459D-AD94-C3EBC85EC70F}">
  <sheetPr codeName="Sheet4"/>
  <dimension ref="A2:N29"/>
  <sheetViews>
    <sheetView tabSelected="1" zoomScaleNormal="100" workbookViewId="0">
      <selection activeCell="G19" sqref="G19"/>
    </sheetView>
  </sheetViews>
  <sheetFormatPr defaultRowHeight="15" x14ac:dyDescent="0.25"/>
  <cols>
    <col min="2" max="2" width="32.7109375" bestFit="1" customWidth="1"/>
    <col min="3" max="3" width="15.5703125" bestFit="1" customWidth="1"/>
    <col min="4" max="4" width="17" bestFit="1" customWidth="1"/>
    <col min="5" max="5" width="7.7109375" bestFit="1" customWidth="1"/>
    <col min="6" max="6" width="8.85546875" customWidth="1"/>
    <col min="7" max="7" width="8.5703125" bestFit="1" customWidth="1"/>
    <col min="9" max="9" width="8.85546875" bestFit="1" customWidth="1"/>
    <col min="10" max="10" width="8.28515625" bestFit="1" customWidth="1"/>
    <col min="11" max="11" width="13.42578125" bestFit="1" customWidth="1"/>
    <col min="12" max="12" width="12.140625" bestFit="1" customWidth="1"/>
    <col min="13" max="13" width="14.42578125" bestFit="1" customWidth="1"/>
    <col min="14" max="14" width="40" bestFit="1" customWidth="1"/>
  </cols>
  <sheetData>
    <row r="2" spans="2:14" x14ac:dyDescent="0.25">
      <c r="B2" s="1" t="str">
        <f>"~UC_Sets: R_E: " &amp; _xlfn.TEXTJOIN(",",TRUE,Regions!C3:D3)</f>
        <v>~UC_Sets: R_E: IE,National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2:14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2:14" x14ac:dyDescent="0.25">
      <c r="B4" s="2"/>
      <c r="C4" s="2"/>
      <c r="D4" s="2"/>
      <c r="E4" s="2"/>
      <c r="F4" s="2"/>
      <c r="G4" s="2"/>
      <c r="H4" s="2"/>
      <c r="I4" s="2" t="s">
        <v>16</v>
      </c>
      <c r="J4" s="2"/>
      <c r="K4" s="2"/>
      <c r="L4" s="2"/>
      <c r="M4" s="2"/>
      <c r="N4" s="2"/>
    </row>
    <row r="5" spans="2:14" x14ac:dyDescent="0.25">
      <c r="B5" s="4" t="s">
        <v>1</v>
      </c>
      <c r="C5" s="14" t="s">
        <v>2</v>
      </c>
      <c r="D5" s="14" t="s">
        <v>3</v>
      </c>
      <c r="E5" s="14" t="s">
        <v>4</v>
      </c>
      <c r="F5" s="14" t="s">
        <v>5</v>
      </c>
      <c r="G5" s="14" t="s">
        <v>6</v>
      </c>
      <c r="H5" s="15" t="s">
        <v>7</v>
      </c>
      <c r="I5" s="15" t="s">
        <v>8</v>
      </c>
      <c r="J5" s="4" t="s">
        <v>145</v>
      </c>
      <c r="K5" s="4" t="s">
        <v>146</v>
      </c>
      <c r="L5" s="4" t="s">
        <v>182</v>
      </c>
      <c r="M5" s="4" t="s">
        <v>11</v>
      </c>
      <c r="N5" s="4" t="s">
        <v>12</v>
      </c>
    </row>
    <row r="6" spans="2:14" x14ac:dyDescent="0.25">
      <c r="B6" s="2" t="str">
        <f t="shared" ref="B6:B10" si="0">_xlfn.TEXTJOIN("_",TRUE,"UC",A17,"MaxGrowth",B17)</f>
        <v>UC_SRV_MaxGrowth_Biomass</v>
      </c>
      <c r="C6" s="2" t="s">
        <v>144</v>
      </c>
      <c r="D6" s="2"/>
      <c r="F6" s="2" t="s">
        <v>140</v>
      </c>
      <c r="G6" s="2" t="s">
        <v>142</v>
      </c>
      <c r="H6" s="2">
        <v>2018</v>
      </c>
      <c r="I6" s="2" t="s">
        <v>15</v>
      </c>
      <c r="J6" s="29">
        <f>1+C17</f>
        <v>1.02</v>
      </c>
      <c r="K6" s="2">
        <v>1</v>
      </c>
      <c r="L6" s="16">
        <f t="shared" ref="L6:L11" si="1">-D17</f>
        <v>-0.1</v>
      </c>
      <c r="M6" s="2">
        <v>5</v>
      </c>
      <c r="N6" s="2" t="str">
        <f t="shared" ref="N6:N11" si="2">_xlfn.TEXTJOIN(" ",TRUE,A17, "maximum growth rate of",B17)</f>
        <v>SRV maximum growth rate of Biomass</v>
      </c>
    </row>
    <row r="7" spans="2:14" x14ac:dyDescent="0.25">
      <c r="B7" s="2" t="str">
        <f t="shared" si="0"/>
        <v>UC_SRV_MaxGrowth_Biogas</v>
      </c>
      <c r="C7" s="2" t="s">
        <v>144</v>
      </c>
      <c r="D7" s="2"/>
      <c r="F7" s="2" t="s">
        <v>141</v>
      </c>
      <c r="G7" s="2" t="s">
        <v>142</v>
      </c>
      <c r="H7" s="2">
        <v>2018</v>
      </c>
      <c r="I7" s="2" t="s">
        <v>15</v>
      </c>
      <c r="J7" s="29">
        <f>1+C18</f>
        <v>1.02</v>
      </c>
      <c r="K7" s="2">
        <v>1</v>
      </c>
      <c r="L7" s="16">
        <f t="shared" si="1"/>
        <v>-0.1</v>
      </c>
      <c r="M7" s="2">
        <v>5</v>
      </c>
      <c r="N7" s="2" t="str">
        <f t="shared" si="2"/>
        <v>SRV maximum growth rate of Biogas</v>
      </c>
    </row>
    <row r="8" spans="2:14" x14ac:dyDescent="0.25">
      <c r="B8" s="2" t="str">
        <f t="shared" si="0"/>
        <v>UC_SRV_MaxGrowth_AmbientHeat</v>
      </c>
      <c r="C8" s="2" t="s">
        <v>144</v>
      </c>
      <c r="D8" s="2"/>
      <c r="F8" s="2" t="s">
        <v>218</v>
      </c>
      <c r="G8" s="2" t="s">
        <v>142</v>
      </c>
      <c r="H8" s="2">
        <v>2021</v>
      </c>
      <c r="I8" s="2" t="s">
        <v>15</v>
      </c>
      <c r="J8" s="29">
        <f>1+C19</f>
        <v>1.5</v>
      </c>
      <c r="K8" s="2">
        <v>1</v>
      </c>
      <c r="L8" s="16">
        <f t="shared" si="1"/>
        <v>-0.3</v>
      </c>
      <c r="M8" s="2">
        <v>5</v>
      </c>
      <c r="N8" s="2" t="str">
        <f t="shared" si="2"/>
        <v>SRV maximum growth rate of AmbientHeat</v>
      </c>
    </row>
    <row r="9" spans="2:14" x14ac:dyDescent="0.25">
      <c r="B9" s="2" t="str">
        <f>_xlfn.TEXTJOIN("_",TRUE,"UC",A20,"MaxGrowth",B20)</f>
        <v>UC_SRV_MaxGrowth_DistrictHeat</v>
      </c>
      <c r="C9" s="2" t="s">
        <v>144</v>
      </c>
      <c r="D9" s="2"/>
      <c r="F9" s="2" t="s">
        <v>222</v>
      </c>
      <c r="G9" s="2" t="s">
        <v>142</v>
      </c>
      <c r="H9" s="2">
        <v>2021</v>
      </c>
      <c r="I9" s="2" t="s">
        <v>15</v>
      </c>
      <c r="J9" s="29">
        <v>1.1000000000000001</v>
      </c>
      <c r="K9" s="2">
        <v>1</v>
      </c>
      <c r="L9" s="16">
        <f t="shared" si="1"/>
        <v>0</v>
      </c>
      <c r="M9" s="2">
        <v>5</v>
      </c>
      <c r="N9" s="2" t="str">
        <f t="shared" si="2"/>
        <v>SRV maximum growth rate of DistrictHeat</v>
      </c>
    </row>
    <row r="10" spans="2:14" x14ac:dyDescent="0.25">
      <c r="B10" s="2" t="str">
        <f t="shared" si="0"/>
        <v>UC_SRV_MaxGrowth_Gas</v>
      </c>
      <c r="C10" s="2" t="s">
        <v>144</v>
      </c>
      <c r="D10" s="2"/>
      <c r="F10" s="2" t="s">
        <v>193</v>
      </c>
      <c r="G10" s="2" t="s">
        <v>142</v>
      </c>
      <c r="H10" s="2">
        <v>2021</v>
      </c>
      <c r="I10" s="2" t="s">
        <v>15</v>
      </c>
      <c r="J10" s="29">
        <f>1+C21</f>
        <v>1.01</v>
      </c>
      <c r="K10" s="2">
        <v>1</v>
      </c>
      <c r="L10" s="16">
        <f t="shared" si="1"/>
        <v>0</v>
      </c>
      <c r="M10" s="2">
        <v>5</v>
      </c>
      <c r="N10" s="2" t="str">
        <f t="shared" si="2"/>
        <v>SRV maximum growth rate of Gas</v>
      </c>
    </row>
    <row r="11" spans="2:14" x14ac:dyDescent="0.25">
      <c r="B11" s="2" t="str">
        <f>_xlfn.TEXTJOIN("_",TRUE,"UC",A22,"MaxGrowth",B22)</f>
        <v>UC_SRV_MaxGrowth_Electricity</v>
      </c>
      <c r="C11" s="2" t="s">
        <v>144</v>
      </c>
      <c r="D11" s="2"/>
      <c r="F11" s="2" t="s">
        <v>223</v>
      </c>
      <c r="G11" s="2" t="s">
        <v>142</v>
      </c>
      <c r="H11" s="2">
        <v>2021</v>
      </c>
      <c r="I11" s="2" t="s">
        <v>15</v>
      </c>
      <c r="J11" s="29">
        <f>1+C22</f>
        <v>1.3</v>
      </c>
      <c r="K11" s="2">
        <v>1</v>
      </c>
      <c r="L11" s="16">
        <f t="shared" si="1"/>
        <v>-0.3</v>
      </c>
      <c r="M11" s="2">
        <v>5</v>
      </c>
      <c r="N11" s="2" t="str">
        <f t="shared" si="2"/>
        <v>SRV maximum growth rate of Electricity</v>
      </c>
    </row>
    <row r="12" spans="2:14" x14ac:dyDescent="0.25">
      <c r="B12" s="2" t="str">
        <f>_xlfn.TEXTJOIN("_",TRUE,"UC",A23,"MaxGrowth",B23)</f>
        <v>UC_SRV_MaxGrowth_Solar</v>
      </c>
      <c r="C12" s="2" t="s">
        <v>144</v>
      </c>
      <c r="D12" s="2"/>
      <c r="F12" t="s">
        <v>224</v>
      </c>
      <c r="G12" s="2" t="s">
        <v>142</v>
      </c>
      <c r="H12" s="2">
        <v>2021</v>
      </c>
      <c r="I12" s="2" t="s">
        <v>15</v>
      </c>
      <c r="J12" s="29">
        <f>1+C23</f>
        <v>1.1499999999999999</v>
      </c>
      <c r="K12" s="2">
        <v>1</v>
      </c>
      <c r="L12" s="16">
        <f>-D23</f>
        <v>-0.2</v>
      </c>
      <c r="M12" s="2">
        <v>5</v>
      </c>
      <c r="N12" s="2" t="str">
        <f>_xlfn.TEXTJOIN(" ",TRUE,A23, "maximum growth rate of",B23)</f>
        <v>SRV maximum growth rate of Solar</v>
      </c>
    </row>
    <row r="13" spans="2:14" x14ac:dyDescent="0.25">
      <c r="B13" s="2" t="str">
        <f>_xlfn.TEXTJOIN("_",TRUE,"UC",A23,"MinGrowth",B23)</f>
        <v>UC_SRV_MinGrowth_Solar</v>
      </c>
      <c r="C13" s="2" t="s">
        <v>144</v>
      </c>
      <c r="D13" s="2"/>
      <c r="F13" t="s">
        <v>224</v>
      </c>
      <c r="G13" s="2" t="s">
        <v>142</v>
      </c>
      <c r="H13" s="2">
        <v>2021</v>
      </c>
      <c r="I13" s="2" t="s">
        <v>185</v>
      </c>
      <c r="J13" s="29">
        <f>1+C23/10</f>
        <v>1.0149999999999999</v>
      </c>
      <c r="K13" s="2">
        <v>1</v>
      </c>
      <c r="L13" s="16">
        <f>-D23</f>
        <v>-0.2</v>
      </c>
      <c r="M13" s="2">
        <v>5</v>
      </c>
      <c r="N13" s="2" t="str">
        <f>_xlfn.TEXTJOIN(" ",TRUE,A23, "minimum growth rate of",B23)</f>
        <v>SRV minimum growth rate of Solar</v>
      </c>
    </row>
    <row r="14" spans="2:14" x14ac:dyDescent="0.25">
      <c r="B14" s="2" t="str">
        <f>_xlfn.TEXTJOIN("_",TRUE,"UC",A24,"MinGrowth",B24)</f>
        <v>UC_SRV_MinGrowth_LPG</v>
      </c>
      <c r="C14" s="2" t="s">
        <v>144</v>
      </c>
      <c r="D14" s="2"/>
      <c r="F14" t="s">
        <v>225</v>
      </c>
      <c r="G14" s="2" t="s">
        <v>142</v>
      </c>
      <c r="H14" s="2">
        <v>2021</v>
      </c>
      <c r="I14" s="2" t="s">
        <v>15</v>
      </c>
      <c r="J14" s="29">
        <f>1+C24</f>
        <v>1.01</v>
      </c>
      <c r="K14" s="2">
        <v>1</v>
      </c>
      <c r="L14" s="16">
        <f>-D24</f>
        <v>0</v>
      </c>
      <c r="M14" s="2">
        <v>5</v>
      </c>
      <c r="N14" s="2" t="str">
        <f>_xlfn.TEXTJOIN(" ",TRUE,A24, "maximum growth rate of",B24)</f>
        <v>SRV maximum growth rate of LPG</v>
      </c>
    </row>
    <row r="15" spans="2:14" x14ac:dyDescent="0.25">
      <c r="B15" s="2"/>
      <c r="C15" s="2"/>
      <c r="D15" s="2"/>
      <c r="G15" s="2"/>
      <c r="H15" s="2"/>
      <c r="I15" s="2"/>
      <c r="J15" s="29"/>
      <c r="K15" s="2"/>
      <c r="L15" s="16"/>
      <c r="M15" s="2"/>
      <c r="N15" s="2"/>
    </row>
    <row r="16" spans="2:14" x14ac:dyDescent="0.25">
      <c r="C16" t="s">
        <v>117</v>
      </c>
      <c r="D16" t="s">
        <v>189</v>
      </c>
    </row>
    <row r="17" spans="1:8" x14ac:dyDescent="0.25">
      <c r="A17" t="s">
        <v>139</v>
      </c>
      <c r="B17" t="s">
        <v>137</v>
      </c>
      <c r="C17" s="50">
        <v>0.02</v>
      </c>
      <c r="D17">
        <v>0.1</v>
      </c>
    </row>
    <row r="18" spans="1:8" x14ac:dyDescent="0.25">
      <c r="A18" t="s">
        <v>139</v>
      </c>
      <c r="B18" t="s">
        <v>138</v>
      </c>
      <c r="C18" s="50">
        <v>0.02</v>
      </c>
      <c r="D18">
        <v>0.1</v>
      </c>
    </row>
    <row r="19" spans="1:8" x14ac:dyDescent="0.25">
      <c r="A19" t="s">
        <v>139</v>
      </c>
      <c r="B19" t="s">
        <v>190</v>
      </c>
      <c r="C19" s="50">
        <v>0.5</v>
      </c>
      <c r="D19">
        <v>0.3</v>
      </c>
    </row>
    <row r="20" spans="1:8" x14ac:dyDescent="0.25">
      <c r="A20" t="s">
        <v>139</v>
      </c>
      <c r="B20" t="s">
        <v>191</v>
      </c>
      <c r="C20" s="50">
        <v>0</v>
      </c>
      <c r="D20">
        <v>0</v>
      </c>
    </row>
    <row r="21" spans="1:8" x14ac:dyDescent="0.25">
      <c r="A21" t="s">
        <v>139</v>
      </c>
      <c r="B21" t="s">
        <v>192</v>
      </c>
      <c r="C21" s="50">
        <v>0.01</v>
      </c>
      <c r="D21">
        <v>0</v>
      </c>
    </row>
    <row r="22" spans="1:8" x14ac:dyDescent="0.25">
      <c r="A22" t="s">
        <v>139</v>
      </c>
      <c r="B22" t="s">
        <v>199</v>
      </c>
      <c r="C22" s="50">
        <v>0.3</v>
      </c>
      <c r="D22">
        <v>0.3</v>
      </c>
    </row>
    <row r="23" spans="1:8" x14ac:dyDescent="0.25">
      <c r="A23" t="s">
        <v>139</v>
      </c>
      <c r="B23" t="s">
        <v>203</v>
      </c>
      <c r="C23" s="50">
        <v>0.15</v>
      </c>
      <c r="D23">
        <v>0.2</v>
      </c>
    </row>
    <row r="24" spans="1:8" x14ac:dyDescent="0.25">
      <c r="A24" t="s">
        <v>139</v>
      </c>
      <c r="B24" t="s">
        <v>201</v>
      </c>
      <c r="C24" s="50">
        <v>0.01</v>
      </c>
      <c r="D24">
        <v>0</v>
      </c>
    </row>
    <row r="26" spans="1:8" x14ac:dyDescent="0.25">
      <c r="B26" s="45" t="s">
        <v>213</v>
      </c>
      <c r="H26" s="46"/>
    </row>
    <row r="27" spans="1:8" ht="15.75" thickBot="1" x14ac:dyDescent="0.3">
      <c r="B27" s="47" t="s">
        <v>214</v>
      </c>
      <c r="C27" s="47" t="s">
        <v>8</v>
      </c>
      <c r="D27" s="47" t="s">
        <v>215</v>
      </c>
      <c r="E27" s="47" t="s">
        <v>7</v>
      </c>
      <c r="F27" s="48" t="str">
        <f>IF(Regions!C$3&lt;&gt;"",Regions!C$3,"*")</f>
        <v>IE</v>
      </c>
      <c r="G27" s="48" t="str">
        <f>IF(Regions!C$3&lt;&gt;"",Regions!D$3,"*")</f>
        <v>National</v>
      </c>
      <c r="H27" s="49" t="s">
        <v>216</v>
      </c>
    </row>
    <row r="28" spans="1:8" x14ac:dyDescent="0.25">
      <c r="D28" t="s">
        <v>217</v>
      </c>
      <c r="E28">
        <v>2018</v>
      </c>
      <c r="F28">
        <v>0</v>
      </c>
      <c r="G28">
        <v>0</v>
      </c>
      <c r="H28" t="str">
        <f xml:space="preserve"> _xlfn.TEXTJOIN(",",TRUE,F6:F10)</f>
        <v>SRVBIO,SRVBGS,SRVAHT,SRVAHT2,SRVHET*,SRVGAS</v>
      </c>
    </row>
    <row r="29" spans="1:8" x14ac:dyDescent="0.25">
      <c r="D29" t="s">
        <v>217</v>
      </c>
      <c r="E29">
        <v>2018</v>
      </c>
      <c r="F29">
        <v>0.01</v>
      </c>
      <c r="G29">
        <v>0.01</v>
      </c>
      <c r="H29" t="str">
        <f xml:space="preserve"> _xlfn.TEXTJOIN(",",TRUE,F8)</f>
        <v>SRVAHT,SRVAHT2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B7AF2-8905-43A5-8387-D99F068F4BCD}">
  <sheetPr codeName="Sheet3"/>
  <dimension ref="A2:P53"/>
  <sheetViews>
    <sheetView zoomScaleNormal="100" workbookViewId="0">
      <selection activeCell="B2" sqref="B2"/>
    </sheetView>
  </sheetViews>
  <sheetFormatPr defaultRowHeight="15" x14ac:dyDescent="0.25"/>
  <cols>
    <col min="2" max="2" width="24.42578125" customWidth="1"/>
    <col min="3" max="3" width="14.28515625" customWidth="1"/>
    <col min="4" max="4" width="11" customWidth="1"/>
    <col min="5" max="5" width="11.140625" customWidth="1"/>
    <col min="7" max="7" width="15.85546875" bestFit="1" customWidth="1"/>
    <col min="9" max="10" width="8.85546875" bestFit="1" customWidth="1"/>
    <col min="11" max="11" width="15.5703125" bestFit="1" customWidth="1"/>
    <col min="12" max="12" width="17.5703125" bestFit="1" customWidth="1"/>
    <col min="13" max="13" width="17.5703125" customWidth="1"/>
    <col min="14" max="14" width="13.5703125" customWidth="1"/>
    <col min="15" max="15" width="10.7109375" customWidth="1"/>
    <col min="16" max="16" width="11.140625" customWidth="1"/>
  </cols>
  <sheetData>
    <row r="2" spans="2:15" x14ac:dyDescent="0.25">
      <c r="B2" s="1" t="str">
        <f>"~UC_Sets: R_E: " &amp; _xlfn.TEXTJOIN(",",TRUE,Regions!C3,Regions!E3:AD3)</f>
        <v>~UC_Sets: R_E: IE,IE-CW,IE-D,IE-KE,IE-KK,IE-LS,IE-LD,IE-LH,IE-MH,IE-OY,IE-WH,IE-WX,IE-WW,IE-CE,IE-CO,IE-KY,IE-LK,IE-TA,IE-WD,IE-G,IE-LM,IE-MO,IE-RN,IE-SO,IE-CN,IE-DL,IE-MN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2:15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2:15" x14ac:dyDescent="0.25">
      <c r="B4" s="2"/>
      <c r="C4" s="2"/>
      <c r="D4" s="2"/>
      <c r="E4" s="2"/>
      <c r="F4" s="2"/>
      <c r="G4" s="2"/>
      <c r="H4" s="2"/>
      <c r="I4" s="2" t="s">
        <v>16</v>
      </c>
      <c r="J4" s="2"/>
      <c r="K4" s="2"/>
      <c r="L4" s="2"/>
      <c r="M4" s="2"/>
      <c r="N4" s="2"/>
      <c r="O4" s="2"/>
    </row>
    <row r="5" spans="2:15" x14ac:dyDescent="0.25">
      <c r="B5" s="4" t="s">
        <v>1</v>
      </c>
      <c r="C5" s="14" t="s">
        <v>2</v>
      </c>
      <c r="D5" s="14" t="s">
        <v>3</v>
      </c>
      <c r="E5" s="14" t="s">
        <v>4</v>
      </c>
      <c r="F5" s="14" t="s">
        <v>5</v>
      </c>
      <c r="G5" s="14" t="s">
        <v>6</v>
      </c>
      <c r="H5" s="15" t="s">
        <v>7</v>
      </c>
      <c r="I5" s="15" t="s">
        <v>8</v>
      </c>
      <c r="J5" s="4" t="s">
        <v>9</v>
      </c>
      <c r="K5" s="4" t="s">
        <v>10</v>
      </c>
      <c r="L5" s="4" t="s">
        <v>43</v>
      </c>
      <c r="M5" s="4" t="s">
        <v>11</v>
      </c>
      <c r="N5" s="4" t="s">
        <v>12</v>
      </c>
    </row>
    <row r="6" spans="2:15" x14ac:dyDescent="0.25">
      <c r="B6" s="2" t="str">
        <f t="shared" ref="B6:B23" si="0">IF(H27="*","*",_xlfn.TEXTJOIN("",TRUE,"UC-",I27,"_MaxGrowth",J27))</f>
        <v>UC-CAR_MaxGrowthBEV</v>
      </c>
      <c r="C6" s="2" t="s">
        <v>13</v>
      </c>
      <c r="D6" s="2" t="s">
        <v>14</v>
      </c>
      <c r="E6" s="2"/>
      <c r="F6" s="2"/>
      <c r="G6" s="2" t="s">
        <v>42</v>
      </c>
      <c r="H6" s="2">
        <v>2018</v>
      </c>
      <c r="I6" s="2" t="s">
        <v>15</v>
      </c>
      <c r="J6" s="26">
        <f t="shared" ref="J6:J23" si="1">1+$K27</f>
        <v>2</v>
      </c>
      <c r="K6" s="2">
        <v>1</v>
      </c>
      <c r="L6" s="16">
        <f t="shared" ref="L6:L8" si="2">-$B$53*L27/1000</f>
        <v>-18.168149999999997</v>
      </c>
      <c r="M6" s="2">
        <v>5</v>
      </c>
      <c r="N6" s="2" t="str">
        <f t="shared" ref="N6:N23" si="3">_xlfn.TEXTJOIN(" ", TRUE,I27&amp;"s","maximum growth rate of",J27&amp;"s")</f>
        <v>CARs maximum growth rate of BEVs</v>
      </c>
    </row>
    <row r="7" spans="2:15" x14ac:dyDescent="0.25">
      <c r="B7" s="2" t="str">
        <f t="shared" si="0"/>
        <v>UC-CAR_MaxGrowthPHEV</v>
      </c>
      <c r="C7" s="2" t="s">
        <v>13</v>
      </c>
      <c r="D7" s="2" t="s">
        <v>14</v>
      </c>
      <c r="E7" s="2"/>
      <c r="F7" s="2"/>
      <c r="G7" s="2" t="s">
        <v>44</v>
      </c>
      <c r="H7" s="2">
        <v>2018</v>
      </c>
      <c r="I7" s="2" t="s">
        <v>15</v>
      </c>
      <c r="J7" s="26">
        <f t="shared" si="1"/>
        <v>1.8</v>
      </c>
      <c r="K7" s="2">
        <v>1</v>
      </c>
      <c r="L7" s="16">
        <f t="shared" si="2"/>
        <v>-18.168149999999997</v>
      </c>
      <c r="M7" s="2">
        <v>5</v>
      </c>
      <c r="N7" s="2" t="str">
        <f t="shared" si="3"/>
        <v>CARs maximum growth rate of PHEVs</v>
      </c>
    </row>
    <row r="8" spans="2:15" x14ac:dyDescent="0.25">
      <c r="B8" s="2" t="str">
        <f t="shared" si="0"/>
        <v>UC-CAR_MaxGrowthNG-ICE</v>
      </c>
      <c r="C8" s="2" t="s">
        <v>13</v>
      </c>
      <c r="D8" s="2" t="s">
        <v>14</v>
      </c>
      <c r="E8" s="2"/>
      <c r="F8" s="2"/>
      <c r="G8" s="2" t="s">
        <v>115</v>
      </c>
      <c r="H8" s="2">
        <v>2018</v>
      </c>
      <c r="I8" s="2" t="s">
        <v>15</v>
      </c>
      <c r="J8" s="26">
        <f t="shared" si="1"/>
        <v>1.5</v>
      </c>
      <c r="K8" s="2">
        <v>1</v>
      </c>
      <c r="L8" s="16">
        <f t="shared" si="2"/>
        <v>-18.168149999999997</v>
      </c>
      <c r="M8" s="2">
        <v>5</v>
      </c>
      <c r="N8" s="2" t="str">
        <f t="shared" si="3"/>
        <v>CARs maximum growth rate of NG-ICEs</v>
      </c>
    </row>
    <row r="9" spans="2:15" x14ac:dyDescent="0.25">
      <c r="B9" s="18" t="str">
        <f t="shared" si="0"/>
        <v>UC-CAR_MaxGrowthFCV</v>
      </c>
      <c r="C9" s="18" t="s">
        <v>13</v>
      </c>
      <c r="D9" s="18" t="s">
        <v>14</v>
      </c>
      <c r="E9" s="18"/>
      <c r="F9" s="18"/>
      <c r="G9" s="18" t="s">
        <v>49</v>
      </c>
      <c r="H9" s="18">
        <v>2018</v>
      </c>
      <c r="I9" s="18" t="s">
        <v>15</v>
      </c>
      <c r="J9" s="27">
        <f t="shared" si="1"/>
        <v>1.5</v>
      </c>
      <c r="K9" s="18">
        <v>1</v>
      </c>
      <c r="L9" s="19">
        <f t="shared" ref="L9" si="4">-$B$53*L30/1000</f>
        <v>-18.168149999999997</v>
      </c>
      <c r="M9" s="18">
        <v>5</v>
      </c>
      <c r="N9" s="18" t="str">
        <f t="shared" si="3"/>
        <v>CARs maximum growth rate of FCVs</v>
      </c>
    </row>
    <row r="10" spans="2:15" x14ac:dyDescent="0.25">
      <c r="B10" s="2" t="str">
        <f t="shared" si="0"/>
        <v>UC-LGT_MaxGrowthBEV</v>
      </c>
      <c r="C10" s="2" t="s">
        <v>13</v>
      </c>
      <c r="D10" s="2" t="s">
        <v>14</v>
      </c>
      <c r="E10" s="2"/>
      <c r="F10" s="2"/>
      <c r="G10" s="2" t="s">
        <v>39</v>
      </c>
      <c r="H10" s="2">
        <v>2018</v>
      </c>
      <c r="I10" s="2" t="s">
        <v>15</v>
      </c>
      <c r="J10" s="26">
        <f t="shared" si="1"/>
        <v>1.5</v>
      </c>
      <c r="K10" s="2">
        <v>1</v>
      </c>
      <c r="L10" s="16">
        <f t="shared" ref="L10:L12" si="5">-$B$52*L31/1000</f>
        <v>-2.4808499999999998</v>
      </c>
      <c r="M10" s="2">
        <v>5</v>
      </c>
      <c r="N10" s="2" t="str">
        <f t="shared" si="3"/>
        <v>LGTs maximum growth rate of BEVs</v>
      </c>
    </row>
    <row r="11" spans="2:15" x14ac:dyDescent="0.25">
      <c r="B11" s="2" t="str">
        <f t="shared" si="0"/>
        <v>UC-LGT_MaxGrowthPHEV</v>
      </c>
      <c r="C11" s="2" t="s">
        <v>13</v>
      </c>
      <c r="D11" s="2" t="s">
        <v>14</v>
      </c>
      <c r="E11" s="2"/>
      <c r="F11" s="2"/>
      <c r="G11" s="2" t="s">
        <v>50</v>
      </c>
      <c r="H11" s="2">
        <v>2018</v>
      </c>
      <c r="I11" s="2" t="s">
        <v>15</v>
      </c>
      <c r="J11" s="26">
        <f t="shared" si="1"/>
        <v>1.5</v>
      </c>
      <c r="K11" s="2">
        <v>1</v>
      </c>
      <c r="L11" s="16">
        <f t="shared" si="5"/>
        <v>-2.4808499999999998</v>
      </c>
      <c r="M11" s="2">
        <v>5</v>
      </c>
      <c r="N11" s="2" t="str">
        <f t="shared" si="3"/>
        <v>LGTs maximum growth rate of PHEVs</v>
      </c>
    </row>
    <row r="12" spans="2:15" x14ac:dyDescent="0.25">
      <c r="B12" s="2" t="str">
        <f t="shared" si="0"/>
        <v>UC-LGT_MaxGrowthNG-ICE</v>
      </c>
      <c r="C12" s="2" t="s">
        <v>13</v>
      </c>
      <c r="D12" s="2" t="s">
        <v>14</v>
      </c>
      <c r="E12" s="2"/>
      <c r="F12" s="2"/>
      <c r="G12" s="2" t="s">
        <v>116</v>
      </c>
      <c r="H12" s="2">
        <v>2018</v>
      </c>
      <c r="I12" s="2" t="s">
        <v>15</v>
      </c>
      <c r="J12" s="26">
        <f t="shared" si="1"/>
        <v>1.5</v>
      </c>
      <c r="K12" s="2">
        <v>1</v>
      </c>
      <c r="L12" s="16">
        <f t="shared" si="5"/>
        <v>-2.4808499999999998</v>
      </c>
      <c r="M12" s="2">
        <v>5</v>
      </c>
      <c r="N12" s="2" t="str">
        <f t="shared" si="3"/>
        <v>LGTs maximum growth rate of NG-ICEs</v>
      </c>
    </row>
    <row r="13" spans="2:15" x14ac:dyDescent="0.25">
      <c r="B13" s="18" t="str">
        <f t="shared" si="0"/>
        <v>UC-LGT_MaxGrowthFCV</v>
      </c>
      <c r="C13" s="18" t="s">
        <v>13</v>
      </c>
      <c r="D13" s="18" t="s">
        <v>14</v>
      </c>
      <c r="E13" s="18"/>
      <c r="F13" s="18"/>
      <c r="G13" s="18" t="s">
        <v>51</v>
      </c>
      <c r="H13" s="18">
        <v>2018</v>
      </c>
      <c r="I13" s="18" t="s">
        <v>15</v>
      </c>
      <c r="J13" s="27">
        <f t="shared" si="1"/>
        <v>1.5</v>
      </c>
      <c r="K13" s="18">
        <v>1</v>
      </c>
      <c r="L13" s="19">
        <f t="shared" ref="L13" si="6">-$B$52*L34/1000</f>
        <v>-2.4808499999999998</v>
      </c>
      <c r="M13" s="18">
        <v>5</v>
      </c>
      <c r="N13" s="18" t="str">
        <f t="shared" si="3"/>
        <v>LGTs maximum growth rate of FCVs</v>
      </c>
    </row>
    <row r="14" spans="2:15" x14ac:dyDescent="0.25">
      <c r="B14" s="2" t="str">
        <f t="shared" si="0"/>
        <v>UC-MGT_MaxGrowthBEV</v>
      </c>
      <c r="C14" s="2" t="s">
        <v>13</v>
      </c>
      <c r="D14" s="2" t="s">
        <v>14</v>
      </c>
      <c r="E14" s="2"/>
      <c r="F14" s="2"/>
      <c r="G14" s="2" t="s">
        <v>40</v>
      </c>
      <c r="H14" s="2">
        <v>2018</v>
      </c>
      <c r="I14" s="2" t="s">
        <v>15</v>
      </c>
      <c r="J14" s="26">
        <f t="shared" si="1"/>
        <v>1.5</v>
      </c>
      <c r="K14" s="2">
        <v>1</v>
      </c>
      <c r="L14" s="16">
        <f t="shared" ref="L14:L17" si="7">-$B$51*L35/1000</f>
        <v>-7.9500000000000001E-2</v>
      </c>
      <c r="M14" s="2">
        <v>5</v>
      </c>
      <c r="N14" s="2" t="str">
        <f t="shared" si="3"/>
        <v>MGTs maximum growth rate of BEVs</v>
      </c>
    </row>
    <row r="15" spans="2:15" x14ac:dyDescent="0.25">
      <c r="B15" s="2" t="str">
        <f t="shared" si="0"/>
        <v>UC-MGT_MaxGrowthNG-ICE</v>
      </c>
      <c r="C15" s="2" t="s">
        <v>13</v>
      </c>
      <c r="D15" s="2" t="s">
        <v>14</v>
      </c>
      <c r="E15" s="2"/>
      <c r="F15" s="2"/>
      <c r="G15" s="2" t="s">
        <v>111</v>
      </c>
      <c r="H15" s="2">
        <v>2018</v>
      </c>
      <c r="I15" s="2" t="s">
        <v>15</v>
      </c>
      <c r="J15" s="26">
        <f t="shared" si="1"/>
        <v>1.5</v>
      </c>
      <c r="K15" s="2">
        <v>1</v>
      </c>
      <c r="L15" s="16">
        <f t="shared" si="7"/>
        <v>-7.9500000000000001E-2</v>
      </c>
      <c r="M15" s="2">
        <v>5</v>
      </c>
      <c r="N15" s="2" t="str">
        <f t="shared" si="3"/>
        <v>MGTs maximum growth rate of NG-ICEs</v>
      </c>
    </row>
    <row r="16" spans="2:15" x14ac:dyDescent="0.25">
      <c r="B16" s="2" t="str">
        <f t="shared" si="0"/>
        <v>UC-MGT_MaxGrowthLNG-ICE</v>
      </c>
      <c r="C16" s="2" t="s">
        <v>13</v>
      </c>
      <c r="D16" s="2" t="s">
        <v>14</v>
      </c>
      <c r="E16" s="2"/>
      <c r="F16" s="2"/>
      <c r="G16" s="2" t="s">
        <v>112</v>
      </c>
      <c r="H16" s="2">
        <v>2018</v>
      </c>
      <c r="I16" s="2" t="s">
        <v>15</v>
      </c>
      <c r="J16" s="26">
        <f t="shared" si="1"/>
        <v>1.5</v>
      </c>
      <c r="K16" s="2">
        <v>1</v>
      </c>
      <c r="L16" s="16">
        <f t="shared" si="7"/>
        <v>-7.9500000000000001E-2</v>
      </c>
      <c r="M16" s="2">
        <v>5</v>
      </c>
      <c r="N16" s="2" t="str">
        <f t="shared" si="3"/>
        <v>MGTs maximum growth rate of LNG-ICEs</v>
      </c>
    </row>
    <row r="17" spans="1:15" x14ac:dyDescent="0.25">
      <c r="B17" s="2" t="str">
        <f t="shared" si="0"/>
        <v>UC-MGT_MaxGrowthHEV</v>
      </c>
      <c r="C17" s="2" t="s">
        <v>13</v>
      </c>
      <c r="D17" s="2" t="s">
        <v>14</v>
      </c>
      <c r="E17" s="2"/>
      <c r="F17" s="2"/>
      <c r="G17" s="2" t="s">
        <v>46</v>
      </c>
      <c r="H17" s="2">
        <v>2018</v>
      </c>
      <c r="I17" s="2" t="s">
        <v>15</v>
      </c>
      <c r="J17" s="26">
        <f t="shared" si="1"/>
        <v>1.5</v>
      </c>
      <c r="K17" s="2">
        <v>1</v>
      </c>
      <c r="L17" s="16">
        <f t="shared" si="7"/>
        <v>-7.9500000000000001E-2</v>
      </c>
      <c r="M17" s="2">
        <v>5</v>
      </c>
      <c r="N17" s="2" t="str">
        <f t="shared" si="3"/>
        <v>MGTs maximum growth rate of HEVs</v>
      </c>
    </row>
    <row r="18" spans="1:15" x14ac:dyDescent="0.25">
      <c r="B18" s="18" t="str">
        <f t="shared" si="0"/>
        <v>UC-MGT_MaxGrowthFCV</v>
      </c>
      <c r="C18" s="18" t="s">
        <v>13</v>
      </c>
      <c r="D18" s="18" t="s">
        <v>14</v>
      </c>
      <c r="E18" s="18"/>
      <c r="F18" s="18"/>
      <c r="G18" s="18" t="s">
        <v>48</v>
      </c>
      <c r="H18" s="18">
        <v>2018</v>
      </c>
      <c r="I18" s="18" t="s">
        <v>15</v>
      </c>
      <c r="J18" s="27">
        <f t="shared" si="1"/>
        <v>1.5</v>
      </c>
      <c r="K18" s="18">
        <v>1</v>
      </c>
      <c r="L18" s="19">
        <f t="shared" ref="L18" si="8">-$B$51*L39/1000</f>
        <v>-7.9500000000000001E-2</v>
      </c>
      <c r="M18" s="18">
        <v>5</v>
      </c>
      <c r="N18" s="18" t="str">
        <f t="shared" si="3"/>
        <v>MGTs maximum growth rate of FCVs</v>
      </c>
    </row>
    <row r="19" spans="1:15" x14ac:dyDescent="0.25">
      <c r="B19" s="2" t="str">
        <f t="shared" si="0"/>
        <v>UC-HGT_MaxGrowthBEV</v>
      </c>
      <c r="C19" s="2" t="s">
        <v>13</v>
      </c>
      <c r="D19" s="2" t="s">
        <v>14</v>
      </c>
      <c r="E19" s="2"/>
      <c r="F19" s="2"/>
      <c r="G19" s="2" t="s">
        <v>41</v>
      </c>
      <c r="H19" s="2">
        <v>2018</v>
      </c>
      <c r="I19" s="2" t="s">
        <v>15</v>
      </c>
      <c r="J19" s="26">
        <f t="shared" si="1"/>
        <v>1.5</v>
      </c>
      <c r="K19" s="2">
        <v>1</v>
      </c>
      <c r="L19" s="16">
        <f t="shared" ref="L19:L23" si="9">-$B$50*L40/1000</f>
        <v>-0.22769999999999999</v>
      </c>
      <c r="M19" s="2">
        <v>5</v>
      </c>
      <c r="N19" s="2" t="str">
        <f t="shared" si="3"/>
        <v>HGTs maximum growth rate of BEVs</v>
      </c>
    </row>
    <row r="20" spans="1:15" x14ac:dyDescent="0.25">
      <c r="B20" s="2" t="str">
        <f t="shared" si="0"/>
        <v>UC-HGT_MaxGrowthNG-ICE</v>
      </c>
      <c r="C20" s="2" t="s">
        <v>13</v>
      </c>
      <c r="D20" s="2" t="s">
        <v>14</v>
      </c>
      <c r="E20" s="2"/>
      <c r="F20" s="2"/>
      <c r="G20" s="2" t="s">
        <v>113</v>
      </c>
      <c r="H20" s="2">
        <v>2018</v>
      </c>
      <c r="I20" s="2" t="s">
        <v>15</v>
      </c>
      <c r="J20" s="26">
        <f t="shared" si="1"/>
        <v>1.5</v>
      </c>
      <c r="K20" s="2">
        <v>1</v>
      </c>
      <c r="L20" s="16">
        <f t="shared" si="9"/>
        <v>-0.22769999999999999</v>
      </c>
      <c r="M20" s="2">
        <v>5</v>
      </c>
      <c r="N20" s="2" t="str">
        <f t="shared" si="3"/>
        <v>HGTs maximum growth rate of NG-ICEs</v>
      </c>
    </row>
    <row r="21" spans="1:15" x14ac:dyDescent="0.25">
      <c r="B21" s="2" t="str">
        <f t="shared" si="0"/>
        <v>UC-HGT_MaxGrowthLNG-ICE</v>
      </c>
      <c r="C21" s="2" t="s">
        <v>13</v>
      </c>
      <c r="D21" s="2" t="s">
        <v>14</v>
      </c>
      <c r="E21" s="2"/>
      <c r="F21" s="2"/>
      <c r="G21" s="2" t="s">
        <v>114</v>
      </c>
      <c r="H21" s="2">
        <v>2018</v>
      </c>
      <c r="I21" s="2" t="s">
        <v>15</v>
      </c>
      <c r="J21" s="26">
        <f t="shared" si="1"/>
        <v>1.5</v>
      </c>
      <c r="K21" s="2">
        <v>1</v>
      </c>
      <c r="L21" s="16">
        <f t="shared" si="9"/>
        <v>-0.22769999999999999</v>
      </c>
      <c r="M21" s="2">
        <v>5</v>
      </c>
      <c r="N21" s="2" t="str">
        <f t="shared" si="3"/>
        <v>HGTs maximum growth rate of LNG-ICEs</v>
      </c>
    </row>
    <row r="22" spans="1:15" x14ac:dyDescent="0.25">
      <c r="B22" s="2" t="str">
        <f t="shared" si="0"/>
        <v>UC-HGT_MaxGrowthHEV</v>
      </c>
      <c r="C22" s="2" t="s">
        <v>13</v>
      </c>
      <c r="D22" s="2" t="s">
        <v>14</v>
      </c>
      <c r="E22" s="2"/>
      <c r="F22" s="2"/>
      <c r="G22" s="2" t="s">
        <v>45</v>
      </c>
      <c r="H22" s="2">
        <v>2018</v>
      </c>
      <c r="I22" s="2" t="s">
        <v>15</v>
      </c>
      <c r="J22" s="26">
        <f t="shared" si="1"/>
        <v>1.5</v>
      </c>
      <c r="K22" s="2">
        <v>1</v>
      </c>
      <c r="L22" s="16">
        <f t="shared" si="9"/>
        <v>-0.22769999999999999</v>
      </c>
      <c r="M22" s="2">
        <v>5</v>
      </c>
      <c r="N22" s="2" t="str">
        <f t="shared" si="3"/>
        <v>HGTs maximum growth rate of HEVs</v>
      </c>
      <c r="O22" s="2"/>
    </row>
    <row r="23" spans="1:15" x14ac:dyDescent="0.25">
      <c r="B23" s="18" t="str">
        <f t="shared" si="0"/>
        <v>UC-HGT_MaxGrowthFCV</v>
      </c>
      <c r="C23" s="18" t="s">
        <v>13</v>
      </c>
      <c r="D23" s="18" t="s">
        <v>14</v>
      </c>
      <c r="E23" s="18"/>
      <c r="F23" s="18"/>
      <c r="G23" s="18" t="s">
        <v>47</v>
      </c>
      <c r="H23" s="18">
        <v>2018</v>
      </c>
      <c r="I23" s="18" t="s">
        <v>15</v>
      </c>
      <c r="J23" s="27">
        <f t="shared" si="1"/>
        <v>1.5</v>
      </c>
      <c r="K23" s="18">
        <v>1</v>
      </c>
      <c r="L23" s="19">
        <f t="shared" si="9"/>
        <v>-0.22769999999999999</v>
      </c>
      <c r="M23" s="18">
        <v>5</v>
      </c>
      <c r="N23" s="18" t="str">
        <f t="shared" si="3"/>
        <v>HGTs maximum growth rate of FCVs</v>
      </c>
    </row>
    <row r="26" spans="1:15" x14ac:dyDescent="0.25">
      <c r="H26" t="s">
        <v>152</v>
      </c>
      <c r="I26" t="s">
        <v>150</v>
      </c>
      <c r="J26" t="s">
        <v>151</v>
      </c>
      <c r="K26" t="s">
        <v>117</v>
      </c>
      <c r="L26" t="s">
        <v>153</v>
      </c>
    </row>
    <row r="27" spans="1:15" x14ac:dyDescent="0.25">
      <c r="I27" t="s">
        <v>147</v>
      </c>
      <c r="J27" t="s">
        <v>129</v>
      </c>
      <c r="K27" s="11">
        <v>1</v>
      </c>
      <c r="L27" s="11">
        <v>0.15</v>
      </c>
    </row>
    <row r="28" spans="1:15" x14ac:dyDescent="0.25">
      <c r="A28" s="3" t="s">
        <v>29</v>
      </c>
      <c r="I28" t="s">
        <v>147</v>
      </c>
      <c r="J28" t="s">
        <v>130</v>
      </c>
      <c r="K28" s="11">
        <v>0.8</v>
      </c>
      <c r="L28" s="11">
        <v>0.15</v>
      </c>
    </row>
    <row r="29" spans="1:15" x14ac:dyDescent="0.25">
      <c r="A29" s="4"/>
      <c r="B29" s="4"/>
      <c r="C29" s="8" t="s">
        <v>31</v>
      </c>
      <c r="D29" s="8" t="s">
        <v>30</v>
      </c>
      <c r="E29" s="8" t="s">
        <v>32</v>
      </c>
      <c r="I29" t="s">
        <v>147</v>
      </c>
      <c r="J29" t="s">
        <v>148</v>
      </c>
      <c r="K29" s="11">
        <v>0.5</v>
      </c>
      <c r="L29" s="11">
        <v>0.15</v>
      </c>
    </row>
    <row r="30" spans="1:15" x14ac:dyDescent="0.25">
      <c r="A30" s="54" t="s">
        <v>27</v>
      </c>
      <c r="B30" t="s">
        <v>26</v>
      </c>
      <c r="C30" s="6">
        <v>228046</v>
      </c>
      <c r="D30" s="6">
        <v>9959</v>
      </c>
      <c r="E30" s="9">
        <f t="shared" ref="E30:E35" si="10">D30/C30</f>
        <v>4.3671013742841359E-2</v>
      </c>
      <c r="I30" t="s">
        <v>147</v>
      </c>
      <c r="J30" t="s">
        <v>131</v>
      </c>
      <c r="K30" s="11">
        <v>0.5</v>
      </c>
      <c r="L30" s="11">
        <v>0.15</v>
      </c>
    </row>
    <row r="31" spans="1:15" x14ac:dyDescent="0.25">
      <c r="A31" s="54"/>
      <c r="B31" t="s">
        <v>25</v>
      </c>
      <c r="C31" s="6">
        <v>100649</v>
      </c>
      <c r="D31" s="6">
        <v>6580</v>
      </c>
      <c r="E31" s="9">
        <f t="shared" si="10"/>
        <v>6.5375711631511485E-2</v>
      </c>
      <c r="I31" t="s">
        <v>132</v>
      </c>
      <c r="J31" t="s">
        <v>129</v>
      </c>
      <c r="K31" s="11">
        <v>0.5</v>
      </c>
      <c r="L31" s="11">
        <v>0.15</v>
      </c>
    </row>
    <row r="32" spans="1:15" x14ac:dyDescent="0.25">
      <c r="A32" s="54"/>
      <c r="B32" t="s">
        <v>24</v>
      </c>
      <c r="C32" s="6">
        <v>4546</v>
      </c>
      <c r="D32" s="6">
        <v>201</v>
      </c>
      <c r="E32" s="9">
        <f t="shared" si="10"/>
        <v>4.4214694236691596E-2</v>
      </c>
      <c r="I32" t="s">
        <v>132</v>
      </c>
      <c r="J32" t="s">
        <v>130</v>
      </c>
      <c r="K32" s="11">
        <v>0.5</v>
      </c>
      <c r="L32" s="11">
        <v>0.15</v>
      </c>
    </row>
    <row r="33" spans="1:16" x14ac:dyDescent="0.25">
      <c r="A33" s="54"/>
      <c r="B33" t="s">
        <v>23</v>
      </c>
      <c r="C33" s="6">
        <v>6661</v>
      </c>
      <c r="D33" s="6">
        <v>329</v>
      </c>
      <c r="E33" s="9">
        <f t="shared" si="10"/>
        <v>4.9391983185707852E-2</v>
      </c>
      <c r="I33" t="s">
        <v>132</v>
      </c>
      <c r="J33" t="s">
        <v>148</v>
      </c>
      <c r="K33" s="11">
        <v>0.5</v>
      </c>
      <c r="L33" s="11">
        <v>0.15</v>
      </c>
    </row>
    <row r="34" spans="1:16" x14ac:dyDescent="0.25">
      <c r="A34" s="54"/>
      <c r="B34" t="s">
        <v>22</v>
      </c>
      <c r="C34" s="6">
        <v>8424</v>
      </c>
      <c r="D34" s="6">
        <v>485</v>
      </c>
      <c r="E34" s="9">
        <f t="shared" si="10"/>
        <v>5.7573599240265907E-2</v>
      </c>
      <c r="I34" t="s">
        <v>132</v>
      </c>
      <c r="J34" t="s">
        <v>131</v>
      </c>
      <c r="K34" s="11">
        <v>0.5</v>
      </c>
      <c r="L34" s="11">
        <v>0.15</v>
      </c>
    </row>
    <row r="35" spans="1:16" x14ac:dyDescent="0.25">
      <c r="A35" s="54"/>
      <c r="B35" t="s">
        <v>21</v>
      </c>
      <c r="C35" s="6">
        <v>14373</v>
      </c>
      <c r="D35" s="6">
        <v>1033</v>
      </c>
      <c r="E35" s="9">
        <f t="shared" si="10"/>
        <v>7.187086899046824E-2</v>
      </c>
      <c r="I35" t="s">
        <v>133</v>
      </c>
      <c r="J35" t="s">
        <v>129</v>
      </c>
      <c r="K35" s="11">
        <v>0.5</v>
      </c>
      <c r="L35" s="11">
        <v>0.15</v>
      </c>
    </row>
    <row r="36" spans="1:16" x14ac:dyDescent="0.25">
      <c r="B36" t="s">
        <v>20</v>
      </c>
      <c r="C36" s="6">
        <v>2168099</v>
      </c>
      <c r="D36" s="6">
        <v>121121</v>
      </c>
      <c r="E36" s="9">
        <f>D36/C36</f>
        <v>5.5865068892149296E-2</v>
      </c>
      <c r="I36" t="s">
        <v>133</v>
      </c>
      <c r="J36" t="s">
        <v>148</v>
      </c>
      <c r="K36" s="11">
        <v>0.5</v>
      </c>
      <c r="L36" s="11">
        <v>0.15</v>
      </c>
    </row>
    <row r="37" spans="1:16" x14ac:dyDescent="0.25">
      <c r="B37" t="s">
        <v>19</v>
      </c>
      <c r="C37" s="6">
        <v>41471</v>
      </c>
      <c r="D37" s="6">
        <v>2566</v>
      </c>
      <c r="E37" s="9">
        <f t="shared" ref="E37:E39" si="11">D37/C37</f>
        <v>6.1874562947601935E-2</v>
      </c>
      <c r="I37" t="s">
        <v>133</v>
      </c>
      <c r="J37" t="s">
        <v>149</v>
      </c>
      <c r="K37" s="11">
        <v>0.5</v>
      </c>
      <c r="L37" s="11">
        <v>0.15</v>
      </c>
    </row>
    <row r="38" spans="1:16" x14ac:dyDescent="0.25">
      <c r="B38" t="s">
        <v>18</v>
      </c>
      <c r="C38" s="6">
        <v>21457</v>
      </c>
      <c r="D38" s="6">
        <v>1224</v>
      </c>
      <c r="E38" s="9">
        <f t="shared" si="11"/>
        <v>5.7044321200540614E-2</v>
      </c>
      <c r="I38" t="s">
        <v>133</v>
      </c>
      <c r="J38" t="s">
        <v>134</v>
      </c>
      <c r="K38" s="11">
        <v>0.5</v>
      </c>
      <c r="L38" s="11">
        <v>0.15</v>
      </c>
    </row>
    <row r="39" spans="1:16" x14ac:dyDescent="0.25">
      <c r="A39" s="5"/>
      <c r="B39" s="5" t="s">
        <v>17</v>
      </c>
      <c r="C39" s="7">
        <v>11206</v>
      </c>
      <c r="D39" s="7">
        <v>551</v>
      </c>
      <c r="E39" s="10">
        <f t="shared" si="11"/>
        <v>4.9170087453150095E-2</v>
      </c>
      <c r="I39" t="s">
        <v>133</v>
      </c>
      <c r="J39" t="s">
        <v>131</v>
      </c>
      <c r="K39" s="11">
        <v>0.5</v>
      </c>
      <c r="L39" s="11">
        <v>0.15</v>
      </c>
    </row>
    <row r="40" spans="1:16" x14ac:dyDescent="0.25">
      <c r="A40" t="s">
        <v>28</v>
      </c>
      <c r="I40" t="s">
        <v>135</v>
      </c>
      <c r="J40" t="s">
        <v>129</v>
      </c>
      <c r="K40" s="11">
        <v>0.5</v>
      </c>
      <c r="L40" s="11">
        <v>0.15</v>
      </c>
    </row>
    <row r="41" spans="1:16" x14ac:dyDescent="0.25">
      <c r="I41" t="s">
        <v>135</v>
      </c>
      <c r="J41" t="s">
        <v>148</v>
      </c>
      <c r="K41" s="11">
        <v>0.5</v>
      </c>
      <c r="L41" s="11">
        <v>0.15</v>
      </c>
    </row>
    <row r="42" spans="1:16" x14ac:dyDescent="0.25">
      <c r="I42" t="s">
        <v>135</v>
      </c>
      <c r="J42" t="s">
        <v>149</v>
      </c>
      <c r="K42" s="11">
        <v>0.5</v>
      </c>
      <c r="L42" s="11">
        <v>0.15</v>
      </c>
    </row>
    <row r="43" spans="1:16" x14ac:dyDescent="0.25">
      <c r="I43" t="s">
        <v>135</v>
      </c>
      <c r="J43" t="s">
        <v>134</v>
      </c>
      <c r="K43" s="11">
        <v>0.5</v>
      </c>
      <c r="L43" s="11">
        <v>0.15</v>
      </c>
    </row>
    <row r="44" spans="1:16" x14ac:dyDescent="0.25">
      <c r="I44" t="s">
        <v>135</v>
      </c>
      <c r="J44" t="s">
        <v>131</v>
      </c>
      <c r="K44" s="11">
        <v>0.5</v>
      </c>
      <c r="L44" s="11">
        <v>0.15</v>
      </c>
    </row>
    <row r="45" spans="1:16" x14ac:dyDescent="0.25">
      <c r="A45" t="s">
        <v>136</v>
      </c>
    </row>
    <row r="46" spans="1:16" x14ac:dyDescent="0.25">
      <c r="B46" t="s">
        <v>33</v>
      </c>
      <c r="C46" t="s">
        <v>120</v>
      </c>
    </row>
    <row r="47" spans="1:16" x14ac:dyDescent="0.25">
      <c r="B47" s="11">
        <v>0.5</v>
      </c>
      <c r="C47" s="11">
        <v>0.2</v>
      </c>
    </row>
    <row r="48" spans="1:16" x14ac:dyDescent="0.25">
      <c r="C48">
        <v>2018</v>
      </c>
      <c r="D48">
        <v>2019</v>
      </c>
      <c r="E48">
        <v>2020</v>
      </c>
      <c r="F48">
        <v>2021</v>
      </c>
      <c r="G48">
        <v>2022</v>
      </c>
      <c r="H48">
        <v>2023</v>
      </c>
      <c r="I48">
        <v>2024</v>
      </c>
      <c r="J48">
        <v>2025</v>
      </c>
      <c r="K48">
        <v>2026</v>
      </c>
      <c r="L48">
        <v>2027</v>
      </c>
      <c r="M48">
        <v>2028</v>
      </c>
      <c r="N48">
        <v>2029</v>
      </c>
      <c r="O48">
        <v>2030</v>
      </c>
      <c r="P48" t="s">
        <v>121</v>
      </c>
    </row>
    <row r="49" spans="1:16" x14ac:dyDescent="0.25">
      <c r="B49" t="s">
        <v>34</v>
      </c>
      <c r="C49">
        <v>1</v>
      </c>
      <c r="D49">
        <v>2</v>
      </c>
      <c r="E49">
        <v>3</v>
      </c>
      <c r="F49">
        <v>4</v>
      </c>
      <c r="G49">
        <v>5</v>
      </c>
      <c r="H49">
        <v>6</v>
      </c>
      <c r="I49">
        <v>7</v>
      </c>
      <c r="J49" s="12">
        <v>8</v>
      </c>
      <c r="K49">
        <v>9</v>
      </c>
      <c r="L49">
        <v>10</v>
      </c>
      <c r="M49">
        <v>10</v>
      </c>
      <c r="N49">
        <v>10</v>
      </c>
      <c r="O49">
        <v>10</v>
      </c>
    </row>
    <row r="50" spans="1:16" x14ac:dyDescent="0.25">
      <c r="A50" t="s">
        <v>35</v>
      </c>
      <c r="B50" s="13">
        <f>D35+D34</f>
        <v>1518</v>
      </c>
      <c r="C50" s="12">
        <f>B50*$C$47</f>
        <v>303.60000000000002</v>
      </c>
      <c r="D50" s="12">
        <f>C50*(1+$B$47)</f>
        <v>455.40000000000003</v>
      </c>
      <c r="E50" s="17">
        <f t="shared" ref="E50:H50" si="12">D50*(1+$B$47)</f>
        <v>683.1</v>
      </c>
      <c r="F50" s="12">
        <f t="shared" si="12"/>
        <v>1024.6500000000001</v>
      </c>
      <c r="G50" s="12">
        <f t="shared" si="12"/>
        <v>1536.9750000000001</v>
      </c>
      <c r="H50" s="12">
        <f t="shared" si="12"/>
        <v>2305.4625000000001</v>
      </c>
      <c r="I50" s="12">
        <f t="shared" ref="I50" si="13">H50*(1+$B$47)</f>
        <v>3458.1937500000004</v>
      </c>
      <c r="J50" s="12">
        <f t="shared" ref="J50" si="14">I50*(1+$B$47)</f>
        <v>5187.2906250000005</v>
      </c>
      <c r="K50" s="12">
        <f t="shared" ref="K50" si="15">J50*(1+$B$47)</f>
        <v>7780.9359375000004</v>
      </c>
      <c r="L50" s="12">
        <f t="shared" ref="L50" si="16">K50*(1+$B$47)</f>
        <v>11671.403906250001</v>
      </c>
      <c r="M50" s="12">
        <f t="shared" ref="M50" si="17">L50*(1+$B$47)</f>
        <v>17507.105859375002</v>
      </c>
      <c r="N50" s="12">
        <f t="shared" ref="N50" si="18">M50*(1+$B$47)</f>
        <v>26260.658789062501</v>
      </c>
      <c r="O50" s="28">
        <f>N50*(1+$B$47)</f>
        <v>39390.988183593756</v>
      </c>
      <c r="P50" s="13">
        <f>C35+C34</f>
        <v>22797</v>
      </c>
    </row>
    <row r="51" spans="1:16" x14ac:dyDescent="0.25">
      <c r="A51" t="s">
        <v>36</v>
      </c>
      <c r="B51" s="13">
        <f>D33+D32</f>
        <v>530</v>
      </c>
      <c r="C51" s="12">
        <f>B51*$C$47</f>
        <v>106</v>
      </c>
      <c r="D51" s="12">
        <f t="shared" ref="D51:L51" si="19">C51*(1+$B$47)</f>
        <v>159</v>
      </c>
      <c r="E51" s="17">
        <f t="shared" si="19"/>
        <v>238.5</v>
      </c>
      <c r="F51" s="12">
        <f t="shared" si="19"/>
        <v>357.75</v>
      </c>
      <c r="G51" s="12">
        <f t="shared" si="19"/>
        <v>536.625</v>
      </c>
      <c r="H51" s="12">
        <f t="shared" si="19"/>
        <v>804.9375</v>
      </c>
      <c r="I51" s="12">
        <f t="shared" si="19"/>
        <v>1207.40625</v>
      </c>
      <c r="J51" s="12">
        <f t="shared" si="19"/>
        <v>1811.109375</v>
      </c>
      <c r="K51" s="12">
        <f t="shared" si="19"/>
        <v>2716.6640625</v>
      </c>
      <c r="L51" s="12">
        <f t="shared" si="19"/>
        <v>4074.99609375</v>
      </c>
      <c r="M51" s="12">
        <f t="shared" ref="M51:M53" si="20">L51*(1+$B$47)</f>
        <v>6112.494140625</v>
      </c>
      <c r="N51" s="12">
        <f t="shared" ref="N51:N53" si="21">M51*(1+$B$47)</f>
        <v>9168.7412109375</v>
      </c>
      <c r="O51" s="28">
        <f t="shared" ref="O51:O53" si="22">N51*(1+$B$47)</f>
        <v>13753.11181640625</v>
      </c>
      <c r="P51" s="13">
        <f>C33+C32</f>
        <v>11207</v>
      </c>
    </row>
    <row r="52" spans="1:16" x14ac:dyDescent="0.25">
      <c r="A52" t="s">
        <v>37</v>
      </c>
      <c r="B52" s="13">
        <f>D31+D30</f>
        <v>16539</v>
      </c>
      <c r="C52" s="12">
        <f>B52*$C$47</f>
        <v>3307.8</v>
      </c>
      <c r="D52" s="12">
        <f>C52*(1+$B$47)</f>
        <v>4961.7000000000007</v>
      </c>
      <c r="E52" s="17">
        <f t="shared" ref="E52:L52" si="23">D52*(1+$B$47)</f>
        <v>7442.5500000000011</v>
      </c>
      <c r="F52" s="12">
        <f t="shared" si="23"/>
        <v>11163.825000000001</v>
      </c>
      <c r="G52" s="12">
        <f t="shared" si="23"/>
        <v>16745.737500000003</v>
      </c>
      <c r="H52" s="12">
        <f t="shared" si="23"/>
        <v>25118.606250000004</v>
      </c>
      <c r="I52" s="12">
        <f t="shared" si="23"/>
        <v>37677.909375000003</v>
      </c>
      <c r="J52" s="12">
        <f t="shared" si="23"/>
        <v>56516.864062500004</v>
      </c>
      <c r="K52" s="12">
        <f t="shared" si="23"/>
        <v>84775.296093750003</v>
      </c>
      <c r="L52" s="12">
        <f t="shared" si="23"/>
        <v>127162.94414062501</v>
      </c>
      <c r="M52" s="12">
        <f t="shared" si="20"/>
        <v>190744.41621093752</v>
      </c>
      <c r="N52" s="12">
        <f t="shared" si="21"/>
        <v>286116.62431640626</v>
      </c>
      <c r="O52" s="28">
        <f t="shared" si="22"/>
        <v>429174.93647460942</v>
      </c>
      <c r="P52" s="13">
        <f>C31+C30</f>
        <v>328695</v>
      </c>
    </row>
    <row r="53" spans="1:16" x14ac:dyDescent="0.25">
      <c r="A53" t="s">
        <v>38</v>
      </c>
      <c r="B53" s="13">
        <f>D36</f>
        <v>121121</v>
      </c>
      <c r="C53" s="12">
        <f>B53*$C$47</f>
        <v>24224.2</v>
      </c>
      <c r="D53" s="12">
        <f t="shared" ref="D53:L53" si="24">C53*(1+$B$47)</f>
        <v>36336.300000000003</v>
      </c>
      <c r="E53" s="17">
        <f t="shared" si="24"/>
        <v>54504.450000000004</v>
      </c>
      <c r="F53" s="12">
        <f t="shared" si="24"/>
        <v>81756.675000000003</v>
      </c>
      <c r="G53" s="12">
        <f t="shared" si="24"/>
        <v>122635.01250000001</v>
      </c>
      <c r="H53" s="12">
        <f t="shared" si="24"/>
        <v>183952.51875000002</v>
      </c>
      <c r="I53" s="12">
        <f t="shared" si="24"/>
        <v>275928.77812500001</v>
      </c>
      <c r="J53" s="12">
        <f t="shared" si="24"/>
        <v>413893.16718750005</v>
      </c>
      <c r="K53" s="12">
        <f t="shared" si="24"/>
        <v>620839.75078125007</v>
      </c>
      <c r="L53" s="12">
        <f t="shared" si="24"/>
        <v>931259.62617187505</v>
      </c>
      <c r="M53" s="12">
        <f t="shared" si="20"/>
        <v>1396889.4392578127</v>
      </c>
      <c r="N53" s="12">
        <f t="shared" si="21"/>
        <v>2095334.158886719</v>
      </c>
      <c r="O53" s="28">
        <f t="shared" si="22"/>
        <v>3143001.2383300783</v>
      </c>
      <c r="P53" s="13">
        <f>C36</f>
        <v>2168099</v>
      </c>
    </row>
  </sheetData>
  <mergeCells count="1">
    <mergeCell ref="A30:A35"/>
  </mergeCells>
  <phoneticPr fontId="7" type="noConversion"/>
  <pageMargins left="0.7" right="0.7" top="0.75" bottom="0.75" header="0.3" footer="0.3"/>
  <pageSetup orientation="portrait" horizontalDpi="4294967295" verticalDpi="4294967295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7B74FDAF7A4FB4D876E5EA45926113E" ma:contentTypeVersion="11" ma:contentTypeDescription="Create a new document." ma:contentTypeScope="" ma:versionID="7c45a71fd69a7f965f9452dfe567e395">
  <xsd:schema xmlns:xsd="http://www.w3.org/2001/XMLSchema" xmlns:xs="http://www.w3.org/2001/XMLSchema" xmlns:p="http://schemas.microsoft.com/office/2006/metadata/properties" xmlns:ns2="3a32fc56-8470-4d77-ad86-bef2a7229878" xmlns:ns3="af10b6eb-1b35-481e-9f8a-8ff8d968e3bf" targetNamespace="http://schemas.microsoft.com/office/2006/metadata/properties" ma:root="true" ma:fieldsID="e11456b9df302c9cdeb068d2abd9c51d" ns2:_="" ns3:_="">
    <xsd:import namespace="3a32fc56-8470-4d77-ad86-bef2a7229878"/>
    <xsd:import namespace="af10b6eb-1b35-481e-9f8a-8ff8d968e3b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32fc56-8470-4d77-ad86-bef2a722987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10b6eb-1b35-481e-9f8a-8ff8d968e3bf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0FA9C21-6103-4373-B43A-A6097DCED76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a32fc56-8470-4d77-ad86-bef2a7229878"/>
    <ds:schemaRef ds:uri="af10b6eb-1b35-481e-9f8a-8ff8d968e3b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B3709B4-63F5-4DFC-B992-07B9DE433FAB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62402F5C-4915-4658-8F60-3A11655231D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Cover</vt:lpstr>
      <vt:lpstr>Regions</vt:lpstr>
      <vt:lpstr>SUP</vt:lpstr>
      <vt:lpstr>PWR</vt:lpstr>
      <vt:lpstr>RSD</vt:lpstr>
      <vt:lpstr>SRV</vt:lpstr>
      <vt:lpstr>TRA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Olex</dc:creator>
  <cp:lastModifiedBy>Mc Guire, Jason</cp:lastModifiedBy>
  <dcterms:created xsi:type="dcterms:W3CDTF">2021-03-04T10:02:17Z</dcterms:created>
  <dcterms:modified xsi:type="dcterms:W3CDTF">2023-08-18T12:36:51Z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0x01010087B74FDAF7A4FB4D876E5EA45926113E</vt:lpwstr>
  </property>
  <property fmtid="{D5CDD505-2E9C-101B-9397-08002B2CF9AE}" pid="3" name="SaveCode">
    <vt:r8>140926539897918</vt:r8>
  </property>
</Properties>
</file>