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6BF41E84-68A5-498D-AFCC-1AF251D50AFD}" xr6:coauthVersionLast="47" xr6:coauthVersionMax="47" xr10:uidLastSave="{00000000-0000-0000-0000-000000000000}"/>
  <bookViews>
    <workbookView xWindow="-110" yWindow="-110" windowWidth="25820" windowHeight="1550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C24" i="57"/>
  <c r="J24" i="57"/>
  <c r="S23" i="57"/>
  <c r="C23" i="57"/>
  <c r="J23" i="57"/>
  <c r="S22" i="57"/>
  <c r="U22" i="57" s="1"/>
  <c r="N22" i="57" s="1"/>
  <c r="C22" i="57"/>
  <c r="J22" i="57"/>
  <c r="S21" i="57"/>
  <c r="C21" i="57"/>
  <c r="J21" i="57"/>
  <c r="S20" i="57"/>
  <c r="U20" i="57" s="1"/>
  <c r="N20" i="57" s="1"/>
  <c r="C20" i="57"/>
  <c r="J20" i="57"/>
  <c r="S19" i="57"/>
  <c r="C19" i="57"/>
  <c r="J19" i="57"/>
  <c r="S18" i="57"/>
  <c r="C18" i="57"/>
  <c r="J18" i="57"/>
  <c r="S17" i="57"/>
  <c r="C17" i="57"/>
  <c r="J17" i="57"/>
  <c r="S16" i="57"/>
  <c r="C16" i="57"/>
  <c r="J16" i="57"/>
  <c r="S15" i="57"/>
  <c r="C15" i="57"/>
  <c r="J15" i="57"/>
  <c r="S14" i="57"/>
  <c r="U14" i="57" s="1"/>
  <c r="N14" i="57" s="1"/>
  <c r="C14" i="57"/>
  <c r="J14" i="57"/>
  <c r="S13" i="57"/>
  <c r="C13" i="57"/>
  <c r="J13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U11" i="57" s="1"/>
  <c r="S10" i="57"/>
  <c r="U10" i="57" s="1"/>
  <c r="S9" i="57"/>
  <c r="U9" i="57" s="1"/>
  <c r="S8" i="57"/>
  <c r="S7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U7" i="57" l="1"/>
  <c r="N7" i="57" s="1"/>
  <c r="J9" i="57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<sst xmlns="http://schemas.openxmlformats.org/spreadsheetml/2006/main" count="435" uniqueCount="240">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</sst>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€&quot;* #,##0.00_-;\-&quot;€&quot;* #,##0.00_-;_-&quot;€&quot;* &quot;-&quot;??_-;_-@_-"/>
    <numFmt numFmtId="165" formatCode="0.0"/>
    <numFmt numFmtId="166" formatCode="\Te\x\t"/>
    <numFmt numFmtId="167" formatCode="#,##0.000"/>
    <numFmt numFmtId="168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2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5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6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7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7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7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7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7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Alignment="1">
      <alignment horizontal="center" vertical="center"/>
    </xf>
    <xf numFmtId="0" fontId="38" fillId="2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164" fontId="4" fillId="19" borderId="0" xfId="0" applyNumberFormat="1" applyFont="1" applyFill="1"/>
    <xf numFmtId="164" fontId="4" fillId="0" borderId="0" xfId="0" applyNumberFormat="1" applyFont="1"/>
    <xf numFmtId="164" fontId="4" fillId="2" borderId="0" xfId="0" applyNumberFormat="1" applyFont="1" applyFill="1"/>
    <xf numFmtId="16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164" fontId="39" fillId="2" borderId="0" xfId="0" applyNumberFormat="1" applyFont="1" applyFill="1"/>
    <xf numFmtId="9" fontId="39" fillId="19" borderId="0" xfId="2" applyFont="1" applyFill="1"/>
    <xf numFmtId="168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5" fontId="25" fillId="13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5" borderId="0" xfId="0" applyFont="1" applyFill="1" applyAlignment="1">
      <alignment horizontal="center" vertical="center"/>
    </xf>
    <xf numFmtId="15" fontId="24" fillId="0" borderId="0" xfId="0" applyNumberFormat="1" applyFont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7" fontId="2" fillId="16" borderId="24" xfId="0" applyNumberFormat="1" applyFont="1" applyFill="1" applyBorder="1" applyAlignment="1">
      <alignment vertical="center"/>
    </xf>
    <xf numFmtId="167" fontId="2" fillId="17" borderId="1" xfId="0" quotePrefix="1" applyNumberFormat="1" applyFont="1" applyFill="1" applyBorder="1" applyAlignment="1">
      <alignment horizontal="right" vertical="top"/>
    </xf>
    <xf numFmtId="167" fontId="2" fillId="16" borderId="1" xfId="0" applyNumberFormat="1" applyFont="1" applyFill="1" applyBorder="1" applyAlignment="1">
      <alignment vertical="center"/>
    </xf>
    <xf numFmtId="167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7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16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5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2" fontId="9" fillId="14" borderId="0" xfId="0" applyNumberFormat="1" applyFont="1" applyFill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6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5" fontId="25" fillId="13" borderId="19" xfId="0" applyNumberFormat="1" applyFont="1" applyFill="1" applyBorder="1" applyAlignment="1">
      <alignment horizontal="center" vertical="center"/>
    </xf>
    <xf numFmtId="165" fontId="25" fillId="13" borderId="17" xfId="0" applyNumberFormat="1" applyFont="1" applyFill="1" applyBorder="1" applyAlignment="1">
      <alignment horizontal="center" vertical="center"/>
    </xf>
    <xf numFmtId="165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5" fontId="25" fillId="7" borderId="31" xfId="0" applyNumberFormat="1" applyFont="1" applyFill="1" applyBorder="1" applyAlignment="1">
      <alignment horizontal="center" vertical="center"/>
    </xf>
    <xf numFmtId="165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Region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  <sheetName val="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1640625" defaultRowHeight="14.5" x14ac:dyDescent="0.35"/>
  <cols>
    <col min="1" max="4" width="21.7265625" style="168" customWidth="1"/>
    <col min="5" max="6" width="14.1796875" style="168" customWidth="1"/>
    <col min="7" max="7" width="12.1796875" style="168" customWidth="1"/>
    <col min="8" max="10" width="8.1796875" style="168" customWidth="1"/>
    <col min="11" max="11" width="9.7265625" style="168" customWidth="1"/>
    <col min="12" max="12" width="8.1796875" style="168" customWidth="1"/>
    <col min="13" max="13" width="10" style="168" customWidth="1"/>
    <col min="14" max="14" width="11.453125" style="168" customWidth="1"/>
    <col min="15" max="15" width="13.453125" style="168" customWidth="1"/>
    <col min="16" max="16384" width="8.81640625" style="168"/>
  </cols>
  <sheetData>
    <row r="1" spans="1:26" x14ac:dyDescent="0.35">
      <c r="A1" s="166"/>
      <c r="B1" s="166"/>
      <c r="C1" s="166"/>
      <c r="D1" s="166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</row>
    <row r="2" spans="1:26" x14ac:dyDescent="0.35">
      <c r="A2" s="166"/>
      <c r="B2" s="166"/>
      <c r="C2" s="166"/>
      <c r="D2" s="166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</row>
    <row r="3" spans="1:26" x14ac:dyDescent="0.35">
      <c r="A3" s="166"/>
      <c r="B3" s="166"/>
      <c r="C3" s="16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</row>
    <row r="4" spans="1:26" x14ac:dyDescent="0.35">
      <c r="A4" s="166"/>
      <c r="B4" s="166"/>
      <c r="C4" s="16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</row>
    <row r="5" spans="1:26" x14ac:dyDescent="0.35">
      <c r="A5" s="166"/>
      <c r="B5" s="166"/>
      <c r="C5" s="16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</row>
    <row r="6" spans="1:26" x14ac:dyDescent="0.35">
      <c r="A6" s="166"/>
      <c r="B6" s="166"/>
      <c r="C6" s="166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</row>
    <row r="7" spans="1:26" x14ac:dyDescent="0.35">
      <c r="A7" s="166"/>
      <c r="B7" s="166"/>
      <c r="C7" s="166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</row>
    <row r="8" spans="1:26" x14ac:dyDescent="0.35">
      <c r="A8" s="166"/>
      <c r="B8" s="166"/>
      <c r="C8" s="166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</row>
    <row r="9" spans="1:26" x14ac:dyDescent="0.35">
      <c r="A9" s="166"/>
      <c r="B9" s="166"/>
      <c r="C9" s="166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</row>
    <row r="10" spans="1:26" x14ac:dyDescent="0.35">
      <c r="A10" s="166"/>
      <c r="B10" s="166"/>
      <c r="C10" s="166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</row>
    <row r="11" spans="1:26" x14ac:dyDescent="0.35">
      <c r="A11" s="166"/>
      <c r="B11" s="166"/>
      <c r="C11" s="166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</row>
    <row r="12" spans="1:26" x14ac:dyDescent="0.35">
      <c r="A12" s="166"/>
      <c r="B12" s="166"/>
      <c r="C12" s="166"/>
      <c r="D12" s="166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</row>
    <row r="13" spans="1:26" x14ac:dyDescent="0.35">
      <c r="A13" s="166"/>
      <c r="B13" s="166"/>
      <c r="C13" s="166"/>
      <c r="D13" s="166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</row>
    <row r="14" spans="1:26" x14ac:dyDescent="0.35">
      <c r="A14" s="166"/>
      <c r="B14" s="166"/>
      <c r="C14" s="166"/>
      <c r="D14" s="166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 spans="1:26" x14ac:dyDescent="0.35">
      <c r="A15" s="166"/>
      <c r="B15" s="166"/>
      <c r="C15" s="166"/>
      <c r="D15" s="166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</row>
    <row r="16" spans="1:26" ht="102.75" customHeight="1" x14ac:dyDescent="0.35">
      <c r="A16" s="203" t="s">
        <v>205</v>
      </c>
      <c r="B16" s="203"/>
      <c r="C16" s="203"/>
      <c r="D16" s="203"/>
      <c r="E16" s="169"/>
      <c r="F16" s="169"/>
      <c r="G16" s="170"/>
      <c r="H16" s="170"/>
      <c r="I16" s="170"/>
      <c r="J16" s="170"/>
      <c r="K16" s="170"/>
      <c r="L16" s="170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 spans="1:26" ht="17.25" customHeight="1" x14ac:dyDescent="0.35">
      <c r="A17" s="171"/>
      <c r="B17" s="171"/>
      <c r="C17" s="171"/>
      <c r="D17" s="171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 spans="1:26" ht="17.25" customHeight="1" x14ac:dyDescent="0.35">
      <c r="A18" s="171"/>
      <c r="B18" s="171"/>
      <c r="C18" s="171"/>
      <c r="D18" s="171"/>
      <c r="E18" s="172"/>
      <c r="F18" s="172"/>
      <c r="G18" s="173"/>
      <c r="H18" s="173"/>
      <c r="I18" s="173"/>
      <c r="J18" s="173"/>
      <c r="K18" s="173"/>
      <c r="L18" s="173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</row>
    <row r="19" spans="1:26" ht="17.25" customHeight="1" x14ac:dyDescent="0.35">
      <c r="A19" s="174" t="s">
        <v>0</v>
      </c>
      <c r="B19" s="202" t="s">
        <v>216</v>
      </c>
      <c r="C19" s="202"/>
      <c r="D19" s="202"/>
      <c r="E19" s="175"/>
      <c r="F19" s="175"/>
      <c r="G19" s="176"/>
      <c r="H19" s="176"/>
      <c r="I19" s="176"/>
      <c r="J19" s="176"/>
      <c r="K19" s="176"/>
      <c r="L19" s="176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</row>
    <row r="20" spans="1:26" ht="17.25" customHeight="1" x14ac:dyDescent="0.35">
      <c r="A20" s="174" t="s">
        <v>206</v>
      </c>
      <c r="B20" s="202" t="s">
        <v>217</v>
      </c>
      <c r="C20" s="202"/>
      <c r="D20" s="202"/>
      <c r="E20" s="175"/>
      <c r="F20" s="175"/>
      <c r="G20" s="176"/>
      <c r="H20" s="176"/>
      <c r="I20" s="176"/>
      <c r="J20" s="176"/>
      <c r="K20" s="176"/>
      <c r="L20" s="176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</row>
    <row r="21" spans="1:26" ht="17.25" customHeight="1" x14ac:dyDescent="0.35">
      <c r="A21" s="174" t="s">
        <v>207</v>
      </c>
      <c r="B21" s="177" t="s">
        <v>221</v>
      </c>
      <c r="C21" s="177"/>
      <c r="D21" s="177"/>
      <c r="E21" s="175"/>
      <c r="F21" s="175"/>
      <c r="G21" s="176"/>
      <c r="H21" s="176"/>
      <c r="I21" s="176"/>
      <c r="J21" s="176"/>
      <c r="K21" s="176"/>
      <c r="L21" s="176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</row>
    <row r="22" spans="1:26" ht="17.25" customHeight="1" x14ac:dyDescent="0.35">
      <c r="A22" s="174"/>
      <c r="B22" s="177"/>
      <c r="C22" s="177"/>
      <c r="D22" s="177"/>
      <c r="E22" s="175"/>
      <c r="F22" s="175"/>
      <c r="G22" s="176"/>
      <c r="H22" s="176"/>
      <c r="I22" s="176"/>
      <c r="J22" s="176"/>
      <c r="K22" s="176"/>
      <c r="L22" s="176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</row>
    <row r="23" spans="1:26" ht="17.25" customHeight="1" x14ac:dyDescent="0.35">
      <c r="A23" s="174" t="s">
        <v>208</v>
      </c>
      <c r="B23" s="202" t="s">
        <v>218</v>
      </c>
      <c r="C23" s="202"/>
      <c r="D23" s="202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</row>
    <row r="24" spans="1:26" ht="17.25" customHeight="1" x14ac:dyDescent="0.35">
      <c r="A24" s="174"/>
      <c r="B24" s="202" t="s">
        <v>219</v>
      </c>
      <c r="C24" s="202"/>
      <c r="D24" s="202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</row>
    <row r="25" spans="1:26" ht="17.25" customHeight="1" x14ac:dyDescent="0.35">
      <c r="A25" s="174"/>
      <c r="B25" s="177"/>
      <c r="C25" s="177"/>
      <c r="D25" s="17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</row>
    <row r="26" spans="1:26" ht="17.25" customHeight="1" x14ac:dyDescent="0.35">
      <c r="A26" s="174" t="s">
        <v>209</v>
      </c>
      <c r="B26" s="202" t="s">
        <v>218</v>
      </c>
      <c r="C26" s="202"/>
      <c r="D26" s="202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</row>
    <row r="27" spans="1:26" ht="17.25" customHeight="1" x14ac:dyDescent="0.35">
      <c r="A27" s="174"/>
      <c r="B27" s="202" t="s">
        <v>220</v>
      </c>
      <c r="C27" s="202"/>
      <c r="D27" s="202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</row>
    <row r="28" spans="1:26" ht="17.25" customHeight="1" x14ac:dyDescent="0.35">
      <c r="A28" s="174"/>
      <c r="B28" s="177"/>
      <c r="C28" s="177"/>
      <c r="D28" s="17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</row>
    <row r="29" spans="1:26" ht="17.25" customHeight="1" x14ac:dyDescent="0.35">
      <c r="A29" s="174" t="s">
        <v>210</v>
      </c>
      <c r="B29" s="178">
        <v>1</v>
      </c>
      <c r="C29" s="177"/>
      <c r="D29" s="17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</row>
    <row r="30" spans="1:26" ht="17.25" customHeight="1" x14ac:dyDescent="0.35">
      <c r="A30" s="174" t="s">
        <v>211</v>
      </c>
      <c r="B30" s="204" t="s">
        <v>212</v>
      </c>
      <c r="C30" s="202"/>
      <c r="D30" s="202"/>
      <c r="E30" s="179"/>
      <c r="F30" s="179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</row>
    <row r="31" spans="1:26" ht="17.25" customHeight="1" x14ac:dyDescent="0.35">
      <c r="A31" s="174" t="s">
        <v>213</v>
      </c>
      <c r="B31" s="202" t="s">
        <v>214</v>
      </c>
      <c r="C31" s="202"/>
      <c r="D31" s="202"/>
      <c r="E31" s="179"/>
      <c r="F31" s="179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</row>
    <row r="32" spans="1:26" ht="17.25" customHeight="1" x14ac:dyDescent="0.35">
      <c r="A32" s="180"/>
      <c r="B32" s="181" t="s">
        <v>215</v>
      </c>
      <c r="C32" s="180"/>
      <c r="D32" s="180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</row>
    <row r="33" spans="1:26" x14ac:dyDescent="0.35">
      <c r="A33" s="166"/>
      <c r="B33" s="166"/>
      <c r="C33" s="166"/>
      <c r="D33" s="166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</row>
    <row r="34" spans="1:26" x14ac:dyDescent="0.35">
      <c r="A34" s="166"/>
      <c r="B34" s="166"/>
      <c r="C34" s="166"/>
      <c r="D34" s="166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</row>
    <row r="35" spans="1:26" x14ac:dyDescent="0.35">
      <c r="A35" s="166"/>
      <c r="B35" s="166"/>
      <c r="C35" s="166"/>
      <c r="D35" s="166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</row>
    <row r="36" spans="1:26" x14ac:dyDescent="0.35">
      <c r="A36" s="166"/>
      <c r="B36" s="166"/>
      <c r="C36" s="166"/>
      <c r="D36" s="166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</row>
    <row r="37" spans="1:26" x14ac:dyDescent="0.35">
      <c r="A37" s="166"/>
      <c r="B37" s="166"/>
      <c r="C37" s="166"/>
      <c r="D37" s="166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</row>
    <row r="38" spans="1:26" x14ac:dyDescent="0.35">
      <c r="A38" s="166"/>
      <c r="B38" s="166"/>
      <c r="C38" s="166"/>
      <c r="D38" s="166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</row>
    <row r="39" spans="1:26" x14ac:dyDescent="0.35">
      <c r="A39" s="166"/>
      <c r="B39" s="166"/>
      <c r="C39" s="166"/>
      <c r="D39" s="166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</row>
    <row r="40" spans="1:26" x14ac:dyDescent="0.35">
      <c r="A40" s="166"/>
      <c r="B40" s="166"/>
      <c r="C40" s="166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</row>
    <row r="41" spans="1:26" x14ac:dyDescent="0.35">
      <c r="A41" s="166"/>
      <c r="B41" s="166"/>
      <c r="C41" s="166"/>
      <c r="D41" s="166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 spans="1:26" x14ac:dyDescent="0.35">
      <c r="A42" s="166"/>
      <c r="B42" s="166"/>
      <c r="C42" s="166"/>
      <c r="D42" s="166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</row>
    <row r="43" spans="1:26" x14ac:dyDescent="0.35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</row>
    <row r="44" spans="1:26" x14ac:dyDescent="0.35">
      <c r="A44" s="16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</row>
    <row r="45" spans="1:26" x14ac:dyDescent="0.35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 spans="1:26" x14ac:dyDescent="0.35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spans="1:26" x14ac:dyDescent="0.35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</row>
    <row r="48" spans="1:26" x14ac:dyDescent="0.35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  <row r="49" spans="1:26" x14ac:dyDescent="0.35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</row>
    <row r="50" spans="1:26" x14ac:dyDescent="0.35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</row>
    <row r="51" spans="1:26" x14ac:dyDescent="0.35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</row>
    <row r="52" spans="1:26" x14ac:dyDescent="0.35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</row>
    <row r="53" spans="1:26" x14ac:dyDescent="0.35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</row>
    <row r="54" spans="1:26" x14ac:dyDescent="0.35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</row>
    <row r="55" spans="1:26" x14ac:dyDescent="0.35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</row>
    <row r="56" spans="1:26" x14ac:dyDescent="0.35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</row>
    <row r="57" spans="1:26" x14ac:dyDescent="0.35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</row>
    <row r="58" spans="1:26" x14ac:dyDescent="0.35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</row>
    <row r="59" spans="1:26" x14ac:dyDescent="0.35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</row>
    <row r="60" spans="1:26" x14ac:dyDescent="0.35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</row>
    <row r="61" spans="1:26" x14ac:dyDescent="0.35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</row>
    <row r="62" spans="1:26" x14ac:dyDescent="0.35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</row>
    <row r="63" spans="1:26" x14ac:dyDescent="0.35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</row>
    <row r="64" spans="1:26" x14ac:dyDescent="0.35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</row>
    <row r="65" spans="1:26" x14ac:dyDescent="0.3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</row>
    <row r="66" spans="1:26" x14ac:dyDescent="0.35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</row>
    <row r="67" spans="1:26" x14ac:dyDescent="0.35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</row>
    <row r="68" spans="1:26" x14ac:dyDescent="0.35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</row>
    <row r="69" spans="1:26" x14ac:dyDescent="0.35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</row>
    <row r="70" spans="1:26" x14ac:dyDescent="0.35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</row>
    <row r="71" spans="1:26" x14ac:dyDescent="0.35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</row>
    <row r="72" spans="1:26" x14ac:dyDescent="0.35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</row>
    <row r="73" spans="1:26" x14ac:dyDescent="0.35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</row>
    <row r="74" spans="1:26" x14ac:dyDescent="0.35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</row>
    <row r="75" spans="1:26" x14ac:dyDescent="0.3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</row>
    <row r="76" spans="1:26" x14ac:dyDescent="0.35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</row>
    <row r="77" spans="1:26" x14ac:dyDescent="0.35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</row>
    <row r="78" spans="1:26" x14ac:dyDescent="0.35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</row>
    <row r="79" spans="1:26" x14ac:dyDescent="0.35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</row>
    <row r="80" spans="1:26" x14ac:dyDescent="0.35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</row>
    <row r="81" spans="1:26" x14ac:dyDescent="0.35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</row>
    <row r="82" spans="1:26" x14ac:dyDescent="0.35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</row>
    <row r="83" spans="1:26" x14ac:dyDescent="0.35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</row>
    <row r="84" spans="1:26" x14ac:dyDescent="0.35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</row>
    <row r="85" spans="1:26" x14ac:dyDescent="0.3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</row>
    <row r="86" spans="1:26" x14ac:dyDescent="0.35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</row>
    <row r="87" spans="1:26" x14ac:dyDescent="0.35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</row>
    <row r="88" spans="1:26" x14ac:dyDescent="0.35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</row>
    <row r="89" spans="1:26" x14ac:dyDescent="0.35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</row>
    <row r="90" spans="1:26" x14ac:dyDescent="0.35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</row>
    <row r="91" spans="1:26" x14ac:dyDescent="0.35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</row>
    <row r="92" spans="1:26" x14ac:dyDescent="0.35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</row>
    <row r="93" spans="1:26" x14ac:dyDescent="0.35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</row>
    <row r="94" spans="1:26" x14ac:dyDescent="0.35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</row>
    <row r="95" spans="1:26" x14ac:dyDescent="0.3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</row>
    <row r="96" spans="1:26" x14ac:dyDescent="0.35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</row>
    <row r="97" spans="1:26" x14ac:dyDescent="0.35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</row>
    <row r="98" spans="1:26" x14ac:dyDescent="0.35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</row>
    <row r="99" spans="1:26" x14ac:dyDescent="0.35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U45"/>
  <sheetViews>
    <sheetView topLeftCell="A3" zoomScale="85" zoomScaleNormal="85" workbookViewId="0">
      <selection activeCell="C30" sqref="C30"/>
    </sheetView>
  </sheetViews>
  <sheetFormatPr defaultColWidth="9.1796875" defaultRowHeight="14" x14ac:dyDescent="0.3"/>
  <cols>
    <col min="1" max="1" width="3.7265625" style="3" customWidth="1"/>
    <col min="2" max="2" width="19.54296875" style="3" customWidth="1"/>
    <col min="3" max="3" width="93.54296875" style="3" bestFit="1" customWidth="1"/>
    <col min="4" max="4" width="11.26953125" style="3" customWidth="1"/>
    <col min="5" max="6" width="11.453125" style="3" customWidth="1"/>
    <col min="7" max="7" width="9.1796875" style="3"/>
    <col min="8" max="8" width="18.54296875" style="3" customWidth="1"/>
    <col min="9" max="9" width="96.54296875" style="3" customWidth="1"/>
    <col min="10" max="16384" width="9.1796875" style="3"/>
  </cols>
  <sheetData>
    <row r="1" spans="2:21" ht="14.5" thickBot="1" x14ac:dyDescent="0.35"/>
    <row r="2" spans="2:21" ht="18" thickBot="1" x14ac:dyDescent="0.35">
      <c r="B2" s="205" t="s">
        <v>1</v>
      </c>
      <c r="C2" s="206"/>
      <c r="D2" s="206"/>
      <c r="E2" s="207"/>
      <c r="F2" s="124"/>
      <c r="H2" s="205" t="s">
        <v>2</v>
      </c>
      <c r="I2" s="207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4.5" thickBot="1" x14ac:dyDescent="0.3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3">
      <c r="B4" s="11" t="s">
        <v>69</v>
      </c>
      <c r="C4" s="12" t="s">
        <v>70</v>
      </c>
      <c r="D4" s="13">
        <v>44136</v>
      </c>
      <c r="E4" s="14" t="s">
        <v>71</v>
      </c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3">
      <c r="B5" s="17" t="s">
        <v>5</v>
      </c>
      <c r="C5" s="18" t="s">
        <v>32</v>
      </c>
      <c r="D5" s="19">
        <v>44169</v>
      </c>
      <c r="E5" s="20" t="s">
        <v>72</v>
      </c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3">
      <c r="B6" s="17" t="s">
        <v>73</v>
      </c>
      <c r="C6" s="18" t="s">
        <v>74</v>
      </c>
      <c r="D6" s="19">
        <v>44166</v>
      </c>
      <c r="E6" s="20" t="s">
        <v>72</v>
      </c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3">
      <c r="B7" s="17" t="s">
        <v>75</v>
      </c>
      <c r="C7" s="18" t="s">
        <v>76</v>
      </c>
      <c r="D7" s="23">
        <v>43862</v>
      </c>
      <c r="E7" s="20" t="s">
        <v>72</v>
      </c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3">
      <c r="B8" s="17" t="s">
        <v>35</v>
      </c>
      <c r="C8" s="18" t="s">
        <v>77</v>
      </c>
      <c r="D8" s="23">
        <v>44166</v>
      </c>
      <c r="E8" s="20" t="s">
        <v>72</v>
      </c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4.5" thickBot="1" x14ac:dyDescent="0.35">
      <c r="B9" s="17" t="s">
        <v>79</v>
      </c>
      <c r="C9" s="18" t="s">
        <v>80</v>
      </c>
      <c r="D9" s="23">
        <v>44044</v>
      </c>
      <c r="E9" s="20" t="s">
        <v>72</v>
      </c>
      <c r="H9" s="26"/>
      <c r="I9" s="27" t="s">
        <v>7</v>
      </c>
    </row>
    <row r="10" spans="2:21" x14ac:dyDescent="0.3">
      <c r="B10" s="17" t="s">
        <v>81</v>
      </c>
      <c r="C10" s="18" t="s">
        <v>37</v>
      </c>
      <c r="D10" s="23">
        <v>44136</v>
      </c>
      <c r="E10" s="20" t="s">
        <v>72</v>
      </c>
    </row>
    <row r="11" spans="2:21" x14ac:dyDescent="0.3">
      <c r="B11" s="17" t="s">
        <v>82</v>
      </c>
      <c r="C11" s="18" t="s">
        <v>39</v>
      </c>
      <c r="D11" s="23">
        <v>44013</v>
      </c>
      <c r="E11" s="20" t="s">
        <v>72</v>
      </c>
    </row>
    <row r="12" spans="2:21" x14ac:dyDescent="0.3">
      <c r="B12" s="17" t="s">
        <v>83</v>
      </c>
      <c r="C12" s="18" t="s">
        <v>40</v>
      </c>
      <c r="D12" s="23">
        <v>44136</v>
      </c>
      <c r="E12" s="20" t="s">
        <v>71</v>
      </c>
    </row>
    <row r="13" spans="2:21" x14ac:dyDescent="0.3">
      <c r="B13" s="17" t="s">
        <v>84</v>
      </c>
      <c r="C13" s="18" t="s">
        <v>85</v>
      </c>
      <c r="D13" s="23">
        <v>44136</v>
      </c>
      <c r="E13" s="20" t="s">
        <v>72</v>
      </c>
    </row>
    <row r="14" spans="2:21" ht="14.5" thickBot="1" x14ac:dyDescent="0.35">
      <c r="B14" s="17" t="s">
        <v>86</v>
      </c>
      <c r="C14" s="18" t="s">
        <v>87</v>
      </c>
      <c r="D14" s="23">
        <v>44105</v>
      </c>
      <c r="E14" s="20" t="s">
        <v>72</v>
      </c>
    </row>
    <row r="15" spans="2:21" ht="18" thickBot="1" x14ac:dyDescent="0.35">
      <c r="B15" s="17" t="s">
        <v>41</v>
      </c>
      <c r="C15" s="18" t="s">
        <v>42</v>
      </c>
      <c r="D15" s="23">
        <v>44105</v>
      </c>
      <c r="E15" s="20" t="s">
        <v>72</v>
      </c>
      <c r="H15" s="205" t="s">
        <v>11</v>
      </c>
      <c r="I15" s="207"/>
    </row>
    <row r="16" spans="2:21" x14ac:dyDescent="0.3">
      <c r="B16" s="17" t="s">
        <v>8</v>
      </c>
      <c r="C16" s="18" t="s">
        <v>43</v>
      </c>
      <c r="D16" s="23">
        <v>44166</v>
      </c>
      <c r="E16" s="20" t="s">
        <v>72</v>
      </c>
      <c r="H16" s="36" t="s">
        <v>12</v>
      </c>
      <c r="I16" s="37" t="s">
        <v>46</v>
      </c>
    </row>
    <row r="17" spans="2:9" x14ac:dyDescent="0.3">
      <c r="B17" s="17" t="s">
        <v>9</v>
      </c>
      <c r="C17" s="18" t="s">
        <v>44</v>
      </c>
      <c r="D17" s="23">
        <v>44166</v>
      </c>
      <c r="E17" s="20" t="s">
        <v>72</v>
      </c>
      <c r="H17" s="40" t="s">
        <v>47</v>
      </c>
      <c r="I17" s="41" t="s">
        <v>13</v>
      </c>
    </row>
    <row r="18" spans="2:9" ht="14.5" thickBot="1" x14ac:dyDescent="0.35">
      <c r="B18" s="28" t="s">
        <v>10</v>
      </c>
      <c r="C18" s="29" t="s">
        <v>45</v>
      </c>
      <c r="D18" s="30">
        <v>44166</v>
      </c>
      <c r="E18" s="31" t="s">
        <v>72</v>
      </c>
      <c r="H18" s="40" t="s">
        <v>14</v>
      </c>
      <c r="I18" s="41" t="s">
        <v>88</v>
      </c>
    </row>
    <row r="19" spans="2:9" ht="14.5" thickBot="1" x14ac:dyDescent="0.35">
      <c r="H19" s="44" t="s">
        <v>48</v>
      </c>
      <c r="I19" s="45">
        <v>2018</v>
      </c>
    </row>
    <row r="20" spans="2:9" ht="18" thickBot="1" x14ac:dyDescent="0.35">
      <c r="B20" s="208" t="s">
        <v>49</v>
      </c>
      <c r="C20" s="209"/>
      <c r="D20" s="209"/>
      <c r="E20" s="210"/>
      <c r="F20" s="126"/>
    </row>
    <row r="21" spans="2:9" ht="15" customHeight="1" x14ac:dyDescent="0.3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190</v>
      </c>
    </row>
    <row r="22" spans="2:9" ht="15" customHeight="1" x14ac:dyDescent="0.3">
      <c r="B22" s="38" t="s">
        <v>188</v>
      </c>
      <c r="C22" s="123" t="s">
        <v>189</v>
      </c>
      <c r="D22" s="47">
        <v>43952</v>
      </c>
      <c r="E22" s="20" t="s">
        <v>72</v>
      </c>
      <c r="F22" s="128" t="s">
        <v>191</v>
      </c>
    </row>
    <row r="23" spans="2:9" ht="15" customHeight="1" x14ac:dyDescent="0.3">
      <c r="B23" s="38" t="s">
        <v>193</v>
      </c>
      <c r="C23" s="129" t="s">
        <v>174</v>
      </c>
      <c r="D23" s="47">
        <v>43952</v>
      </c>
      <c r="E23" s="20" t="s">
        <v>72</v>
      </c>
      <c r="F23" s="128" t="s">
        <v>191</v>
      </c>
    </row>
    <row r="24" spans="2:9" ht="15" customHeight="1" x14ac:dyDescent="0.3">
      <c r="B24" s="131" t="s">
        <v>194</v>
      </c>
      <c r="C24" s="132" t="s">
        <v>201</v>
      </c>
      <c r="D24" s="133">
        <v>43952</v>
      </c>
      <c r="E24" s="134" t="s">
        <v>72</v>
      </c>
      <c r="F24" s="135" t="s">
        <v>192</v>
      </c>
    </row>
    <row r="25" spans="2:9" ht="15" customHeight="1" x14ac:dyDescent="0.3">
      <c r="B25" s="38" t="s">
        <v>195</v>
      </c>
      <c r="C25" s="46" t="s">
        <v>196</v>
      </c>
      <c r="D25" s="47">
        <v>43466</v>
      </c>
      <c r="E25" s="20" t="s">
        <v>72</v>
      </c>
      <c r="F25" s="128" t="s">
        <v>191</v>
      </c>
      <c r="H25" s="46" t="s">
        <v>197</v>
      </c>
    </row>
    <row r="26" spans="2:9" ht="15" customHeight="1" x14ac:dyDescent="0.3">
      <c r="B26" s="38" t="s">
        <v>51</v>
      </c>
      <c r="C26" s="48" t="s">
        <v>52</v>
      </c>
      <c r="D26" s="47">
        <v>43952</v>
      </c>
      <c r="E26" s="20" t="s">
        <v>72</v>
      </c>
      <c r="F26" s="130" t="s">
        <v>191</v>
      </c>
      <c r="H26" s="2" t="s">
        <v>200</v>
      </c>
    </row>
    <row r="27" spans="2:9" ht="15" customHeight="1" x14ac:dyDescent="0.3">
      <c r="B27" s="131" t="s">
        <v>199</v>
      </c>
      <c r="C27" s="136" t="s">
        <v>198</v>
      </c>
      <c r="D27" s="133">
        <v>43983</v>
      </c>
      <c r="E27" s="134" t="s">
        <v>72</v>
      </c>
      <c r="F27" s="135" t="s">
        <v>192</v>
      </c>
    </row>
    <row r="28" spans="2:9" ht="15" customHeight="1" x14ac:dyDescent="0.3">
      <c r="B28" s="38" t="s">
        <v>89</v>
      </c>
      <c r="C28" s="48" t="s">
        <v>90</v>
      </c>
      <c r="D28" s="47">
        <v>43983</v>
      </c>
      <c r="E28" s="20" t="s">
        <v>72</v>
      </c>
      <c r="F28" s="128" t="s">
        <v>191</v>
      </c>
    </row>
    <row r="29" spans="2:9" ht="15" customHeight="1" x14ac:dyDescent="0.3"/>
    <row r="37" spans="2:9" ht="14.5" thickBot="1" x14ac:dyDescent="0.35"/>
    <row r="38" spans="2:9" ht="18" thickBot="1" x14ac:dyDescent="0.35">
      <c r="B38" s="205" t="s">
        <v>53</v>
      </c>
      <c r="C38" s="206"/>
      <c r="D38" s="206"/>
      <c r="E38" s="207"/>
      <c r="F38" s="124"/>
      <c r="H38" s="211" t="s">
        <v>50</v>
      </c>
      <c r="I38" s="212"/>
    </row>
    <row r="39" spans="2:9" x14ac:dyDescent="0.3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2:9" x14ac:dyDescent="0.3">
      <c r="B40" s="52" t="s">
        <v>16</v>
      </c>
      <c r="C40" s="39" t="s">
        <v>92</v>
      </c>
      <c r="D40" s="53">
        <v>44166</v>
      </c>
      <c r="E40" s="54" t="s">
        <v>72</v>
      </c>
      <c r="F40" s="127"/>
      <c r="H40" s="42"/>
      <c r="I40" s="42"/>
    </row>
    <row r="41" spans="2:9" x14ac:dyDescent="0.3">
      <c r="B41" s="52"/>
      <c r="C41" s="42"/>
      <c r="D41" s="42"/>
      <c r="E41" s="43"/>
      <c r="F41" s="56"/>
      <c r="H41" s="42"/>
      <c r="I41" s="42"/>
    </row>
    <row r="42" spans="2:9" x14ac:dyDescent="0.3">
      <c r="B42" s="55"/>
      <c r="E42" s="56"/>
      <c r="F42" s="56"/>
      <c r="H42" s="42"/>
      <c r="I42" s="42"/>
    </row>
    <row r="43" spans="2:9" x14ac:dyDescent="0.3">
      <c r="B43" s="55"/>
      <c r="C43" s="57"/>
      <c r="D43" s="57"/>
      <c r="E43" s="58"/>
      <c r="F43" s="58"/>
      <c r="H43" s="42"/>
      <c r="I43" s="42"/>
    </row>
    <row r="44" spans="2:9" x14ac:dyDescent="0.3">
      <c r="B44" s="55"/>
      <c r="C44" s="57"/>
      <c r="D44" s="57"/>
      <c r="E44" s="58"/>
      <c r="F44" s="58"/>
      <c r="H44" s="42"/>
      <c r="I44" s="42"/>
    </row>
    <row r="45" spans="2:9" x14ac:dyDescent="0.3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topLeftCell="F1" zoomScaleNormal="100" workbookViewId="0">
      <selection activeCell="S7" sqref="S7"/>
    </sheetView>
  </sheetViews>
  <sheetFormatPr defaultColWidth="9.1796875" defaultRowHeight="13" x14ac:dyDescent="0.25"/>
  <cols>
    <col min="1" max="1" width="14" style="66" customWidth="1"/>
    <col min="2" max="2" width="18" style="66" customWidth="1"/>
    <col min="3" max="3" width="33.453125" style="66" customWidth="1"/>
    <col min="4" max="6" width="10.7265625" style="66" customWidth="1"/>
    <col min="7" max="7" width="15.1796875" style="66" customWidth="1"/>
    <col min="8" max="8" width="10.7265625" style="66" customWidth="1"/>
    <col min="9" max="9" width="2" style="66" bestFit="1" customWidth="1"/>
    <col min="10" max="10" width="22.453125" style="66" customWidth="1"/>
    <col min="11" max="11" width="18.81640625" style="66" customWidth="1"/>
    <col min="12" max="12" width="6.453125" style="66" bestFit="1" customWidth="1"/>
    <col min="13" max="14" width="9.1796875" style="66"/>
    <col min="15" max="15" width="9.54296875" style="66" bestFit="1" customWidth="1"/>
    <col min="16" max="16" width="9.1796875" style="66"/>
    <col min="17" max="21" width="11.1796875" style="66" customWidth="1"/>
    <col min="22" max="16384" width="9.1796875" style="66"/>
  </cols>
  <sheetData>
    <row r="1" spans="1:21" ht="21" x14ac:dyDescent="0.25">
      <c r="A1" s="60" t="s">
        <v>65</v>
      </c>
      <c r="B1" s="61"/>
    </row>
    <row r="2" spans="1:21" ht="18.5" x14ac:dyDescent="0.25">
      <c r="A2" s="62" t="s">
        <v>66</v>
      </c>
    </row>
    <row r="4" spans="1:21" ht="14.5" x14ac:dyDescent="0.25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" thickBot="1" x14ac:dyDescent="0.3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.5" thickBot="1" x14ac:dyDescent="0.3">
      <c r="A6" s="65" t="s">
        <v>57</v>
      </c>
      <c r="B6" s="195" t="s">
        <v>58</v>
      </c>
      <c r="C6" s="195" t="s">
        <v>28</v>
      </c>
      <c r="D6" s="195" t="s">
        <v>59</v>
      </c>
      <c r="E6" s="195" t="s">
        <v>60</v>
      </c>
      <c r="F6" s="195" t="s">
        <v>95</v>
      </c>
      <c r="G6" s="195" t="s">
        <v>96</v>
      </c>
      <c r="H6" s="195" t="s">
        <v>61</v>
      </c>
      <c r="I6" s="196"/>
      <c r="J6" s="197" t="s">
        <v>94</v>
      </c>
      <c r="K6" s="197" t="s">
        <v>3</v>
      </c>
      <c r="L6" s="197"/>
      <c r="M6" s="197" t="s">
        <v>63</v>
      </c>
      <c r="N6" s="197" t="s">
        <v>108</v>
      </c>
      <c r="O6" s="197" t="s">
        <v>107</v>
      </c>
      <c r="Q6" s="197"/>
      <c r="R6" s="197"/>
      <c r="S6" s="197" t="s">
        <v>93</v>
      </c>
      <c r="T6" s="197" t="s">
        <v>29</v>
      </c>
      <c r="U6" s="197" t="s">
        <v>93</v>
      </c>
    </row>
    <row r="7" spans="1:21" ht="14.5" x14ac:dyDescent="0.25">
      <c r="A7" s="63" t="s">
        <v>27</v>
      </c>
      <c r="B7" s="198" t="str">
        <f>"R-RTFT-"&amp;Q7</f>
        <v>R-RTFT-Apt_B3</v>
      </c>
      <c r="C7" s="198" t="str">
        <f t="shared" ref="C7:C8" si="0">"Residential "&amp;Q7&amp;" - "&amp;R7&amp;" retrofit"</f>
        <v>Residential Apt_B3 - Shallow retrofit</v>
      </c>
      <c r="D7" s="198" t="s">
        <v>13</v>
      </c>
      <c r="E7" s="198" t="s">
        <v>64</v>
      </c>
      <c r="F7" s="198"/>
      <c r="G7" s="198"/>
      <c r="H7" s="198"/>
      <c r="I7" s="198"/>
      <c r="J7" s="198" t="str">
        <f t="shared" ref="J7:J8" si="1">B7</f>
        <v>R-RTFT-Apt_B3</v>
      </c>
      <c r="K7" s="198" t="str">
        <f>LEFT("RSDSH_"&amp;Q7,9)&amp;"-AB"</f>
        <v>RSDSH_Apt-AB</v>
      </c>
      <c r="L7" s="198">
        <v>2020</v>
      </c>
      <c r="M7" s="198">
        <v>50</v>
      </c>
      <c r="N7" s="198">
        <f>U7</f>
        <v>5.7348345211809249E-4</v>
      </c>
      <c r="O7" s="199">
        <f>Data!O39/1000</f>
        <v>11.5335</v>
      </c>
      <c r="Q7" s="200" t="s">
        <v>222</v>
      </c>
      <c r="R7" s="200" t="s">
        <v>101</v>
      </c>
      <c r="S7" s="200">
        <f>[1]ArchetypeDemand!$L$66</f>
        <v>1.056312762758917E-2</v>
      </c>
      <c r="T7" s="201">
        <f>Data!R39</f>
        <v>5.4291065329954646E-2</v>
      </c>
      <c r="U7" s="200">
        <f>S7*T7</f>
        <v>5.7348345211809249E-4</v>
      </c>
    </row>
    <row r="8" spans="1:21" ht="14.5" x14ac:dyDescent="0.25">
      <c r="A8" s="68" t="s">
        <v>27</v>
      </c>
      <c r="B8" s="63" t="str">
        <f t="shared" ref="B8:B24" si="2">"R-RTFT-"&amp;Q8</f>
        <v>R-RTFT-Apt_C</v>
      </c>
      <c r="C8" s="63" t="str">
        <f t="shared" si="0"/>
        <v>Residential Apt_C - Shallow retrofit</v>
      </c>
      <c r="D8" s="63" t="s">
        <v>13</v>
      </c>
      <c r="E8" s="63" t="s">
        <v>64</v>
      </c>
      <c r="F8" s="63"/>
      <c r="G8" s="63"/>
      <c r="H8" s="63"/>
      <c r="I8" s="63"/>
      <c r="J8" s="63" t="str">
        <f t="shared" si="1"/>
        <v>R-RTFT-Apt_C</v>
      </c>
      <c r="K8" s="63" t="str">
        <f>LEFT("RSDSH_"&amp;Q8,9)&amp;"-C"</f>
        <v>RSDSH_Apt-C</v>
      </c>
      <c r="L8" s="63">
        <v>2020</v>
      </c>
      <c r="M8" s="63">
        <v>50</v>
      </c>
      <c r="N8" s="63">
        <f t="shared" ref="N8:N9" si="3">U8</f>
        <v>6.6924201054815937E-4</v>
      </c>
      <c r="O8" s="182">
        <f>Data!O39/1000</f>
        <v>11.5335</v>
      </c>
      <c r="Q8" s="66" t="s">
        <v>223</v>
      </c>
      <c r="R8" s="66" t="s">
        <v>101</v>
      </c>
      <c r="S8" s="66">
        <f>[1]ArchetypeDemand!$L$71</f>
        <v>1.2326927211334543E-2</v>
      </c>
      <c r="T8" s="183">
        <f>Data!R39</f>
        <v>5.4291065329954646E-2</v>
      </c>
      <c r="U8" s="66">
        <f>S8*T8</f>
        <v>6.6924201054815937E-4</v>
      </c>
    </row>
    <row r="9" spans="1:21" ht="14.5" x14ac:dyDescent="0.25">
      <c r="A9" s="63" t="s">
        <v>27</v>
      </c>
      <c r="B9" s="63" t="str">
        <f t="shared" si="2"/>
        <v>R-RTFT-Apt_D</v>
      </c>
      <c r="C9" s="63" t="str">
        <f t="shared" ref="C9:C14" si="4">"Residential "&amp;Q9&amp;" - "&amp;R9&amp;" retrofit"</f>
        <v>Residential Apt_D - Shallow retrofit</v>
      </c>
      <c r="D9" s="63" t="s">
        <v>13</v>
      </c>
      <c r="E9" s="63" t="s">
        <v>64</v>
      </c>
      <c r="F9" s="63"/>
      <c r="G9" s="63"/>
      <c r="H9" s="63"/>
      <c r="I9" s="63"/>
      <c r="J9" s="63" t="str">
        <f t="shared" ref="J9:J14" si="5">B9</f>
        <v>R-RTFT-Apt_D</v>
      </c>
      <c r="K9" s="63" t="str">
        <f>LEFT("RSDSH_"&amp;Q9,9)&amp;"-D"</f>
        <v>RSDSH_Apt-D</v>
      </c>
      <c r="L9" s="63">
        <v>2020</v>
      </c>
      <c r="M9" s="63">
        <v>50</v>
      </c>
      <c r="N9" s="63">
        <f t="shared" si="3"/>
        <v>4.7948563185053724E-3</v>
      </c>
      <c r="O9" s="182">
        <f>Data!O41/1000</f>
        <v>11.5335</v>
      </c>
      <c r="Q9" s="66" t="s">
        <v>224</v>
      </c>
      <c r="R9" s="66" t="s">
        <v>101</v>
      </c>
      <c r="S9" s="66">
        <f>[1]ArchetypeDemand!$L$76</f>
        <v>1.3080483158481877E-2</v>
      </c>
      <c r="T9" s="183">
        <f>Data!R41</f>
        <v>0.36656568877551032</v>
      </c>
      <c r="U9" s="66">
        <f t="shared" ref="U9:U12" si="6">S9*T9</f>
        <v>4.7948563185053724E-3</v>
      </c>
    </row>
    <row r="10" spans="1:21" ht="14.5" x14ac:dyDescent="0.25">
      <c r="A10" s="68" t="s">
        <v>27</v>
      </c>
      <c r="B10" s="63" t="str">
        <f t="shared" si="2"/>
        <v>R-RTFT-Apt_E</v>
      </c>
      <c r="C10" s="63" t="str">
        <f t="shared" si="4"/>
        <v>Residential Apt_E - Deep retrofit</v>
      </c>
      <c r="D10" s="63" t="s">
        <v>13</v>
      </c>
      <c r="E10" s="63" t="s">
        <v>64</v>
      </c>
      <c r="F10" s="63"/>
      <c r="G10" s="63"/>
      <c r="H10" s="63"/>
      <c r="I10" s="63"/>
      <c r="J10" s="63" t="str">
        <f t="shared" si="5"/>
        <v>R-RTFT-Apt_E</v>
      </c>
      <c r="K10" s="63" t="str">
        <f>LEFT("RSDSH_"&amp;Q10,9)&amp;"-E"</f>
        <v>RSDSH_Apt-E</v>
      </c>
      <c r="L10" s="63">
        <v>2020</v>
      </c>
      <c r="M10" s="63">
        <v>50</v>
      </c>
      <c r="N10" s="63">
        <f t="shared" ref="N10:N12" si="7">U10</f>
        <v>9.2808418616751667E-3</v>
      </c>
      <c r="O10" s="182">
        <f>Data!O44/1000</f>
        <v>18.273600000000002</v>
      </c>
      <c r="Q10" s="66" t="s">
        <v>225</v>
      </c>
      <c r="R10" s="66" t="s">
        <v>102</v>
      </c>
      <c r="S10" s="66">
        <f>[1]ArchetypeDemand!$L$81</f>
        <v>1.7026110267234832E-2</v>
      </c>
      <c r="T10" s="183">
        <f>Data!R44</f>
        <v>0.5450946643717729</v>
      </c>
      <c r="U10" s="66">
        <f t="shared" si="6"/>
        <v>9.2808418616751667E-3</v>
      </c>
    </row>
    <row r="11" spans="1:21" ht="14.5" x14ac:dyDescent="0.25">
      <c r="A11" s="63" t="s">
        <v>27</v>
      </c>
      <c r="B11" s="63" t="str">
        <f t="shared" si="2"/>
        <v>R-RTFT-Apt_F</v>
      </c>
      <c r="C11" s="63" t="str">
        <f t="shared" si="4"/>
        <v>Residential Apt_F - Deep retrofit</v>
      </c>
      <c r="D11" s="63" t="s">
        <v>13</v>
      </c>
      <c r="E11" s="63" t="s">
        <v>64</v>
      </c>
      <c r="F11" s="63"/>
      <c r="G11" s="63"/>
      <c r="H11" s="63"/>
      <c r="I11" s="63"/>
      <c r="J11" s="63" t="str">
        <f t="shared" si="5"/>
        <v>R-RTFT-Apt_F</v>
      </c>
      <c r="K11" s="63" t="str">
        <f>LEFT("RSDSH_"&amp;Q11,9)&amp;"-F"</f>
        <v>RSDSH_Apt-F</v>
      </c>
      <c r="L11" s="63">
        <v>2020</v>
      </c>
      <c r="M11" s="63">
        <v>50</v>
      </c>
      <c r="N11" s="63">
        <f t="shared" si="7"/>
        <v>1.4628662883294537E-2</v>
      </c>
      <c r="O11" s="182">
        <f>Data!O48/1000</f>
        <v>19.958400000000001</v>
      </c>
      <c r="Q11" s="66" t="s">
        <v>226</v>
      </c>
      <c r="R11" s="66" t="s">
        <v>102</v>
      </c>
      <c r="S11" s="66">
        <f>[1]ArchetypeDemand!$L$86</f>
        <v>2.2522852866122413E-2</v>
      </c>
      <c r="T11" s="183">
        <f>Data!R48</f>
        <v>0.64950310559006208</v>
      </c>
      <c r="U11" s="66">
        <f t="shared" si="6"/>
        <v>1.4628662883294537E-2</v>
      </c>
    </row>
    <row r="12" spans="1:21" ht="15" thickBot="1" x14ac:dyDescent="0.3">
      <c r="A12" s="68" t="s">
        <v>27</v>
      </c>
      <c r="B12" s="191" t="str">
        <f t="shared" si="2"/>
        <v>R-RTFT-Apt_G</v>
      </c>
      <c r="C12" s="191" t="str">
        <f t="shared" si="4"/>
        <v>Residential Apt_G - Deep retrofit</v>
      </c>
      <c r="D12" s="191" t="s">
        <v>13</v>
      </c>
      <c r="E12" s="191" t="s">
        <v>64</v>
      </c>
      <c r="F12" s="191"/>
      <c r="G12" s="63"/>
      <c r="H12" s="191"/>
      <c r="I12" s="191"/>
      <c r="J12" s="191" t="str">
        <f t="shared" si="5"/>
        <v>R-RTFT-Apt_G</v>
      </c>
      <c r="K12" s="191" t="str">
        <f>LEFT("RSDSH_"&amp;Q12,9)&amp;"-G"</f>
        <v>RSDSH_Apt-G</v>
      </c>
      <c r="L12" s="191">
        <v>2020</v>
      </c>
      <c r="M12" s="191">
        <v>50</v>
      </c>
      <c r="N12" s="191">
        <f t="shared" si="7"/>
        <v>2.1717043475893594E-2</v>
      </c>
      <c r="O12" s="192">
        <f>Data!O53/1000</f>
        <v>19.958400000000001</v>
      </c>
      <c r="Q12" s="193" t="s">
        <v>227</v>
      </c>
      <c r="R12" s="193" t="s">
        <v>102</v>
      </c>
      <c r="S12" s="193">
        <f>[1]ArchetypeDemand!$L$91</f>
        <v>3.2803286580099345E-2</v>
      </c>
      <c r="T12" s="194">
        <f>Data!R53</f>
        <v>0.66203864734299511</v>
      </c>
      <c r="U12" s="193">
        <f t="shared" si="6"/>
        <v>2.1717043475893594E-2</v>
      </c>
    </row>
    <row r="13" spans="1:21" ht="14.5" x14ac:dyDescent="0.25">
      <c r="A13" s="63" t="s">
        <v>27</v>
      </c>
      <c r="B13" s="198" t="str">
        <f t="shared" si="2"/>
        <v>R-RTFT-Att_B3</v>
      </c>
      <c r="C13" s="198" t="str">
        <f t="shared" si="4"/>
        <v>Residential Att_B3 - Shallow retrofit</v>
      </c>
      <c r="D13" s="198" t="s">
        <v>13</v>
      </c>
      <c r="E13" s="198" t="s">
        <v>64</v>
      </c>
      <c r="F13" s="198"/>
      <c r="G13" s="63"/>
      <c r="H13" s="198"/>
      <c r="I13" s="198"/>
      <c r="J13" s="198" t="str">
        <f t="shared" si="5"/>
        <v>R-RTFT-Att_B3</v>
      </c>
      <c r="K13" s="198" t="str">
        <f>LEFT("RSDSH_"&amp;Q13,9)&amp;"-AB"</f>
        <v>RSDSH_Att-AB</v>
      </c>
      <c r="L13" s="198">
        <v>2020</v>
      </c>
      <c r="M13" s="198">
        <v>50</v>
      </c>
      <c r="N13" s="198">
        <f>U13</f>
        <v>7.5821699232505875E-4</v>
      </c>
      <c r="O13" s="199">
        <f>Data!M39/1000</f>
        <v>9.0075000000000003</v>
      </c>
      <c r="Q13" s="200" t="s">
        <v>228</v>
      </c>
      <c r="R13" s="200" t="s">
        <v>101</v>
      </c>
      <c r="S13" s="200">
        <f>[1]ArchetypeDemand!$L$66</f>
        <v>1.056312762758917E-2</v>
      </c>
      <c r="T13" s="201">
        <f>Data!P39</f>
        <v>7.1779592092092059E-2</v>
      </c>
      <c r="U13" s="200">
        <f>S13*T13</f>
        <v>7.5821699232505875E-4</v>
      </c>
    </row>
    <row r="14" spans="1:21" ht="14.5" x14ac:dyDescent="0.25">
      <c r="A14" s="68" t="s">
        <v>27</v>
      </c>
      <c r="B14" s="63" t="str">
        <f t="shared" si="2"/>
        <v>R-RTFT-Att_C</v>
      </c>
      <c r="C14" s="63" t="str">
        <f t="shared" si="4"/>
        <v>Residential Att_C - Shallow retrofit</v>
      </c>
      <c r="D14" s="63" t="s">
        <v>13</v>
      </c>
      <c r="E14" s="63" t="s">
        <v>64</v>
      </c>
      <c r="F14" s="63"/>
      <c r="G14" s="63"/>
      <c r="H14" s="63"/>
      <c r="I14" s="63"/>
      <c r="J14" s="63" t="str">
        <f t="shared" si="5"/>
        <v>R-RTFT-Att_C</v>
      </c>
      <c r="K14" s="63" t="str">
        <f>LEFT("RSDSH_"&amp;Q14,9)&amp;"-C"</f>
        <v>RSDSH_Att-C</v>
      </c>
      <c r="L14" s="63">
        <v>2020</v>
      </c>
      <c r="M14" s="63">
        <v>50</v>
      </c>
      <c r="N14" s="63">
        <f t="shared" ref="N14:N18" si="8">U14</f>
        <v>8.8482180697850338E-4</v>
      </c>
      <c r="O14" s="182">
        <f>Data!M39/1000</f>
        <v>9.0075000000000003</v>
      </c>
      <c r="Q14" s="66" t="s">
        <v>229</v>
      </c>
      <c r="R14" s="66" t="s">
        <v>101</v>
      </c>
      <c r="S14" s="66">
        <f>[1]ArchetypeDemand!$L$71</f>
        <v>1.2326927211334543E-2</v>
      </c>
      <c r="T14" s="183">
        <f>Data!P39</f>
        <v>7.1779592092092059E-2</v>
      </c>
      <c r="U14" s="66">
        <f>S14*T14</f>
        <v>8.8482180697850338E-4</v>
      </c>
    </row>
    <row r="15" spans="1:21" ht="14.5" x14ac:dyDescent="0.25">
      <c r="A15" s="63" t="s">
        <v>27</v>
      </c>
      <c r="B15" s="63" t="str">
        <f t="shared" si="2"/>
        <v>R-RTFT-Att_D</v>
      </c>
      <c r="C15" s="63" t="str">
        <f t="shared" ref="C15:C20" si="9">"Residential "&amp;Q15&amp;" - "&amp;R15&amp;" retrofit"</f>
        <v>Residential Att_D - Shallow retrofit</v>
      </c>
      <c r="D15" s="63" t="s">
        <v>13</v>
      </c>
      <c r="E15" s="63" t="s">
        <v>64</v>
      </c>
      <c r="F15" s="63"/>
      <c r="G15" s="63"/>
      <c r="H15" s="63"/>
      <c r="I15" s="63"/>
      <c r="J15" s="63" t="str">
        <f t="shared" ref="J15:J20" si="10">B15</f>
        <v>R-RTFT-Att_D</v>
      </c>
      <c r="K15" s="63" t="str">
        <f>LEFT("RSDSH_"&amp;Q15,9)&amp;"-D"</f>
        <v>RSDSH_Att-D</v>
      </c>
      <c r="L15" s="63">
        <v>2020</v>
      </c>
      <c r="M15" s="63">
        <v>50</v>
      </c>
      <c r="N15" s="63">
        <f t="shared" si="8"/>
        <v>5.1655487686243003E-3</v>
      </c>
      <c r="O15" s="182">
        <f>Data!M41/1000</f>
        <v>12.815</v>
      </c>
      <c r="Q15" s="66" t="s">
        <v>230</v>
      </c>
      <c r="R15" s="66" t="s">
        <v>101</v>
      </c>
      <c r="S15" s="66">
        <f>[1]ArchetypeDemand!$L$76</f>
        <v>1.3080483158481877E-2</v>
      </c>
      <c r="T15" s="183">
        <f>Data!P41</f>
        <v>0.39490504334121357</v>
      </c>
      <c r="U15" s="66">
        <f t="shared" ref="U15:U18" si="11">S15*T15</f>
        <v>5.1655487686243003E-3</v>
      </c>
    </row>
    <row r="16" spans="1:21" ht="14.5" x14ac:dyDescent="0.25">
      <c r="A16" s="68" t="s">
        <v>27</v>
      </c>
      <c r="B16" s="63" t="str">
        <f t="shared" si="2"/>
        <v>R-RTFT-Att_E</v>
      </c>
      <c r="C16" s="63" t="str">
        <f t="shared" si="9"/>
        <v>Residential Att_E - Deep retrofit</v>
      </c>
      <c r="D16" s="63" t="s">
        <v>13</v>
      </c>
      <c r="E16" s="63" t="s">
        <v>64</v>
      </c>
      <c r="F16" s="63"/>
      <c r="G16" s="63"/>
      <c r="H16" s="63"/>
      <c r="I16" s="63"/>
      <c r="J16" s="63" t="str">
        <f t="shared" si="10"/>
        <v>R-RTFT-Att_E</v>
      </c>
      <c r="K16" s="63" t="str">
        <f>LEFT("RSDSH_"&amp;Q16,9)&amp;"-E"</f>
        <v>RSDSH_Att-E</v>
      </c>
      <c r="L16" s="63">
        <v>2020</v>
      </c>
      <c r="M16" s="63">
        <v>50</v>
      </c>
      <c r="N16" s="63">
        <f t="shared" si="8"/>
        <v>9.3929668522173305E-3</v>
      </c>
      <c r="O16" s="182">
        <f>Data!M44/1000</f>
        <v>20.303999999999998</v>
      </c>
      <c r="Q16" s="66" t="s">
        <v>231</v>
      </c>
      <c r="R16" s="66" t="s">
        <v>102</v>
      </c>
      <c r="S16" s="66">
        <f>[1]ArchetypeDemand!$L$81</f>
        <v>1.7026110267234832E-2</v>
      </c>
      <c r="T16" s="183">
        <f>Data!P44</f>
        <v>0.55168013743533795</v>
      </c>
      <c r="U16" s="66">
        <f t="shared" si="11"/>
        <v>9.3929668522173305E-3</v>
      </c>
    </row>
    <row r="17" spans="1:26" ht="14.5" x14ac:dyDescent="0.25">
      <c r="A17" s="63" t="s">
        <v>27</v>
      </c>
      <c r="B17" s="63" t="str">
        <f t="shared" si="2"/>
        <v>R-RTFT-Att_F</v>
      </c>
      <c r="C17" s="63" t="str">
        <f t="shared" si="9"/>
        <v>Residential Att_F - Deep retrofit</v>
      </c>
      <c r="D17" s="63" t="s">
        <v>13</v>
      </c>
      <c r="E17" s="63" t="s">
        <v>64</v>
      </c>
      <c r="F17" s="63"/>
      <c r="G17" s="63"/>
      <c r="H17" s="63"/>
      <c r="I17" s="63"/>
      <c r="J17" s="63" t="str">
        <f t="shared" si="10"/>
        <v>R-RTFT-Att_F</v>
      </c>
      <c r="K17" s="63" t="str">
        <f>LEFT("RSDSH_"&amp;Q17,9)&amp;"-F"</f>
        <v>RSDSH_Att-F</v>
      </c>
      <c r="L17" s="63">
        <v>2020</v>
      </c>
      <c r="M17" s="63">
        <v>50</v>
      </c>
      <c r="N17" s="63">
        <f>U17</f>
        <v>1.4727434391205585E-2</v>
      </c>
      <c r="O17" s="182">
        <f>Data!M48/1000</f>
        <v>22.175999999999998</v>
      </c>
      <c r="Q17" s="66" t="s">
        <v>232</v>
      </c>
      <c r="R17" s="66" t="s">
        <v>102</v>
      </c>
      <c r="S17" s="66">
        <f>[1]ArchetypeDemand!$L$86</f>
        <v>2.2522852866122413E-2</v>
      </c>
      <c r="T17" s="183">
        <f>Data!P48</f>
        <v>0.65388849621966627</v>
      </c>
      <c r="U17" s="66">
        <f t="shared" si="11"/>
        <v>1.4727434391205585E-2</v>
      </c>
    </row>
    <row r="18" spans="1:26" ht="15" thickBot="1" x14ac:dyDescent="0.3">
      <c r="A18" s="68" t="s">
        <v>27</v>
      </c>
      <c r="B18" s="191" t="str">
        <f t="shared" si="2"/>
        <v>R-RTFT-Att_G</v>
      </c>
      <c r="C18" s="191" t="str">
        <f t="shared" si="9"/>
        <v>Residential Att_G - Deep retrofit</v>
      </c>
      <c r="D18" s="191" t="s">
        <v>13</v>
      </c>
      <c r="E18" s="191" t="s">
        <v>64</v>
      </c>
      <c r="F18" s="191"/>
      <c r="G18" s="63"/>
      <c r="H18" s="191"/>
      <c r="I18" s="191"/>
      <c r="J18" s="191" t="str">
        <f t="shared" si="10"/>
        <v>R-RTFT-Att_G</v>
      </c>
      <c r="K18" s="191" t="str">
        <f>LEFT("RSDSH_"&amp;Q18,9)&amp;"-G"</f>
        <v>RSDSH_Att-G</v>
      </c>
      <c r="L18" s="191">
        <v>2020</v>
      </c>
      <c r="M18" s="191">
        <v>50</v>
      </c>
      <c r="N18" s="191">
        <f t="shared" si="8"/>
        <v>2.1290335851398529E-2</v>
      </c>
      <c r="O18" s="192">
        <f>Data!M53/1000</f>
        <v>22.175999999999998</v>
      </c>
      <c r="Q18" s="193" t="s">
        <v>233</v>
      </c>
      <c r="R18" s="193" t="s">
        <v>102</v>
      </c>
      <c r="S18" s="193">
        <f>[1]ArchetypeDemand!$L$91</f>
        <v>3.2803286580099345E-2</v>
      </c>
      <c r="T18" s="194">
        <f>Data!P53</f>
        <v>0.64903057196453795</v>
      </c>
      <c r="U18" s="193">
        <f t="shared" si="11"/>
        <v>2.1290335851398529E-2</v>
      </c>
    </row>
    <row r="19" spans="1:26" ht="14.5" x14ac:dyDescent="0.25">
      <c r="A19" s="63" t="s">
        <v>27</v>
      </c>
      <c r="B19" s="198" t="str">
        <f t="shared" si="2"/>
        <v>R-RTFT-Det_B3</v>
      </c>
      <c r="C19" s="198" t="str">
        <f t="shared" si="9"/>
        <v>Residential Det_B3 - Shallow retrofit</v>
      </c>
      <c r="D19" s="198" t="s">
        <v>13</v>
      </c>
      <c r="E19" s="198" t="s">
        <v>64</v>
      </c>
      <c r="F19" s="198"/>
      <c r="G19" s="63"/>
      <c r="H19" s="198"/>
      <c r="I19" s="198"/>
      <c r="J19" s="198" t="str">
        <f t="shared" si="10"/>
        <v>R-RTFT-Det_B3</v>
      </c>
      <c r="K19" s="198" t="str">
        <f>LEFT("RSDSH_"&amp;Q19,9)&amp;"-AB"</f>
        <v>RSDSH_Det-AB</v>
      </c>
      <c r="L19" s="198">
        <v>2020</v>
      </c>
      <c r="M19" s="198">
        <v>50</v>
      </c>
      <c r="N19" s="198">
        <f>U19</f>
        <v>8.7124448896018676E-4</v>
      </c>
      <c r="O19" s="199">
        <f>Data!N39/1000</f>
        <v>14.096500000000002</v>
      </c>
      <c r="Q19" s="200" t="s">
        <v>234</v>
      </c>
      <c r="R19" s="200" t="s">
        <v>101</v>
      </c>
      <c r="S19" s="200">
        <f>[1]ArchetypeDemand!$L$66</f>
        <v>1.056312762758917E-2</v>
      </c>
      <c r="T19" s="201">
        <f>Data!Q39</f>
        <v>8.2479784366576991E-2</v>
      </c>
      <c r="U19" s="200">
        <f>S19*T19</f>
        <v>8.7124448896018676E-4</v>
      </c>
    </row>
    <row r="20" spans="1:26" ht="14.5" x14ac:dyDescent="0.25">
      <c r="A20" s="68" t="s">
        <v>27</v>
      </c>
      <c r="B20" s="63" t="str">
        <f t="shared" si="2"/>
        <v>R-RTFT-Det_C</v>
      </c>
      <c r="C20" s="63" t="str">
        <f t="shared" si="9"/>
        <v>Residential Det_C - Shallow retrofit</v>
      </c>
      <c r="D20" s="63" t="s">
        <v>13</v>
      </c>
      <c r="E20" s="63" t="s">
        <v>64</v>
      </c>
      <c r="F20" s="63"/>
      <c r="G20" s="63"/>
      <c r="H20" s="63"/>
      <c r="I20" s="63"/>
      <c r="J20" s="63" t="str">
        <f t="shared" si="10"/>
        <v>R-RTFT-Det_C</v>
      </c>
      <c r="K20" s="63" t="str">
        <f>LEFT("RSDSH_"&amp;Q20,9)&amp;"-C"</f>
        <v>RSDSH_Det-C</v>
      </c>
      <c r="L20" s="63">
        <v>2020</v>
      </c>
      <c r="M20" s="63">
        <v>50</v>
      </c>
      <c r="N20" s="63">
        <f t="shared" ref="N20:N24" si="12">U20</f>
        <v>1.0167222982933634E-3</v>
      </c>
      <c r="O20" s="182">
        <f>Data!N39/1000</f>
        <v>14.096500000000002</v>
      </c>
      <c r="Q20" s="66" t="s">
        <v>235</v>
      </c>
      <c r="R20" s="66" t="s">
        <v>101</v>
      </c>
      <c r="S20" s="66">
        <f>[1]ArchetypeDemand!$L$71</f>
        <v>1.2326927211334543E-2</v>
      </c>
      <c r="T20" s="183">
        <f>Data!Q39</f>
        <v>8.2479784366576991E-2</v>
      </c>
      <c r="U20" s="66">
        <f>S20*T20</f>
        <v>1.0167222982933634E-3</v>
      </c>
    </row>
    <row r="21" spans="1:26" ht="14.5" x14ac:dyDescent="0.25">
      <c r="A21" s="63" t="s">
        <v>27</v>
      </c>
      <c r="B21" s="63" t="str">
        <f t="shared" si="2"/>
        <v>R-RTFT-Det_D</v>
      </c>
      <c r="C21" s="63" t="str">
        <f t="shared" ref="C21:C24" si="13">"Residential "&amp;Q21&amp;" - "&amp;R21&amp;" retrofit"</f>
        <v>Residential Det_D - Shallow retrofit</v>
      </c>
      <c r="D21" s="63" t="s">
        <v>13</v>
      </c>
      <c r="E21" s="63" t="s">
        <v>64</v>
      </c>
      <c r="F21" s="63"/>
      <c r="G21" s="63"/>
      <c r="H21" s="63"/>
      <c r="I21" s="63"/>
      <c r="J21" s="63" t="str">
        <f t="shared" ref="J21:J24" si="14">B21</f>
        <v>R-RTFT-Det_D</v>
      </c>
      <c r="K21" s="63" t="str">
        <f>LEFT("RSDSH_"&amp;Q21,9)&amp;"-D"</f>
        <v>RSDSH_Det-D</v>
      </c>
      <c r="L21" s="63">
        <v>2020</v>
      </c>
      <c r="M21" s="63">
        <v>50</v>
      </c>
      <c r="N21" s="63">
        <f t="shared" si="12"/>
        <v>5.2660659296241401E-3</v>
      </c>
      <c r="O21" s="182">
        <f>Data!N41/1000</f>
        <v>14.096500000000002</v>
      </c>
      <c r="Q21" s="66" t="s">
        <v>236</v>
      </c>
      <c r="R21" s="66" t="s">
        <v>101</v>
      </c>
      <c r="S21" s="66">
        <f>[1]ArchetypeDemand!$L$76</f>
        <v>1.3080483158481877E-2</v>
      </c>
      <c r="T21" s="183">
        <f>Data!Q41</f>
        <v>0.40258955772665206</v>
      </c>
      <c r="U21" s="66">
        <f t="shared" ref="U21:U24" si="15">S21*T21</f>
        <v>5.2660659296241401E-3</v>
      </c>
    </row>
    <row r="22" spans="1:26" ht="14.5" x14ac:dyDescent="0.25">
      <c r="A22" s="68" t="s">
        <v>27</v>
      </c>
      <c r="B22" s="63" t="str">
        <f t="shared" si="2"/>
        <v>R-RTFT-Det_E</v>
      </c>
      <c r="C22" s="63" t="str">
        <f t="shared" si="13"/>
        <v>Residential Det_E - Deep retrofit</v>
      </c>
      <c r="D22" s="63" t="s">
        <v>13</v>
      </c>
      <c r="E22" s="63" t="s">
        <v>64</v>
      </c>
      <c r="F22" s="63"/>
      <c r="G22" s="63"/>
      <c r="H22" s="63"/>
      <c r="I22" s="63"/>
      <c r="J22" s="63" t="str">
        <f t="shared" si="14"/>
        <v>R-RTFT-Det_E</v>
      </c>
      <c r="K22" s="63" t="str">
        <f>LEFT("RSDSH_"&amp;Q22,9)&amp;"-E"</f>
        <v>RSDSH_Det-E</v>
      </c>
      <c r="L22" s="63">
        <v>2020</v>
      </c>
      <c r="M22" s="63">
        <v>50</v>
      </c>
      <c r="N22" s="63">
        <f t="shared" si="12"/>
        <v>9.4356152934719911E-3</v>
      </c>
      <c r="O22" s="182">
        <f>Data!N44/1000</f>
        <v>22.334400000000002</v>
      </c>
      <c r="Q22" s="66" t="s">
        <v>237</v>
      </c>
      <c r="R22" s="66" t="s">
        <v>102</v>
      </c>
      <c r="S22" s="66">
        <f>[1]ArchetypeDemand!$L$81</f>
        <v>1.7026110267234832E-2</v>
      </c>
      <c r="T22" s="183">
        <f>Data!Q44</f>
        <v>0.55418502202643172</v>
      </c>
      <c r="U22" s="66">
        <f t="shared" si="15"/>
        <v>9.4356152934719911E-3</v>
      </c>
    </row>
    <row r="23" spans="1:26" ht="14.5" x14ac:dyDescent="0.25">
      <c r="A23" s="63" t="s">
        <v>27</v>
      </c>
      <c r="B23" s="63" t="str">
        <f t="shared" si="2"/>
        <v>R-RTFT-Det_F</v>
      </c>
      <c r="C23" s="63" t="str">
        <f t="shared" si="13"/>
        <v>Residential Det_F - Deep retrofit</v>
      </c>
      <c r="D23" s="63" t="s">
        <v>13</v>
      </c>
      <c r="E23" s="63" t="s">
        <v>64</v>
      </c>
      <c r="F23" s="63"/>
      <c r="G23" s="63"/>
      <c r="H23" s="63"/>
      <c r="I23" s="63"/>
      <c r="J23" s="63" t="str">
        <f t="shared" si="14"/>
        <v>R-RTFT-Det_F</v>
      </c>
      <c r="K23" s="63" t="str">
        <f>LEFT("RSDSH_"&amp;Q23,9)&amp;"-F"</f>
        <v>RSDSH_Det-F</v>
      </c>
      <c r="L23" s="63">
        <v>2020</v>
      </c>
      <c r="M23" s="63">
        <v>50</v>
      </c>
      <c r="N23" s="63">
        <f t="shared" si="12"/>
        <v>1.4628662883294537E-2</v>
      </c>
      <c r="O23" s="182">
        <f>Data!N48/1000</f>
        <v>24.393600000000003</v>
      </c>
      <c r="Q23" s="66" t="s">
        <v>238</v>
      </c>
      <c r="R23" s="66" t="s">
        <v>102</v>
      </c>
      <c r="S23" s="66">
        <f>[1]ArchetypeDemand!$L$86</f>
        <v>2.2522852866122413E-2</v>
      </c>
      <c r="T23" s="183">
        <f>Data!R48</f>
        <v>0.64950310559006208</v>
      </c>
      <c r="U23" s="66">
        <f t="shared" si="15"/>
        <v>1.4628662883294537E-2</v>
      </c>
    </row>
    <row r="24" spans="1:26" ht="15" thickBot="1" x14ac:dyDescent="0.3">
      <c r="A24" s="68" t="s">
        <v>27</v>
      </c>
      <c r="B24" s="191" t="str">
        <f t="shared" si="2"/>
        <v>R-RTFT-Det_G</v>
      </c>
      <c r="C24" s="191" t="str">
        <f t="shared" si="13"/>
        <v>Residential Det_G - Deep retrofit</v>
      </c>
      <c r="D24" s="191" t="s">
        <v>13</v>
      </c>
      <c r="E24" s="191" t="s">
        <v>64</v>
      </c>
      <c r="F24" s="191"/>
      <c r="G24" s="63"/>
      <c r="H24" s="191"/>
      <c r="I24" s="191"/>
      <c r="J24" s="191" t="str">
        <f t="shared" si="14"/>
        <v>R-RTFT-Det_G</v>
      </c>
      <c r="K24" s="191" t="str">
        <f>LEFT("RSDSH_"&amp;Q24,9)&amp;"-G"</f>
        <v>RSDSH_Det-G</v>
      </c>
      <c r="L24" s="191">
        <v>2020</v>
      </c>
      <c r="M24" s="191">
        <v>50</v>
      </c>
      <c r="N24" s="191">
        <f t="shared" si="12"/>
        <v>2.1717043475893594E-2</v>
      </c>
      <c r="O24" s="192">
        <f>Data!N53/1000</f>
        <v>24.393600000000003</v>
      </c>
      <c r="Q24" s="193" t="s">
        <v>239</v>
      </c>
      <c r="R24" s="193" t="s">
        <v>102</v>
      </c>
      <c r="S24" s="193">
        <f>[1]ArchetypeDemand!$L$91</f>
        <v>3.2803286580099345E-2</v>
      </c>
      <c r="T24" s="194">
        <f>Data!R53</f>
        <v>0.66203864734299511</v>
      </c>
      <c r="U24" s="193">
        <f t="shared" si="15"/>
        <v>2.1717043475893594E-2</v>
      </c>
    </row>
    <row r="27" spans="1:26" x14ac:dyDescent="0.25">
      <c r="V27"/>
      <c r="W27"/>
      <c r="X27"/>
      <c r="Y27"/>
      <c r="Z27"/>
    </row>
    <row r="28" spans="1:26" x14ac:dyDescent="0.25">
      <c r="V28"/>
      <c r="W28"/>
      <c r="X28"/>
      <c r="Y28"/>
      <c r="Z28"/>
    </row>
    <row r="29" spans="1:26" x14ac:dyDescent="0.25">
      <c r="V29"/>
      <c r="W29"/>
      <c r="X29"/>
      <c r="Y29"/>
      <c r="Z29"/>
    </row>
    <row r="30" spans="1:26" x14ac:dyDescent="0.25">
      <c r="V30"/>
      <c r="W30"/>
      <c r="X30"/>
      <c r="Y30"/>
      <c r="Z30"/>
    </row>
    <row r="31" spans="1:26" x14ac:dyDescent="0.25">
      <c r="V31"/>
      <c r="W31"/>
      <c r="X31"/>
      <c r="Y31"/>
      <c r="Z31"/>
    </row>
    <row r="32" spans="1:26" x14ac:dyDescent="0.25">
      <c r="V32"/>
      <c r="W32"/>
      <c r="X32"/>
      <c r="Y32"/>
      <c r="Z32"/>
    </row>
    <row r="33" spans="22:26" x14ac:dyDescent="0.25">
      <c r="V33"/>
      <c r="W33"/>
      <c r="X33"/>
      <c r="Y33"/>
      <c r="Z33"/>
    </row>
    <row r="34" spans="22:26" x14ac:dyDescent="0.25">
      <c r="V34"/>
      <c r="W34"/>
      <c r="X34"/>
      <c r="Y34"/>
      <c r="Z34"/>
    </row>
    <row r="35" spans="22:26" x14ac:dyDescent="0.25">
      <c r="V35"/>
      <c r="W35"/>
      <c r="X35"/>
      <c r="Y35"/>
      <c r="Z35"/>
    </row>
    <row r="36" spans="22:26" x14ac:dyDescent="0.25">
      <c r="V36"/>
      <c r="W36"/>
      <c r="X36"/>
      <c r="Y36"/>
      <c r="Z36"/>
    </row>
    <row r="37" spans="22:26" x14ac:dyDescent="0.25">
      <c r="V37"/>
      <c r="W37"/>
      <c r="X37"/>
      <c r="Y37"/>
      <c r="Z37"/>
    </row>
    <row r="38" spans="22:26" x14ac:dyDescent="0.25">
      <c r="V38"/>
      <c r="W38"/>
      <c r="X38"/>
      <c r="Y38"/>
      <c r="Z38"/>
    </row>
    <row r="39" spans="22:26" x14ac:dyDescent="0.25">
      <c r="V39"/>
      <c r="W39"/>
      <c r="X39"/>
      <c r="Y39"/>
      <c r="Z39"/>
    </row>
    <row r="40" spans="22:26" x14ac:dyDescent="0.25">
      <c r="V40"/>
      <c r="W40"/>
      <c r="X40"/>
      <c r="Y40"/>
      <c r="Z40"/>
    </row>
    <row r="41" spans="22:26" x14ac:dyDescent="0.25">
      <c r="V41"/>
      <c r="W41"/>
      <c r="X41"/>
      <c r="Y41"/>
      <c r="Z41"/>
    </row>
    <row r="42" spans="22:26" x14ac:dyDescent="0.25">
      <c r="V42"/>
      <c r="W42"/>
      <c r="X42"/>
      <c r="Y42"/>
      <c r="Z42"/>
    </row>
    <row r="43" spans="22:26" x14ac:dyDescent="0.25">
      <c r="V43"/>
      <c r="W43"/>
      <c r="X43"/>
      <c r="Y43"/>
      <c r="Z43"/>
    </row>
    <row r="44" spans="22:26" x14ac:dyDescent="0.25">
      <c r="V44"/>
      <c r="W44"/>
      <c r="X44"/>
      <c r="Y44"/>
      <c r="Z44"/>
    </row>
    <row r="45" spans="22:26" x14ac:dyDescent="0.25">
      <c r="V45"/>
      <c r="W45"/>
      <c r="X45"/>
      <c r="Y45"/>
      <c r="Z45"/>
    </row>
    <row r="46" spans="22:26" x14ac:dyDescent="0.25">
      <c r="V46"/>
      <c r="W46"/>
      <c r="X46"/>
      <c r="Y46"/>
      <c r="Z46"/>
    </row>
    <row r="47" spans="22:26" x14ac:dyDescent="0.25">
      <c r="V47"/>
      <c r="W47"/>
      <c r="X47"/>
      <c r="Y47"/>
      <c r="Z47"/>
    </row>
    <row r="48" spans="22:26" x14ac:dyDescent="0.25">
      <c r="V48"/>
      <c r="W48"/>
      <c r="X48"/>
      <c r="Y48"/>
      <c r="Z48"/>
    </row>
    <row r="49" spans="18:26" x14ac:dyDescent="0.25">
      <c r="V49"/>
      <c r="W49"/>
      <c r="X49"/>
      <c r="Y49"/>
      <c r="Z49"/>
    </row>
    <row r="50" spans="18:26" x14ac:dyDescent="0.25">
      <c r="V50"/>
      <c r="W50"/>
      <c r="X50"/>
      <c r="Y50"/>
      <c r="Z50"/>
    </row>
    <row r="51" spans="18:26" x14ac:dyDescent="0.25">
      <c r="V51"/>
      <c r="W51"/>
      <c r="X51"/>
      <c r="Y51"/>
      <c r="Z51"/>
    </row>
    <row r="52" spans="18:26" x14ac:dyDescent="0.25">
      <c r="V52"/>
      <c r="W52"/>
      <c r="X52"/>
      <c r="Y52"/>
      <c r="Z52"/>
    </row>
    <row r="53" spans="18:26" x14ac:dyDescent="0.25">
      <c r="V53"/>
      <c r="W53"/>
      <c r="X53"/>
      <c r="Y53"/>
      <c r="Z53"/>
    </row>
    <row r="54" spans="18:26" x14ac:dyDescent="0.25">
      <c r="V54"/>
      <c r="W54"/>
      <c r="X54"/>
      <c r="Y54"/>
      <c r="Z54"/>
    </row>
    <row r="55" spans="18:26" x14ac:dyDescent="0.25">
      <c r="V55"/>
      <c r="W55"/>
      <c r="X55"/>
      <c r="Y55"/>
      <c r="Z55"/>
    </row>
    <row r="56" spans="18:26" x14ac:dyDescent="0.25">
      <c r="V56"/>
      <c r="W56"/>
      <c r="X56"/>
      <c r="Y56"/>
      <c r="Z56"/>
    </row>
    <row r="57" spans="18:26" x14ac:dyDescent="0.25">
      <c r="V57"/>
      <c r="W57"/>
      <c r="X57"/>
      <c r="Y57"/>
      <c r="Z57"/>
    </row>
    <row r="58" spans="18:26" x14ac:dyDescent="0.25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zoomScale="80" zoomScaleNormal="80" workbookViewId="0">
      <selection activeCell="A51" sqref="A51:XFD51"/>
    </sheetView>
  </sheetViews>
  <sheetFormatPr defaultRowHeight="12.5" x14ac:dyDescent="0.25"/>
  <cols>
    <col min="1" max="1" width="11.26953125" customWidth="1"/>
    <col min="2" max="2" width="7.81640625" customWidth="1"/>
    <col min="3" max="3" width="12.7265625" customWidth="1"/>
    <col min="4" max="4" width="10.7265625" customWidth="1"/>
    <col min="5" max="5" width="12.81640625" customWidth="1"/>
    <col min="6" max="6" width="13.26953125" customWidth="1"/>
    <col min="7" max="7" width="13.7265625" customWidth="1"/>
    <col min="8" max="8" width="14.453125" customWidth="1"/>
    <col min="9" max="9" width="11.7265625" customWidth="1"/>
    <col min="10" max="10" width="12.7265625" customWidth="1"/>
    <col min="11" max="11" width="12.26953125" customWidth="1"/>
    <col min="12" max="12" width="12.54296875" customWidth="1"/>
    <col min="13" max="13" width="13.1796875" customWidth="1"/>
    <col min="14" max="15" width="13.54296875" customWidth="1"/>
    <col min="16" max="18" width="10.7265625" customWidth="1"/>
    <col min="19" max="19" width="12.453125" customWidth="1"/>
    <col min="20" max="21" width="12.26953125" customWidth="1"/>
    <col min="24" max="24" width="11.81640625" customWidth="1"/>
    <col min="40" max="40" width="10.54296875" bestFit="1" customWidth="1"/>
    <col min="41" max="41" width="9" bestFit="1" customWidth="1"/>
    <col min="42" max="42" width="9.453125" bestFit="1" customWidth="1"/>
  </cols>
  <sheetData>
    <row r="1" spans="3:42" ht="13" thickBot="1" x14ac:dyDescent="0.3"/>
    <row r="2" spans="3:42" ht="15" thickBot="1" x14ac:dyDescent="0.3">
      <c r="L2" s="216" t="s">
        <v>167</v>
      </c>
      <c r="M2" s="217"/>
      <c r="N2" s="218"/>
      <c r="O2" s="216" t="s">
        <v>168</v>
      </c>
      <c r="P2" s="217"/>
      <c r="Q2" s="218"/>
      <c r="R2" s="216" t="s">
        <v>178</v>
      </c>
      <c r="S2" s="217"/>
      <c r="T2" s="218"/>
      <c r="AD2" s="102" t="s">
        <v>171</v>
      </c>
    </row>
    <row r="3" spans="3:42" ht="21.5" thickBot="1" x14ac:dyDescent="0.3">
      <c r="C3" s="215" t="s">
        <v>156</v>
      </c>
      <c r="D3" s="215"/>
      <c r="E3" s="215"/>
      <c r="F3" s="215"/>
      <c r="G3" s="215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5" t="s">
        <v>167</v>
      </c>
      <c r="AN3" s="155"/>
      <c r="AO3" s="150"/>
      <c r="AP3" s="150"/>
    </row>
    <row r="4" spans="3:42" ht="15" thickBot="1" x14ac:dyDescent="0.3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1">
        <f>AVERAGE(AN5:AP5)</f>
        <v>1.383820267553892</v>
      </c>
      <c r="W4" s="161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" thickBot="1" x14ac:dyDescent="0.3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1">
        <f>AVERAGE(AN8:AP8)</f>
        <v>1</v>
      </c>
      <c r="W5" s="161">
        <f t="shared" ref="W5:W12" si="1">SUM(U5*V5)</f>
        <v>90.104603265666654</v>
      </c>
      <c r="AA5" s="139" t="s">
        <v>110</v>
      </c>
      <c r="AB5" s="157">
        <f>AVERAGE(AH5:AI5)*AO5</f>
        <v>323.125</v>
      </c>
      <c r="AC5" s="158">
        <f>AF5*AP5</f>
        <v>539.15574963609902</v>
      </c>
      <c r="AD5" s="158">
        <f>AG5*AN5</f>
        <v>200</v>
      </c>
      <c r="AE5" s="2"/>
      <c r="AF5" s="140">
        <v>400</v>
      </c>
      <c r="AG5" s="140">
        <v>140</v>
      </c>
      <c r="AH5" s="141">
        <v>190</v>
      </c>
      <c r="AI5" s="140">
        <v>280</v>
      </c>
      <c r="AM5" s="75" t="s">
        <v>111</v>
      </c>
      <c r="AN5" s="151">
        <v>1.4285714285714286</v>
      </c>
      <c r="AO5" s="151">
        <v>1.375</v>
      </c>
      <c r="AP5" s="151">
        <v>1.3478893740902476</v>
      </c>
    </row>
    <row r="6" spans="3:42" ht="15" thickBot="1" x14ac:dyDescent="0.3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1">
        <f t="shared" ref="V6:V7" si="2">AVERAGE(AN9:AP9)</f>
        <v>1</v>
      </c>
      <c r="W6" s="161">
        <f t="shared" si="1"/>
        <v>115.45560966933333</v>
      </c>
      <c r="AA6" s="142" t="s">
        <v>112</v>
      </c>
      <c r="AB6" s="157">
        <f t="shared" ref="AB6:AB19" si="3">AVERAGE(AH6:AI6)*AO6</f>
        <v>646.25</v>
      </c>
      <c r="AC6" s="159">
        <f t="shared" ref="AC6:AC19" si="4">AF6*AP6</f>
        <v>1078.311499272198</v>
      </c>
      <c r="AD6" s="159">
        <f t="shared" ref="AD6:AD19" si="5">AG6*AN6</f>
        <v>400</v>
      </c>
      <c r="AE6" s="2"/>
      <c r="AF6" s="143">
        <v>800</v>
      </c>
      <c r="AG6" s="143">
        <v>280</v>
      </c>
      <c r="AH6" s="144">
        <v>380</v>
      </c>
      <c r="AI6" s="143">
        <v>560</v>
      </c>
      <c r="AM6" s="75" t="s">
        <v>111</v>
      </c>
      <c r="AN6" s="151">
        <v>1.4285714285714286</v>
      </c>
      <c r="AO6" s="151">
        <v>1.375</v>
      </c>
      <c r="AP6" s="151">
        <v>1.3478893740902476</v>
      </c>
    </row>
    <row r="7" spans="3:42" ht="14.5" x14ac:dyDescent="0.25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1">
        <f t="shared" si="2"/>
        <v>1</v>
      </c>
      <c r="W7" s="161">
        <f t="shared" si="1"/>
        <v>139.59487310199998</v>
      </c>
      <c r="AA7" s="142" t="s">
        <v>113</v>
      </c>
      <c r="AB7" s="157">
        <f t="shared" si="3"/>
        <v>804.375</v>
      </c>
      <c r="AC7" s="159">
        <f t="shared" si="4"/>
        <v>1213.1004366812228</v>
      </c>
      <c r="AD7" s="159">
        <f t="shared" si="5"/>
        <v>500</v>
      </c>
      <c r="AE7" s="2"/>
      <c r="AF7" s="143">
        <v>900</v>
      </c>
      <c r="AG7" s="143">
        <v>350</v>
      </c>
      <c r="AH7" s="144">
        <v>470</v>
      </c>
      <c r="AI7" s="143">
        <v>700</v>
      </c>
      <c r="AM7" s="75" t="s">
        <v>111</v>
      </c>
      <c r="AN7" s="151">
        <v>1.4285714285714286</v>
      </c>
      <c r="AO7" s="151">
        <v>1.375</v>
      </c>
      <c r="AP7" s="151">
        <v>1.3478893740902476</v>
      </c>
    </row>
    <row r="8" spans="3:42" ht="14.5" x14ac:dyDescent="0.25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1">
        <f>AVERAGE(AN11:AP11)</f>
        <v>0.6377180975298572</v>
      </c>
      <c r="W8" s="161">
        <f t="shared" si="1"/>
        <v>120.43926757062792</v>
      </c>
      <c r="AA8" s="142" t="s">
        <v>114</v>
      </c>
      <c r="AB8" s="157">
        <f t="shared" si="3"/>
        <v>745</v>
      </c>
      <c r="AC8" s="159">
        <f t="shared" si="4"/>
        <v>1200</v>
      </c>
      <c r="AD8" s="159">
        <f t="shared" si="5"/>
        <v>440</v>
      </c>
      <c r="AE8" s="2"/>
      <c r="AF8" s="145">
        <v>1200</v>
      </c>
      <c r="AG8" s="143">
        <v>440</v>
      </c>
      <c r="AH8" s="144">
        <v>590</v>
      </c>
      <c r="AI8" s="143">
        <v>900</v>
      </c>
      <c r="AM8" s="80" t="s">
        <v>114</v>
      </c>
      <c r="AN8" s="152">
        <v>1</v>
      </c>
      <c r="AO8" s="152">
        <v>1</v>
      </c>
      <c r="AP8" s="152">
        <v>1</v>
      </c>
    </row>
    <row r="9" spans="3:42" ht="14.5" x14ac:dyDescent="0.3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1">
        <f>AVERAGE(AN14:AP14)</f>
        <v>0.66169935385599443</v>
      </c>
      <c r="W9" s="161">
        <f t="shared" si="1"/>
        <v>172.38609765153132</v>
      </c>
      <c r="AA9" s="142" t="s">
        <v>115</v>
      </c>
      <c r="AB9" s="157">
        <f t="shared" si="3"/>
        <v>950</v>
      </c>
      <c r="AC9" s="159">
        <f t="shared" si="4"/>
        <v>1500</v>
      </c>
      <c r="AD9" s="159">
        <f t="shared" si="5"/>
        <v>570</v>
      </c>
      <c r="AE9" s="2"/>
      <c r="AF9" s="145">
        <v>1500</v>
      </c>
      <c r="AG9" s="143">
        <v>570</v>
      </c>
      <c r="AH9" s="144">
        <v>800</v>
      </c>
      <c r="AI9" s="145">
        <v>1100</v>
      </c>
      <c r="AM9" s="85" t="s">
        <v>115</v>
      </c>
      <c r="AN9" s="153">
        <v>1</v>
      </c>
      <c r="AO9" s="153">
        <v>1</v>
      </c>
      <c r="AP9" s="153">
        <v>1</v>
      </c>
    </row>
    <row r="10" spans="3:42" ht="14.5" x14ac:dyDescent="0.25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1">
        <f>AVERAGE(AN16:AP16)</f>
        <v>0.67657105591908995</v>
      </c>
      <c r="W10" s="161">
        <f t="shared" si="1"/>
        <v>228.41069037331087</v>
      </c>
      <c r="AA10" s="142" t="s">
        <v>116</v>
      </c>
      <c r="AB10" s="157">
        <f t="shared" si="3"/>
        <v>1150</v>
      </c>
      <c r="AC10" s="159">
        <f t="shared" si="4"/>
        <v>1900</v>
      </c>
      <c r="AD10" s="159">
        <f t="shared" si="5"/>
        <v>700</v>
      </c>
      <c r="AE10" s="2"/>
      <c r="AF10" s="145">
        <v>1900</v>
      </c>
      <c r="AG10" s="143">
        <v>700</v>
      </c>
      <c r="AH10" s="144">
        <v>900</v>
      </c>
      <c r="AI10" s="145">
        <v>1400</v>
      </c>
      <c r="AM10" s="80" t="s">
        <v>116</v>
      </c>
      <c r="AN10" s="152">
        <v>1</v>
      </c>
      <c r="AO10" s="152">
        <v>1</v>
      </c>
      <c r="AP10" s="152">
        <v>1</v>
      </c>
    </row>
    <row r="11" spans="3:42" ht="14.5" x14ac:dyDescent="0.25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1">
        <f t="shared" ref="V11:V12" si="6">AVERAGE(AN17:AP17)</f>
        <v>0.67657105591908995</v>
      </c>
      <c r="W11" s="161">
        <f t="shared" si="1"/>
        <v>279.79706049863455</v>
      </c>
      <c r="AA11" s="142" t="s">
        <v>117</v>
      </c>
      <c r="AB11" s="157">
        <f t="shared" si="3"/>
        <v>862.03259827420902</v>
      </c>
      <c r="AC11" s="159">
        <f t="shared" si="4"/>
        <v>1432.4324324324325</v>
      </c>
      <c r="AD11" s="159">
        <f t="shared" si="5"/>
        <v>498.80478087649402</v>
      </c>
      <c r="AE11" s="2"/>
      <c r="AF11" s="145">
        <v>2200</v>
      </c>
      <c r="AG11" s="143">
        <v>800</v>
      </c>
      <c r="AH11" s="146">
        <v>1100</v>
      </c>
      <c r="AI11" s="145">
        <v>1600</v>
      </c>
      <c r="AM11" s="85" t="s">
        <v>118</v>
      </c>
      <c r="AN11" s="153">
        <v>0.62350597609561753</v>
      </c>
      <c r="AO11" s="153">
        <v>0.63854266538830295</v>
      </c>
      <c r="AP11" s="153">
        <v>0.65110565110565111</v>
      </c>
    </row>
    <row r="12" spans="3:42" ht="15" thickBot="1" x14ac:dyDescent="0.3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1">
        <f t="shared" si="6"/>
        <v>0.69007410579573669</v>
      </c>
      <c r="W12" s="161">
        <f t="shared" si="1"/>
        <v>432.33167205100443</v>
      </c>
      <c r="AA12" s="142" t="s">
        <v>119</v>
      </c>
      <c r="AB12" s="157">
        <f t="shared" si="3"/>
        <v>1021.6682646212847</v>
      </c>
      <c r="AC12" s="159">
        <f t="shared" si="4"/>
        <v>1692.874692874693</v>
      </c>
      <c r="AD12" s="159">
        <f t="shared" si="5"/>
        <v>623.50597609561748</v>
      </c>
      <c r="AE12" s="2"/>
      <c r="AF12" s="145">
        <v>2600</v>
      </c>
      <c r="AG12" s="145">
        <v>1000</v>
      </c>
      <c r="AH12" s="146">
        <v>1300</v>
      </c>
      <c r="AI12" s="145">
        <v>1900</v>
      </c>
      <c r="AM12" s="85"/>
      <c r="AN12" s="153">
        <v>0.62350597609561753</v>
      </c>
      <c r="AO12" s="153">
        <v>0.63854266538830295</v>
      </c>
      <c r="AP12" s="153">
        <v>0.65110565110565111</v>
      </c>
    </row>
    <row r="13" spans="3:42" ht="15" thickBot="1" x14ac:dyDescent="0.3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2" t="s">
        <v>120</v>
      </c>
      <c r="AB13" s="157">
        <f t="shared" si="3"/>
        <v>1181.3039309683604</v>
      </c>
      <c r="AC13" s="159">
        <f t="shared" si="4"/>
        <v>1888.2063882063883</v>
      </c>
      <c r="AD13" s="159">
        <f t="shared" si="5"/>
        <v>685.85657370517924</v>
      </c>
      <c r="AE13" s="2"/>
      <c r="AF13" s="145">
        <v>2900</v>
      </c>
      <c r="AG13" s="145">
        <v>1100</v>
      </c>
      <c r="AH13" s="146">
        <v>1500</v>
      </c>
      <c r="AI13" s="145">
        <v>2200</v>
      </c>
      <c r="AM13" s="85"/>
      <c r="AN13" s="153">
        <v>0.62350597609561753</v>
      </c>
      <c r="AO13" s="153">
        <v>0.63854266538830295</v>
      </c>
      <c r="AP13" s="153">
        <v>0.65110565110565111</v>
      </c>
    </row>
    <row r="14" spans="3:42" ht="15" thickBot="1" x14ac:dyDescent="0.3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2" t="s">
        <v>121</v>
      </c>
      <c r="AB14" s="157">
        <f t="shared" si="3"/>
        <v>1433.8643942200815</v>
      </c>
      <c r="AC14" s="159">
        <f t="shared" si="4"/>
        <v>2364.0040444893834</v>
      </c>
      <c r="AD14" s="159">
        <f t="shared" si="5"/>
        <v>835.58106169296991</v>
      </c>
      <c r="AE14" s="2"/>
      <c r="AF14" s="145">
        <v>3500</v>
      </c>
      <c r="AG14" s="145">
        <v>1300</v>
      </c>
      <c r="AH14" s="146">
        <v>1700</v>
      </c>
      <c r="AI14" s="145">
        <v>2600</v>
      </c>
      <c r="AM14" s="80" t="s">
        <v>122</v>
      </c>
      <c r="AN14" s="152">
        <v>0.64275466284074612</v>
      </c>
      <c r="AO14" s="152">
        <v>0.6669136717302705</v>
      </c>
      <c r="AP14" s="152">
        <v>0.67542972699696668</v>
      </c>
    </row>
    <row r="15" spans="3:42" ht="14.5" x14ac:dyDescent="0.25">
      <c r="L15" t="s">
        <v>177</v>
      </c>
      <c r="AA15" s="142" t="s">
        <v>123</v>
      </c>
      <c r="AB15" s="157">
        <f t="shared" si="3"/>
        <v>1700.6298629121898</v>
      </c>
      <c r="AC15" s="159">
        <f t="shared" si="4"/>
        <v>2769.2618806875635</v>
      </c>
      <c r="AD15" s="159">
        <f t="shared" si="5"/>
        <v>964.13199426111919</v>
      </c>
      <c r="AE15" s="2"/>
      <c r="AF15" s="145">
        <v>4100</v>
      </c>
      <c r="AG15" s="145">
        <v>1500</v>
      </c>
      <c r="AH15" s="146">
        <v>2000</v>
      </c>
      <c r="AI15" s="145">
        <v>3100</v>
      </c>
      <c r="AM15" s="80"/>
      <c r="AN15" s="152">
        <v>0.64275466284074612</v>
      </c>
      <c r="AO15" s="152">
        <v>0.6669136717302705</v>
      </c>
      <c r="AP15" s="152">
        <v>0.67542972699696668</v>
      </c>
    </row>
    <row r="16" spans="3:42" ht="15" thickBot="1" x14ac:dyDescent="0.3">
      <c r="L16" s="2" t="s">
        <v>180</v>
      </c>
      <c r="O16" t="s">
        <v>204</v>
      </c>
      <c r="AA16" s="142" t="s">
        <v>124</v>
      </c>
      <c r="AB16" s="157">
        <f t="shared" si="3"/>
        <v>1978.8338900698452</v>
      </c>
      <c r="AC16" s="159">
        <f t="shared" si="4"/>
        <v>3233.030303030303</v>
      </c>
      <c r="AD16" s="159">
        <f t="shared" si="5"/>
        <v>1187.0601589103292</v>
      </c>
      <c r="AE16" s="2"/>
      <c r="AF16" s="145">
        <v>4700</v>
      </c>
      <c r="AG16" s="145">
        <v>1800</v>
      </c>
      <c r="AH16" s="146">
        <v>2300</v>
      </c>
      <c r="AI16" s="145">
        <v>3500</v>
      </c>
      <c r="AM16" s="85" t="s">
        <v>125</v>
      </c>
      <c r="AN16" s="153">
        <v>0.65947786606129399</v>
      </c>
      <c r="AO16" s="153">
        <v>0.68235651381718798</v>
      </c>
      <c r="AP16" s="153">
        <v>0.68787878787878787</v>
      </c>
    </row>
    <row r="17" spans="1:42" ht="15" thickBot="1" x14ac:dyDescent="0.3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2" t="s">
        <v>126</v>
      </c>
      <c r="AB17" s="157">
        <f t="shared" si="3"/>
        <v>2251.7764955967205</v>
      </c>
      <c r="AC17" s="159">
        <f t="shared" si="4"/>
        <v>3645.7575757575755</v>
      </c>
      <c r="AD17" s="159">
        <f t="shared" si="5"/>
        <v>1318.955732122588</v>
      </c>
      <c r="AE17" s="2"/>
      <c r="AF17" s="145">
        <v>5300</v>
      </c>
      <c r="AG17" s="145">
        <v>2000</v>
      </c>
      <c r="AH17" s="146">
        <v>2600</v>
      </c>
      <c r="AI17" s="145">
        <v>4000</v>
      </c>
      <c r="AM17" s="85"/>
      <c r="AN17" s="153">
        <v>0.65947786606129399</v>
      </c>
      <c r="AO17" s="153">
        <v>0.68235651381718798</v>
      </c>
      <c r="AP17" s="153">
        <v>0.68787878787878787</v>
      </c>
    </row>
    <row r="18" spans="1:42" ht="14.5" x14ac:dyDescent="0.3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203</v>
      </c>
      <c r="O18" s="75" t="s">
        <v>111</v>
      </c>
      <c r="P18" s="162">
        <f t="shared" ref="P18:P25" si="9">1-W4/$W$12</f>
        <v>0.82657317923529827</v>
      </c>
      <c r="Q18" s="163">
        <f t="shared" ref="Q18:Q24" si="10">1-W4/$W$11</f>
        <v>0.73202753715113</v>
      </c>
      <c r="R18" s="163">
        <f t="shared" ref="R18:R23" si="11">1-W4/$W$10</f>
        <v>0.67174081354445081</v>
      </c>
      <c r="S18" s="163">
        <f>1-W4/$W$9</f>
        <v>0.56505827081684434</v>
      </c>
      <c r="T18" s="163">
        <f>1-W4/$W$8</f>
        <v>0.37746294118133139</v>
      </c>
      <c r="U18" s="163">
        <f>1-W4/$W$7</f>
        <v>0.46288924705058421</v>
      </c>
      <c r="V18" s="164">
        <f>1-W4/$W$6</f>
        <v>0.35059104001588781</v>
      </c>
      <c r="W18" s="164">
        <f>1-W4/$W$5</f>
        <v>0.1678792793901257</v>
      </c>
      <c r="AA18" s="142" t="s">
        <v>127</v>
      </c>
      <c r="AB18" s="157">
        <f t="shared" si="3"/>
        <v>2739.9647887323945</v>
      </c>
      <c r="AC18" s="159">
        <f t="shared" si="4"/>
        <v>4403.3907830648186</v>
      </c>
      <c r="AD18" s="159">
        <f t="shared" si="5"/>
        <v>1626.2626262626261</v>
      </c>
      <c r="AE18" s="2"/>
      <c r="AF18" s="145">
        <v>6300</v>
      </c>
      <c r="AG18" s="145">
        <v>2400</v>
      </c>
      <c r="AH18" s="146">
        <v>3200</v>
      </c>
      <c r="AI18" s="145">
        <v>4700</v>
      </c>
      <c r="AM18" s="80" t="s">
        <v>127</v>
      </c>
      <c r="AN18" s="152">
        <v>0.67760942760942755</v>
      </c>
      <c r="AO18" s="152">
        <v>0.69366197183098599</v>
      </c>
      <c r="AP18" s="152">
        <v>0.69895091794679653</v>
      </c>
    </row>
    <row r="19" spans="1:42" ht="15" thickBot="1" x14ac:dyDescent="0.3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88" t="s">
        <v>114</v>
      </c>
      <c r="P19" s="162">
        <f t="shared" si="9"/>
        <v>0.79158454239957576</v>
      </c>
      <c r="Q19" s="163">
        <f t="shared" si="10"/>
        <v>0.67796443927935268</v>
      </c>
      <c r="R19" s="163">
        <f t="shared" si="11"/>
        <v>0.60551494714016629</v>
      </c>
      <c r="S19" s="163">
        <f>1-W5/$W$9</f>
        <v>0.47730933936559095</v>
      </c>
      <c r="T19" s="164">
        <f>1-W5/$W$8</f>
        <v>0.25186689455058697</v>
      </c>
      <c r="U19" s="164">
        <f>1-W5/$W$7</f>
        <v>0.35452784716650365</v>
      </c>
      <c r="V19" s="164">
        <f>1-W5/$W$6</f>
        <v>0.21957362207234754</v>
      </c>
      <c r="W19" s="162"/>
      <c r="AA19" s="147" t="s">
        <v>128</v>
      </c>
      <c r="AB19" s="157">
        <f t="shared" si="3"/>
        <v>2702.039715087416</v>
      </c>
      <c r="AC19" s="160">
        <f t="shared" si="4"/>
        <v>4397.9254406488853</v>
      </c>
      <c r="AD19" s="160">
        <f t="shared" si="5"/>
        <v>1686.5833785985876</v>
      </c>
      <c r="AE19" s="2"/>
      <c r="AF19" s="148">
        <v>7900</v>
      </c>
      <c r="AG19" s="148">
        <v>3000</v>
      </c>
      <c r="AH19" s="149">
        <v>4000</v>
      </c>
      <c r="AI19" s="148">
        <v>5900</v>
      </c>
      <c r="AM19" s="91" t="s">
        <v>128</v>
      </c>
      <c r="AN19" s="154">
        <v>0.56219445953286251</v>
      </c>
      <c r="AO19" s="154">
        <v>0.54586660910856888</v>
      </c>
      <c r="AP19" s="154">
        <v>0.55669942286694751</v>
      </c>
    </row>
    <row r="20" spans="1:42" ht="15" thickBot="1" x14ac:dyDescent="0.3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0" t="s">
        <v>115</v>
      </c>
      <c r="P20" s="184">
        <f t="shared" si="9"/>
        <v>0.73294667697694738</v>
      </c>
      <c r="Q20" s="185">
        <f t="shared" si="10"/>
        <v>0.58735946166276198</v>
      </c>
      <c r="R20" s="185">
        <f t="shared" si="11"/>
        <v>0.49452624358065522</v>
      </c>
      <c r="S20" s="186">
        <f>1-W6/$W$9</f>
        <v>0.33024987953077123</v>
      </c>
      <c r="T20" s="186">
        <f>1-W6/$W$8</f>
        <v>4.1379012026721895E-2</v>
      </c>
      <c r="U20" s="187">
        <f>1-W6/$W$7</f>
        <v>0.17292371056513256</v>
      </c>
      <c r="V20" s="162"/>
      <c r="W20" s="162"/>
      <c r="AA20" s="137" t="s">
        <v>172</v>
      </c>
    </row>
    <row r="21" spans="1:42" ht="15" thickBot="1" x14ac:dyDescent="0.3">
      <c r="F21" s="108">
        <f>SUM(F18:F20)</f>
        <v>766351.7209999999</v>
      </c>
      <c r="G21" s="66"/>
      <c r="O21" s="189" t="s">
        <v>116</v>
      </c>
      <c r="P21" s="163">
        <f t="shared" si="9"/>
        <v>0.67711162025267657</v>
      </c>
      <c r="Q21" s="163">
        <f t="shared" si="10"/>
        <v>0.50108527640274758</v>
      </c>
      <c r="R21" s="163">
        <f t="shared" si="11"/>
        <v>0.38884264622707332</v>
      </c>
      <c r="S21" s="164">
        <f>1-W7/$W$9</f>
        <v>0.19021965805976382</v>
      </c>
      <c r="T21" s="164">
        <f>IF(1-W7/$W$8&lt;0,0)</f>
        <v>0</v>
      </c>
      <c r="U21" s="162"/>
      <c r="V21" s="162"/>
      <c r="W21" s="162"/>
      <c r="AA21" s="138" t="s">
        <v>173</v>
      </c>
    </row>
    <row r="22" spans="1:42" ht="14.5" x14ac:dyDescent="0.25">
      <c r="F22" s="72" t="s">
        <v>158</v>
      </c>
      <c r="G22" s="72" t="s">
        <v>159</v>
      </c>
      <c r="H22" s="72" t="s">
        <v>157</v>
      </c>
      <c r="O22" s="85" t="s">
        <v>118</v>
      </c>
      <c r="P22" s="163">
        <f t="shared" si="9"/>
        <v>0.72141928210057427</v>
      </c>
      <c r="Q22" s="163">
        <f t="shared" si="10"/>
        <v>0.56954777381867572</v>
      </c>
      <c r="R22" s="163">
        <f t="shared" si="11"/>
        <v>0.47270739660309302</v>
      </c>
      <c r="S22" s="164">
        <f>1-W8/$W$9</f>
        <v>0.30134001980780933</v>
      </c>
      <c r="T22" s="162"/>
      <c r="U22" s="162"/>
      <c r="V22" s="162"/>
      <c r="W22" s="162"/>
    </row>
    <row r="23" spans="1:42" ht="14.5" x14ac:dyDescent="0.25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3">
        <f t="shared" si="9"/>
        <v>0.60126424040662463</v>
      </c>
      <c r="Q23" s="163">
        <f t="shared" si="10"/>
        <v>0.38388881804434616</v>
      </c>
      <c r="R23" s="164">
        <f t="shared" si="11"/>
        <v>0.24528008137541124</v>
      </c>
      <c r="S23" s="162"/>
      <c r="T23" s="162"/>
      <c r="U23" s="162"/>
      <c r="V23" s="162"/>
      <c r="W23" s="162"/>
    </row>
    <row r="24" spans="1:42" ht="14.5" x14ac:dyDescent="0.25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3">
        <f t="shared" si="9"/>
        <v>0.47167717486503269</v>
      </c>
      <c r="Q24" s="164">
        <f t="shared" si="10"/>
        <v>0.18365586126511313</v>
      </c>
      <c r="R24" s="162"/>
      <c r="S24" s="162"/>
      <c r="T24" s="162"/>
      <c r="U24" s="162"/>
      <c r="V24" s="162"/>
      <c r="W24" s="162"/>
    </row>
    <row r="25" spans="1:42" ht="14.5" x14ac:dyDescent="0.25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4">
        <f t="shared" si="9"/>
        <v>0.3528184988824381</v>
      </c>
      <c r="Q25" s="164"/>
      <c r="R25" s="162"/>
      <c r="S25" s="162"/>
      <c r="T25" s="162"/>
      <c r="U25" s="162"/>
      <c r="V25" s="162"/>
      <c r="W25" s="162"/>
    </row>
    <row r="26" spans="1:42" ht="20.25" customHeight="1" x14ac:dyDescent="0.25"/>
    <row r="27" spans="1:42" x14ac:dyDescent="0.25">
      <c r="C27" s="71"/>
    </row>
    <row r="28" spans="1:42" ht="16.5" customHeight="1" thickBot="1" x14ac:dyDescent="0.3">
      <c r="C28" s="70"/>
      <c r="H28" s="107"/>
      <c r="I28" s="107"/>
      <c r="J28" s="107"/>
    </row>
    <row r="29" spans="1:42" ht="13.5" customHeight="1" thickBot="1" x14ac:dyDescent="0.35">
      <c r="A29" s="101" t="s">
        <v>170</v>
      </c>
      <c r="C29" s="219" t="s">
        <v>155</v>
      </c>
      <c r="D29" s="220"/>
      <c r="E29" s="220"/>
      <c r="F29" s="220"/>
      <c r="G29" s="221"/>
      <c r="H29" s="219" t="s">
        <v>174</v>
      </c>
      <c r="I29" s="220"/>
      <c r="J29" s="220"/>
      <c r="K29" s="220"/>
      <c r="L29" s="221"/>
      <c r="M29" s="213" t="s">
        <v>182</v>
      </c>
      <c r="N29" s="214"/>
      <c r="O29" s="214"/>
      <c r="P29" s="213" t="s">
        <v>183</v>
      </c>
      <c r="Q29" s="214"/>
      <c r="R29" s="214"/>
      <c r="S29" s="213" t="s">
        <v>184</v>
      </c>
      <c r="T29" s="214"/>
      <c r="U29" s="214"/>
      <c r="V29" s="213" t="s">
        <v>184</v>
      </c>
      <c r="W29" s="214"/>
      <c r="X29" s="214"/>
    </row>
    <row r="30" spans="1:42" ht="21" x14ac:dyDescent="0.3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6" t="s">
        <v>174</v>
      </c>
    </row>
    <row r="31" spans="1:42" x14ac:dyDescent="0.25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5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5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6" t="s">
        <v>202</v>
      </c>
    </row>
    <row r="34" spans="3:27" x14ac:dyDescent="0.25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5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5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5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5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5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5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5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5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5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5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5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5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5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5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5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5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5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5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5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5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5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5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5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ht="13" x14ac:dyDescent="0.3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ht="13" x14ac:dyDescent="0.3">
      <c r="C60" t="s">
        <v>175</v>
      </c>
      <c r="S60" s="165" cm="1">
        <f t="array" ref="S60">S38+AVERAGE(S40:S41)+AVERAGE(S43:S45)+AVERAGE(S47:S50+AVERAGE(S53:S56))</f>
        <v>22294.679797673529</v>
      </c>
      <c r="T60" s="165" cm="1">
        <f t="array" ref="T60">T38+AVERAGE(T40:T41)+AVERAGE(T43:T45)+AVERAGE(T47:T50+AVERAGE(T53:T56))</f>
        <v>24114.356797661487</v>
      </c>
      <c r="U60" s="165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2024-09-04T16:16:45Z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591518580913543</vt:r8>
  </property>
</Properties>
</file>