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F314D12D-165B-427A-8959-33A030777281}" xr6:coauthVersionLast="47" xr6:coauthVersionMax="47" xr10:uidLastSave="{00000000-0000-0000-0000-000000000000}"/>
  <bookViews>
    <workbookView xWindow="-120" yWindow="-120" windowWidth="29040" windowHeight="15720" firstSheet="9" activeTab="15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9" i="52" l="1"/>
  <c r="V8" i="52"/>
  <c r="V50" i="52"/>
  <c r="V49" i="52"/>
  <c r="V44" i="52"/>
  <c r="V38" i="52"/>
  <c r="V37" i="52"/>
  <c r="V36" i="52"/>
  <c r="V35" i="52"/>
  <c r="V34" i="52"/>
  <c r="V33" i="52"/>
  <c r="V24" i="52"/>
  <c r="V10" i="52"/>
  <c r="V9" i="51"/>
  <c r="V50" i="51"/>
  <c r="V49" i="51"/>
  <c r="V44" i="51"/>
  <c r="V36" i="51"/>
  <c r="V35" i="51"/>
  <c r="V34" i="51"/>
  <c r="V24" i="51"/>
  <c r="V23" i="51"/>
  <c r="V20" i="51"/>
  <c r="V18" i="51"/>
  <c r="V16" i="51"/>
  <c r="V14" i="51"/>
  <c r="V12" i="51"/>
  <c r="V11" i="51"/>
  <c r="V10" i="51"/>
  <c r="V8" i="51"/>
  <c r="V7" i="51"/>
  <c r="V50" i="28"/>
  <c r="V49" i="28"/>
  <c r="V46" i="28"/>
  <c r="V44" i="28"/>
  <c r="V40" i="28"/>
  <c r="V36" i="28"/>
  <c r="V35" i="28"/>
  <c r="V34" i="28"/>
  <c r="V33" i="28"/>
  <c r="V24" i="28"/>
  <c r="V23" i="28"/>
  <c r="V20" i="28"/>
  <c r="V18" i="28"/>
  <c r="V16" i="28"/>
  <c r="V14" i="28"/>
  <c r="V12" i="28"/>
  <c r="V11" i="28"/>
  <c r="V10" i="28"/>
  <c r="V9" i="28"/>
  <c r="V8" i="28"/>
  <c r="V7" i="28"/>
  <c r="AC50" i="52"/>
  <c r="AC49" i="52"/>
  <c r="AC48" i="52"/>
  <c r="AC47" i="52"/>
  <c r="AC46" i="52"/>
  <c r="AC44" i="52"/>
  <c r="AC42" i="52"/>
  <c r="AC40" i="52"/>
  <c r="AC38" i="52"/>
  <c r="AC37" i="52"/>
  <c r="AC36" i="52"/>
  <c r="AC35" i="52"/>
  <c r="AC34" i="52"/>
  <c r="AC33" i="52"/>
  <c r="AC24" i="52"/>
  <c r="AC23" i="52"/>
  <c r="AC22" i="52"/>
  <c r="AC21" i="52"/>
  <c r="AC20" i="52"/>
  <c r="AC18" i="52"/>
  <c r="AC16" i="52"/>
  <c r="AC14" i="52"/>
  <c r="AC12" i="52"/>
  <c r="AC11" i="52"/>
  <c r="AC10" i="52"/>
  <c r="AC9" i="52"/>
  <c r="AC8" i="52"/>
  <c r="AC7" i="52"/>
  <c r="AC50" i="51"/>
  <c r="AC49" i="51"/>
  <c r="AC48" i="51"/>
  <c r="AC47" i="51"/>
  <c r="AC46" i="51"/>
  <c r="AC44" i="51"/>
  <c r="AC42" i="51"/>
  <c r="AC40" i="51"/>
  <c r="AC38" i="51"/>
  <c r="AC37" i="51"/>
  <c r="AC36" i="51"/>
  <c r="AC35" i="51"/>
  <c r="AC34" i="51"/>
  <c r="AC33" i="51"/>
  <c r="AC24" i="51"/>
  <c r="AC23" i="51"/>
  <c r="AC22" i="51"/>
  <c r="AC21" i="51"/>
  <c r="AC20" i="51"/>
  <c r="AC18" i="51"/>
  <c r="AC16" i="51"/>
  <c r="AC14" i="51"/>
  <c r="AC12" i="51"/>
  <c r="AC11" i="51"/>
  <c r="AC10" i="51"/>
  <c r="AC9" i="51"/>
  <c r="AC8" i="51"/>
  <c r="AC7" i="51"/>
  <c r="AC50" i="28"/>
  <c r="AC49" i="28"/>
  <c r="AC48" i="28"/>
  <c r="AC47" i="28"/>
  <c r="AC46" i="28"/>
  <c r="AC44" i="28"/>
  <c r="AC42" i="28"/>
  <c r="AC40" i="28"/>
  <c r="AC38" i="28"/>
  <c r="AC37" i="28"/>
  <c r="AC36" i="28"/>
  <c r="AC35" i="28"/>
  <c r="AC34" i="28"/>
  <c r="AC33" i="28"/>
  <c r="AC24" i="28"/>
  <c r="AC23" i="28"/>
  <c r="AC22" i="28"/>
  <c r="AC21" i="28"/>
  <c r="AC20" i="28"/>
  <c r="AC18" i="28"/>
  <c r="AC16" i="28"/>
  <c r="AC14" i="28"/>
  <c r="AC12" i="28"/>
  <c r="AC11" i="28"/>
  <c r="AC10" i="28"/>
  <c r="AC9" i="28"/>
  <c r="AC8" i="28"/>
  <c r="AC7" i="28"/>
  <c r="T14" i="51"/>
  <c r="T14" i="52"/>
  <c r="T14" i="28"/>
  <c r="O42" i="52"/>
  <c r="O16" i="52"/>
  <c r="O16" i="51"/>
  <c r="O42" i="51"/>
  <c r="O42" i="28"/>
  <c r="O16" i="28"/>
  <c r="F22" i="48"/>
  <c r="L6" i="48"/>
  <c r="I6" i="48"/>
  <c r="L5" i="48"/>
  <c r="AQ71" i="24"/>
  <c r="AB71" i="24"/>
  <c r="L71" i="24"/>
  <c r="H71" i="24"/>
  <c r="C71" i="24"/>
  <c r="AB70" i="24"/>
  <c r="L70" i="24"/>
  <c r="H70" i="24"/>
  <c r="AQ70" i="24" s="1"/>
  <c r="C70" i="24"/>
  <c r="AB69" i="24"/>
  <c r="L69" i="24"/>
  <c r="H69" i="24"/>
  <c r="C69" i="24"/>
  <c r="AQ69" i="24" s="1"/>
  <c r="AB68" i="24"/>
  <c r="AQ68" i="24" s="1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Q66" i="24" s="1"/>
  <c r="AE65" i="24"/>
  <c r="AE57" i="24" s="1"/>
  <c r="AB65" i="24"/>
  <c r="V65" i="24"/>
  <c r="L65" i="24" s="1"/>
  <c r="H65" i="24"/>
  <c r="D65" i="24"/>
  <c r="C65" i="24" s="1"/>
  <c r="AB64" i="24"/>
  <c r="L64" i="24"/>
  <c r="AQ64" i="24" s="1"/>
  <c r="H64" i="24"/>
  <c r="C64" i="24"/>
  <c r="AB63" i="24"/>
  <c r="L63" i="24"/>
  <c r="H63" i="24"/>
  <c r="C63" i="24"/>
  <c r="AQ63" i="24" s="1"/>
  <c r="AQ62" i="24"/>
  <c r="AB62" i="24"/>
  <c r="L62" i="24"/>
  <c r="H62" i="24"/>
  <c r="C62" i="24"/>
  <c r="AB61" i="24"/>
  <c r="L61" i="24"/>
  <c r="H61" i="24"/>
  <c r="AQ61" i="24" s="1"/>
  <c r="C61" i="24"/>
  <c r="AB60" i="24"/>
  <c r="L60" i="24"/>
  <c r="H60" i="24"/>
  <c r="C60" i="24"/>
  <c r="AQ60" i="24" s="1"/>
  <c r="AB59" i="24"/>
  <c r="AQ59" i="24" s="1"/>
  <c r="L59" i="24"/>
  <c r="H59" i="24"/>
  <c r="C59" i="24"/>
  <c r="AP58" i="24"/>
  <c r="AP57" i="24" s="1"/>
  <c r="AN58" i="24"/>
  <c r="AN57" i="24" s="1"/>
  <c r="AJ58" i="24"/>
  <c r="AI58" i="24"/>
  <c r="AB58" i="24" s="1"/>
  <c r="AB57" i="24" s="1"/>
  <c r="AH58" i="24"/>
  <c r="AG58" i="24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V58" i="24"/>
  <c r="R58" i="24"/>
  <c r="R57" i="24" s="1"/>
  <c r="P58" i="24"/>
  <c r="P57" i="24" s="1"/>
  <c r="O58" i="24"/>
  <c r="O57" i="24" s="1"/>
  <c r="N58" i="24"/>
  <c r="N57" i="24" s="1"/>
  <c r="M58" i="24"/>
  <c r="L58" i="24" s="1"/>
  <c r="L57" i="24" s="1"/>
  <c r="K58" i="24"/>
  <c r="J58" i="24"/>
  <c r="I58" i="24"/>
  <c r="I57" i="24" s="1"/>
  <c r="F58" i="24"/>
  <c r="F57" i="24" s="1"/>
  <c r="C58" i="24"/>
  <c r="AO57" i="24"/>
  <c r="AM57" i="24"/>
  <c r="AL57" i="24"/>
  <c r="AK57" i="24"/>
  <c r="AJ57" i="24"/>
  <c r="AI57" i="24"/>
  <c r="AH57" i="24"/>
  <c r="AG57" i="24"/>
  <c r="AF57" i="24"/>
  <c r="AC57" i="24"/>
  <c r="AA57" i="24"/>
  <c r="W57" i="24"/>
  <c r="V57" i="24"/>
  <c r="U57" i="24"/>
  <c r="T57" i="24"/>
  <c r="S57" i="24"/>
  <c r="Q57" i="24"/>
  <c r="K57" i="24"/>
  <c r="J57" i="24"/>
  <c r="G57" i="24"/>
  <c r="E57" i="24"/>
  <c r="D57" i="24"/>
  <c r="AB56" i="24"/>
  <c r="L56" i="24"/>
  <c r="H56" i="24"/>
  <c r="C56" i="24"/>
  <c r="AQ56" i="24" s="1"/>
  <c r="AB55" i="24"/>
  <c r="L55" i="24"/>
  <c r="AQ55" i="24" s="1"/>
  <c r="H55" i="24"/>
  <c r="C55" i="24"/>
  <c r="AB54" i="24"/>
  <c r="L54" i="24"/>
  <c r="H54" i="24"/>
  <c r="C54" i="24"/>
  <c r="AQ54" i="24" s="1"/>
  <c r="AQ53" i="24"/>
  <c r="AB53" i="24"/>
  <c r="L53" i="24"/>
  <c r="H53" i="24"/>
  <c r="C53" i="24"/>
  <c r="AB52" i="24"/>
  <c r="L52" i="24"/>
  <c r="H52" i="24"/>
  <c r="AQ52" i="24" s="1"/>
  <c r="C52" i="24"/>
  <c r="AB51" i="24"/>
  <c r="L51" i="24"/>
  <c r="H51" i="24"/>
  <c r="C51" i="24"/>
  <c r="AQ51" i="24" s="1"/>
  <c r="AB50" i="24"/>
  <c r="AB45" i="24" s="1"/>
  <c r="L50" i="24"/>
  <c r="H50" i="24"/>
  <c r="C50" i="24"/>
  <c r="AB49" i="24"/>
  <c r="L49" i="24"/>
  <c r="H49" i="24"/>
  <c r="C49" i="24"/>
  <c r="AQ49" i="24" s="1"/>
  <c r="AB48" i="24"/>
  <c r="L48" i="24"/>
  <c r="H48" i="24"/>
  <c r="C48" i="24"/>
  <c r="AQ48" i="24" s="1"/>
  <c r="AB47" i="24"/>
  <c r="L47" i="24"/>
  <c r="AQ47" i="24" s="1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M29" i="24" s="1"/>
  <c r="AL45" i="24"/>
  <c r="AL29" i="24" s="1"/>
  <c r="AK45" i="24"/>
  <c r="AJ45" i="24"/>
  <c r="AI45" i="24"/>
  <c r="AH45" i="24"/>
  <c r="AG45" i="24"/>
  <c r="AF45" i="24"/>
  <c r="AE45" i="24"/>
  <c r="AE29" i="24" s="1"/>
  <c r="AD45" i="24"/>
  <c r="AD29" i="24" s="1"/>
  <c r="AC45" i="24"/>
  <c r="AA45" i="24"/>
  <c r="AA29" i="24" s="1"/>
  <c r="Z45" i="24"/>
  <c r="Y45" i="24"/>
  <c r="X45" i="24"/>
  <c r="W45" i="24"/>
  <c r="W29" i="24" s="1"/>
  <c r="V45" i="24"/>
  <c r="V29" i="24" s="1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D29" i="24" s="1"/>
  <c r="C45" i="24"/>
  <c r="AB44" i="24"/>
  <c r="L44" i="24"/>
  <c r="H44" i="24"/>
  <c r="C44" i="24"/>
  <c r="AQ44" i="24" s="1"/>
  <c r="AB43" i="24"/>
  <c r="L43" i="24"/>
  <c r="AQ43" i="24" s="1"/>
  <c r="H43" i="24"/>
  <c r="C43" i="24"/>
  <c r="AB42" i="24"/>
  <c r="L42" i="24"/>
  <c r="H42" i="24"/>
  <c r="C42" i="24"/>
  <c r="AQ42" i="24" s="1"/>
  <c r="AQ41" i="24"/>
  <c r="AB41" i="24"/>
  <c r="L41" i="24"/>
  <c r="H41" i="24"/>
  <c r="C41" i="24"/>
  <c r="AB40" i="24"/>
  <c r="L40" i="24"/>
  <c r="H40" i="24"/>
  <c r="AQ40" i="24" s="1"/>
  <c r="C40" i="24"/>
  <c r="AB39" i="24"/>
  <c r="L39" i="24"/>
  <c r="H39" i="24"/>
  <c r="C39" i="24"/>
  <c r="AQ39" i="24" s="1"/>
  <c r="AB38" i="24"/>
  <c r="AQ38" i="24" s="1"/>
  <c r="L38" i="24"/>
  <c r="H38" i="24"/>
  <c r="C38" i="24"/>
  <c r="AB37" i="24"/>
  <c r="L37" i="24"/>
  <c r="H37" i="24"/>
  <c r="C37" i="24"/>
  <c r="AQ37" i="24" s="1"/>
  <c r="AB36" i="24"/>
  <c r="L36" i="24"/>
  <c r="H36" i="24"/>
  <c r="C36" i="24"/>
  <c r="AQ36" i="24" s="1"/>
  <c r="AB35" i="24"/>
  <c r="L35" i="24"/>
  <c r="AQ35" i="24" s="1"/>
  <c r="H35" i="24"/>
  <c r="C35" i="24"/>
  <c r="AB34" i="24"/>
  <c r="L34" i="24"/>
  <c r="H34" i="24"/>
  <c r="C34" i="24"/>
  <c r="AQ34" i="24" s="1"/>
  <c r="AQ33" i="24"/>
  <c r="AB33" i="24"/>
  <c r="L33" i="24"/>
  <c r="H33" i="24"/>
  <c r="C33" i="24"/>
  <c r="AB32" i="24"/>
  <c r="AB30" i="24" s="1"/>
  <c r="L32" i="24"/>
  <c r="H32" i="24"/>
  <c r="AQ32" i="24" s="1"/>
  <c r="C32" i="24"/>
  <c r="AB31" i="24"/>
  <c r="L31" i="24"/>
  <c r="H31" i="24"/>
  <c r="H30" i="24" s="1"/>
  <c r="C31" i="24"/>
  <c r="AQ31" i="24" s="1"/>
  <c r="AP30" i="24"/>
  <c r="AP29" i="24" s="1"/>
  <c r="AN30" i="24"/>
  <c r="AM30" i="24"/>
  <c r="AL30" i="24"/>
  <c r="AK30" i="24"/>
  <c r="AK29" i="24" s="1"/>
  <c r="AJ30" i="24"/>
  <c r="AJ29" i="24" s="1"/>
  <c r="AI30" i="24"/>
  <c r="AI29" i="24" s="1"/>
  <c r="AH30" i="24"/>
  <c r="AH29" i="24" s="1"/>
  <c r="AG30" i="24"/>
  <c r="AG29" i="24" s="1"/>
  <c r="AF30" i="24"/>
  <c r="AE30" i="24"/>
  <c r="AD30" i="24"/>
  <c r="AC30" i="24"/>
  <c r="AC29" i="24" s="1"/>
  <c r="Z30" i="24"/>
  <c r="Z29" i="24" s="1"/>
  <c r="Y30" i="24"/>
  <c r="X30" i="24"/>
  <c r="W30" i="24"/>
  <c r="R30" i="24"/>
  <c r="P30" i="24"/>
  <c r="O30" i="24"/>
  <c r="O29" i="24" s="1"/>
  <c r="N30" i="24"/>
  <c r="N29" i="24" s="1"/>
  <c r="M30" i="24"/>
  <c r="M29" i="24" s="1"/>
  <c r="K30" i="24"/>
  <c r="K29" i="24" s="1"/>
  <c r="J30" i="24"/>
  <c r="I30" i="24"/>
  <c r="AO29" i="24"/>
  <c r="AN29" i="24"/>
  <c r="AF29" i="24"/>
  <c r="X29" i="24"/>
  <c r="R29" i="24"/>
  <c r="Q29" i="24"/>
  <c r="P29" i="24"/>
  <c r="J29" i="24"/>
  <c r="I29" i="24"/>
  <c r="AB28" i="24"/>
  <c r="AB27" i="24" s="1"/>
  <c r="H28" i="24"/>
  <c r="C28" i="24"/>
  <c r="AP27" i="24"/>
  <c r="AO27" i="24"/>
  <c r="AN27" i="24"/>
  <c r="AM27" i="24"/>
  <c r="AL27" i="24"/>
  <c r="AK27" i="24"/>
  <c r="AJ27" i="24"/>
  <c r="AJ8" i="24" s="1"/>
  <c r="AI27" i="24"/>
  <c r="AH27" i="24"/>
  <c r="AG27" i="24"/>
  <c r="AF27" i="24"/>
  <c r="AE27" i="24"/>
  <c r="AD27" i="24"/>
  <c r="AC27" i="24"/>
  <c r="AA27" i="24"/>
  <c r="V27" i="24"/>
  <c r="U27" i="24"/>
  <c r="T27" i="24"/>
  <c r="T8" i="24" s="1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D8" i="24" s="1"/>
  <c r="C27" i="24"/>
  <c r="AG26" i="24"/>
  <c r="AG72" i="24" s="1"/>
  <c r="Y26" i="24"/>
  <c r="Q26" i="24"/>
  <c r="Q72" i="24" s="1"/>
  <c r="I26" i="24"/>
  <c r="I72" i="24" s="1"/>
  <c r="AB25" i="24"/>
  <c r="AQ25" i="24" s="1"/>
  <c r="L25" i="24"/>
  <c r="H25" i="24"/>
  <c r="C25" i="24"/>
  <c r="AB24" i="24"/>
  <c r="L24" i="24"/>
  <c r="E24" i="24"/>
  <c r="E21" i="24" s="1"/>
  <c r="C24" i="24"/>
  <c r="AQ24" i="24" s="1"/>
  <c r="AQ23" i="24"/>
  <c r="AD22" i="24"/>
  <c r="AD21" i="24" s="1"/>
  <c r="AC22" i="24"/>
  <c r="AB22" i="24"/>
  <c r="AP21" i="24"/>
  <c r="AP26" i="24" s="1"/>
  <c r="AP72" i="24" s="1"/>
  <c r="AN21" i="24"/>
  <c r="AM21" i="24"/>
  <c r="AL21" i="24"/>
  <c r="AK21" i="24"/>
  <c r="AJ21" i="24"/>
  <c r="AI21" i="24"/>
  <c r="AI26" i="24" s="1"/>
  <c r="AH21" i="24"/>
  <c r="AH26" i="24" s="1"/>
  <c r="AH72" i="24" s="1"/>
  <c r="AG21" i="24"/>
  <c r="AF21" i="24"/>
  <c r="AE21" i="24"/>
  <c r="AC21" i="24"/>
  <c r="AB21" i="24"/>
  <c r="AA21" i="24"/>
  <c r="AA26" i="24" s="1"/>
  <c r="AA72" i="24" s="1"/>
  <c r="Z21" i="24"/>
  <c r="Z26" i="24" s="1"/>
  <c r="Y21" i="24"/>
  <c r="X21" i="24"/>
  <c r="W21" i="24"/>
  <c r="V21" i="24"/>
  <c r="U21" i="24"/>
  <c r="T21" i="24"/>
  <c r="S21" i="24"/>
  <c r="S26" i="24" s="1"/>
  <c r="S72" i="24" s="1"/>
  <c r="R21" i="24"/>
  <c r="R26" i="24" s="1"/>
  <c r="R72" i="24" s="1"/>
  <c r="Q21" i="24"/>
  <c r="P21" i="24"/>
  <c r="O21" i="24"/>
  <c r="N21" i="24"/>
  <c r="M21" i="24"/>
  <c r="K21" i="24"/>
  <c r="K26" i="24" s="1"/>
  <c r="J21" i="24"/>
  <c r="J26" i="24" s="1"/>
  <c r="J72" i="24" s="1"/>
  <c r="I21" i="24"/>
  <c r="H21" i="24" s="1"/>
  <c r="G21" i="24"/>
  <c r="F21" i="24"/>
  <c r="D21" i="24"/>
  <c r="AQ20" i="24"/>
  <c r="AB20" i="24"/>
  <c r="L20" i="24"/>
  <c r="H20" i="24"/>
  <c r="AB19" i="24"/>
  <c r="L19" i="24"/>
  <c r="H19" i="24"/>
  <c r="AQ19" i="24" s="1"/>
  <c r="AQ18" i="24"/>
  <c r="AB17" i="24"/>
  <c r="L17" i="24"/>
  <c r="H17" i="24"/>
  <c r="C17" i="24"/>
  <c r="AQ17" i="24" s="1"/>
  <c r="AB16" i="24"/>
  <c r="AB15" i="24" s="1"/>
  <c r="L16" i="24"/>
  <c r="L15" i="24" s="1"/>
  <c r="H16" i="24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AQ11" i="24" s="1"/>
  <c r="L11" i="24"/>
  <c r="H11" i="24"/>
  <c r="C11" i="24"/>
  <c r="AB10" i="24"/>
  <c r="L10" i="24"/>
  <c r="H10" i="24"/>
  <c r="H9" i="24" s="1"/>
  <c r="C10" i="24"/>
  <c r="C9" i="24" s="1"/>
  <c r="AP9" i="24"/>
  <c r="AO9" i="24"/>
  <c r="AN9" i="24"/>
  <c r="AM9" i="24"/>
  <c r="AL9" i="24"/>
  <c r="AK9" i="24"/>
  <c r="AK26" i="24" s="1"/>
  <c r="AK72" i="24" s="1"/>
  <c r="AJ9" i="24"/>
  <c r="AJ26" i="24" s="1"/>
  <c r="AJ72" i="24" s="1"/>
  <c r="AI9" i="24"/>
  <c r="AH9" i="24"/>
  <c r="AG9" i="24"/>
  <c r="AF9" i="24"/>
  <c r="AE9" i="24"/>
  <c r="AD9" i="24"/>
  <c r="AC9" i="24"/>
  <c r="AC26" i="24" s="1"/>
  <c r="AC72" i="24" s="1"/>
  <c r="AB9" i="24"/>
  <c r="AA9" i="24"/>
  <c r="Z9" i="24"/>
  <c r="Y9" i="24"/>
  <c r="X9" i="24"/>
  <c r="W9" i="24"/>
  <c r="V9" i="24"/>
  <c r="U9" i="24"/>
  <c r="U26" i="24" s="1"/>
  <c r="U72" i="24" s="1"/>
  <c r="T9" i="24"/>
  <c r="T26" i="24" s="1"/>
  <c r="S9" i="24"/>
  <c r="R9" i="24"/>
  <c r="Q9" i="24"/>
  <c r="P9" i="24"/>
  <c r="O9" i="24"/>
  <c r="N9" i="24"/>
  <c r="M9" i="24"/>
  <c r="M26" i="24" s="1"/>
  <c r="M72" i="24" s="1"/>
  <c r="L9" i="24"/>
  <c r="K9" i="24"/>
  <c r="J9" i="24"/>
  <c r="I9" i="24"/>
  <c r="G9" i="24"/>
  <c r="F9" i="24"/>
  <c r="E9" i="24"/>
  <c r="E26" i="24" s="1"/>
  <c r="E72" i="24" s="1"/>
  <c r="D9" i="24"/>
  <c r="D26" i="24" s="1"/>
  <c r="D72" i="24" s="1"/>
  <c r="AK8" i="24"/>
  <c r="AC8" i="24"/>
  <c r="U8" i="24"/>
  <c r="M8" i="24"/>
  <c r="E8" i="24"/>
  <c r="AP7" i="24"/>
  <c r="AP8" i="24" s="1"/>
  <c r="AO7" i="24"/>
  <c r="AO8" i="24" s="1"/>
  <c r="AN7" i="24"/>
  <c r="AN26" i="24" s="1"/>
  <c r="AN72" i="24" s="1"/>
  <c r="AM7" i="24"/>
  <c r="AM26" i="24" s="1"/>
  <c r="AM72" i="24" s="1"/>
  <c r="AL7" i="24"/>
  <c r="AL26" i="24" s="1"/>
  <c r="AL72" i="24" s="1"/>
  <c r="AK7" i="24"/>
  <c r="AJ7" i="24"/>
  <c r="AI7" i="24"/>
  <c r="AI8" i="24" s="1"/>
  <c r="AH7" i="24"/>
  <c r="AH8" i="24" s="1"/>
  <c r="AG7" i="24"/>
  <c r="AG8" i="24" s="1"/>
  <c r="AF7" i="24"/>
  <c r="AF26" i="24" s="1"/>
  <c r="AF72" i="24" s="1"/>
  <c r="AE7" i="24"/>
  <c r="AE26" i="24" s="1"/>
  <c r="AE72" i="24" s="1"/>
  <c r="AD7" i="24"/>
  <c r="AD26" i="24" s="1"/>
  <c r="AD72" i="24" s="1"/>
  <c r="AC7" i="24"/>
  <c r="AA7" i="24"/>
  <c r="AA8" i="24" s="1"/>
  <c r="Z7" i="24"/>
  <c r="Y7" i="24"/>
  <c r="X7" i="24"/>
  <c r="X26" i="24" s="1"/>
  <c r="W7" i="24"/>
  <c r="W26" i="24" s="1"/>
  <c r="W72" i="24" s="1"/>
  <c r="V7" i="24"/>
  <c r="V26" i="24" s="1"/>
  <c r="V72" i="24" s="1"/>
  <c r="U7" i="24"/>
  <c r="T7" i="24"/>
  <c r="S7" i="24"/>
  <c r="S8" i="24" s="1"/>
  <c r="R7" i="24"/>
  <c r="R8" i="24" s="1"/>
  <c r="Q7" i="24"/>
  <c r="Q8" i="24" s="1"/>
  <c r="P7" i="24"/>
  <c r="P26" i="24" s="1"/>
  <c r="P72" i="24" s="1"/>
  <c r="O7" i="24"/>
  <c r="O26" i="24" s="1"/>
  <c r="O72" i="24" s="1"/>
  <c r="N7" i="24"/>
  <c r="N8" i="24" s="1"/>
  <c r="M7" i="24"/>
  <c r="K7" i="24"/>
  <c r="K8" i="24" s="1"/>
  <c r="J7" i="24"/>
  <c r="J8" i="24" s="1"/>
  <c r="I7" i="24"/>
  <c r="I8" i="24" s="1"/>
  <c r="G7" i="24"/>
  <c r="G8" i="24" s="1"/>
  <c r="F7" i="24"/>
  <c r="F26" i="24" s="1"/>
  <c r="F72" i="24" s="1"/>
  <c r="E7" i="24"/>
  <c r="D7" i="24"/>
  <c r="AB6" i="24"/>
  <c r="L6" i="24"/>
  <c r="H6" i="24"/>
  <c r="C6" i="24"/>
  <c r="AQ6" i="24" s="1"/>
  <c r="AB5" i="24"/>
  <c r="L5" i="24"/>
  <c r="H5" i="24"/>
  <c r="C5" i="24"/>
  <c r="AQ5" i="24" s="1"/>
  <c r="AB4" i="24"/>
  <c r="L4" i="24"/>
  <c r="AQ4" i="24" s="1"/>
  <c r="H4" i="24"/>
  <c r="C4" i="24"/>
  <c r="AB3" i="24"/>
  <c r="L3" i="24"/>
  <c r="H3" i="24"/>
  <c r="H7" i="24" s="1"/>
  <c r="C3" i="24"/>
  <c r="AQ3" i="24" s="1"/>
  <c r="AQ2" i="24"/>
  <c r="AB2" i="24"/>
  <c r="AB7" i="24" s="1"/>
  <c r="L2" i="24"/>
  <c r="L7" i="24" s="1"/>
  <c r="H2" i="24"/>
  <c r="C2" i="24"/>
  <c r="C7" i="24" s="1"/>
  <c r="AQ9" i="24" l="1"/>
  <c r="Z28" i="24"/>
  <c r="Z27" i="24" s="1"/>
  <c r="Z72" i="24" s="1"/>
  <c r="AI72" i="24"/>
  <c r="AQ45" i="24"/>
  <c r="T72" i="24"/>
  <c r="AQ65" i="24"/>
  <c r="C57" i="24"/>
  <c r="AQ57" i="24" s="1"/>
  <c r="K72" i="24"/>
  <c r="X28" i="24"/>
  <c r="AB8" i="24"/>
  <c r="AB26" i="24"/>
  <c r="C8" i="24"/>
  <c r="AQ7" i="24"/>
  <c r="C26" i="24"/>
  <c r="Y8" i="24"/>
  <c r="H8" i="24"/>
  <c r="AB29" i="24"/>
  <c r="L26" i="24"/>
  <c r="L45" i="24"/>
  <c r="W8" i="24"/>
  <c r="H58" i="24"/>
  <c r="H57" i="24" s="1"/>
  <c r="AD8" i="24"/>
  <c r="O8" i="24"/>
  <c r="F8" i="24"/>
  <c r="V8" i="24"/>
  <c r="AL8" i="24"/>
  <c r="C21" i="24"/>
  <c r="Y29" i="24"/>
  <c r="L30" i="24"/>
  <c r="L29" i="24" s="1"/>
  <c r="AQ50" i="24"/>
  <c r="AM8" i="24"/>
  <c r="H15" i="24"/>
  <c r="H26" i="24" s="1"/>
  <c r="AQ16" i="24"/>
  <c r="AN8" i="24"/>
  <c r="C15" i="24"/>
  <c r="AO22" i="24"/>
  <c r="AO21" i="24" s="1"/>
  <c r="AO26" i="24" s="1"/>
  <c r="AO72" i="24" s="1"/>
  <c r="N26" i="24"/>
  <c r="N72" i="24" s="1"/>
  <c r="AE8" i="24"/>
  <c r="L21" i="24"/>
  <c r="M57" i="24"/>
  <c r="AQ10" i="24"/>
  <c r="C30" i="24"/>
  <c r="G26" i="24"/>
  <c r="G72" i="24" s="1"/>
  <c r="P8" i="24"/>
  <c r="AF8" i="24"/>
  <c r="Y28" i="24"/>
  <c r="Y27" i="24" s="1"/>
  <c r="Y72" i="24" s="1"/>
  <c r="Z8" i="24" l="1"/>
  <c r="AB72" i="24"/>
  <c r="AQ58" i="24"/>
  <c r="AQ15" i="24"/>
  <c r="H29" i="24"/>
  <c r="H72" i="24" s="1"/>
  <c r="X27" i="24"/>
  <c r="L28" i="24"/>
  <c r="AQ30" i="24"/>
  <c r="AQ29" i="24" s="1"/>
  <c r="C29" i="24"/>
  <c r="C72" i="24" s="1"/>
  <c r="AQ22" i="24"/>
  <c r="AQ21" i="24" s="1"/>
  <c r="AQ26" i="24"/>
  <c r="L27" i="24" l="1"/>
  <c r="AQ28" i="24"/>
  <c r="AQ27" i="24" s="1"/>
  <c r="X72" i="24"/>
  <c r="X8" i="24"/>
  <c r="L8" i="24" l="1"/>
  <c r="AQ8" i="24" s="1"/>
  <c r="L72" i="24"/>
  <c r="AQ72" i="24" s="1"/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B59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C9" i="22" l="1"/>
  <c r="L13" i="48" l="1"/>
  <c r="F27" i="48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19" i="43" l="1"/>
  <c r="AF94" i="27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H23" i="22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B8" i="52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B9" i="5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AH16" i="28"/>
  <c r="AH41" i="5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B50" i="52" s="1"/>
  <c r="S35" i="52"/>
  <c r="T35" i="52" s="1"/>
  <c r="AB35" i="52" s="1"/>
  <c r="S42" i="52"/>
  <c r="T42" i="52" s="1"/>
  <c r="L28" i="27"/>
  <c r="S35" i="28"/>
  <c r="T35" i="28" s="1"/>
  <c r="AB35" i="28" s="1"/>
  <c r="S50" i="28"/>
  <c r="T50" i="28" s="1"/>
  <c r="AB50" i="28" s="1"/>
  <c r="S46" i="28"/>
  <c r="T46" i="28" s="1"/>
  <c r="S40" i="28"/>
  <c r="T40" i="28" s="1"/>
  <c r="S34" i="28"/>
  <c r="T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B35" i="51" s="1"/>
  <c r="S37" i="51"/>
  <c r="T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T20" i="52"/>
  <c r="T7" i="51"/>
  <c r="AB7" i="51" s="1"/>
  <c r="AB14" i="52"/>
  <c r="T7" i="52"/>
  <c r="T20" i="51"/>
  <c r="T23" i="52"/>
  <c r="AB23" i="52" s="1"/>
  <c r="T10" i="52"/>
  <c r="AB10" i="52" s="1"/>
  <c r="T12" i="51"/>
  <c r="AB14" i="51"/>
  <c r="T23" i="28"/>
  <c r="AB14" i="28"/>
  <c r="T10" i="28"/>
  <c r="AB10" i="28" s="1"/>
  <c r="T20" i="28"/>
  <c r="T46" i="52"/>
  <c r="AB46" i="52" s="1"/>
  <c r="T7" i="28"/>
  <c r="T11" i="52"/>
  <c r="AB11" i="52" s="1"/>
  <c r="T12" i="52"/>
  <c r="T60" i="28"/>
  <c r="AC60" i="28" s="1"/>
  <c r="AB60" i="28" s="1"/>
  <c r="T59" i="28"/>
  <c r="AC59" i="28" s="1"/>
  <c r="AB59" i="28" s="1"/>
  <c r="V59" i="28" s="1"/>
  <c r="G5" i="48"/>
  <c r="G6" i="48"/>
  <c r="G8" i="48"/>
  <c r="I8" i="48" s="1"/>
  <c r="G7" i="48"/>
  <c r="I7" i="48" s="1"/>
  <c r="AB23" i="28"/>
  <c r="T24" i="28"/>
  <c r="F27" i="22" s="1"/>
  <c r="T8" i="28"/>
  <c r="AB8" i="28" s="1"/>
  <c r="T16" i="28"/>
  <c r="AB16" i="28" s="1"/>
  <c r="G10" i="48"/>
  <c r="V59" i="51"/>
  <c r="AC60" i="51"/>
  <c r="AB60" i="51" s="1"/>
  <c r="T8" i="51"/>
  <c r="AB8" i="51" s="1"/>
  <c r="AB23" i="51"/>
  <c r="T24" i="51"/>
  <c r="AB24" i="51" s="1"/>
  <c r="T16" i="51"/>
  <c r="AB16" i="51" s="1"/>
  <c r="T44" i="52"/>
  <c r="T18" i="52"/>
  <c r="AB18" i="52" s="1"/>
  <c r="T9" i="28"/>
  <c r="AB9" i="28" s="1"/>
  <c r="AB34" i="28"/>
  <c r="T18" i="51"/>
  <c r="AB18" i="51" s="1"/>
  <c r="T18" i="28"/>
  <c r="AB18" i="28" s="1"/>
  <c r="J24" i="22"/>
  <c r="AB36" i="28"/>
  <c r="I24" i="22"/>
  <c r="S54" i="51"/>
  <c r="K23" i="22"/>
  <c r="AB36" i="52"/>
  <c r="K27" i="22"/>
  <c r="S54" i="52"/>
  <c r="T16" i="52"/>
  <c r="AB16" i="52" s="1"/>
  <c r="AB36" i="51"/>
  <c r="AB42" i="51"/>
  <c r="J27" i="22"/>
  <c r="AC51" i="51" s="1"/>
  <c r="AB51" i="51" s="1"/>
  <c r="V51" i="51" s="1"/>
  <c r="AB37" i="51"/>
  <c r="T44" i="28"/>
  <c r="AB42" i="28"/>
  <c r="I27" i="22"/>
  <c r="T24" i="52"/>
  <c r="AB24" i="52" s="1"/>
  <c r="K24" i="22"/>
  <c r="AB37" i="52"/>
  <c r="T9" i="51"/>
  <c r="J23" i="22"/>
  <c r="I23" i="22"/>
  <c r="T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B40" i="52"/>
  <c r="T44" i="51"/>
  <c r="S27" i="52"/>
  <c r="T9" i="52"/>
  <c r="F24" i="22" l="1"/>
  <c r="AB48" i="52"/>
  <c r="AB20" i="51"/>
  <c r="T51" i="51"/>
  <c r="F17" i="22"/>
  <c r="V11" i="52"/>
  <c r="M10" i="48"/>
  <c r="L10" i="48" s="1"/>
  <c r="F24" i="48" s="1"/>
  <c r="U29" i="22"/>
  <c r="AB11" i="51"/>
  <c r="AC51" i="52"/>
  <c r="AB51" i="52" s="1"/>
  <c r="V51" i="52" s="1"/>
  <c r="G27" i="22"/>
  <c r="G17" i="22"/>
  <c r="AB24" i="28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AB44" i="28"/>
  <c r="AB44" i="51"/>
  <c r="AB22" i="51"/>
  <c r="G19" i="22"/>
  <c r="AB33" i="52"/>
  <c r="K9" i="22"/>
  <c r="AB49" i="52"/>
  <c r="K19" i="22"/>
  <c r="AB44" i="52"/>
  <c r="K10" i="22"/>
  <c r="H10" i="22"/>
  <c r="AB47" i="51"/>
  <c r="AB48" i="51"/>
  <c r="AB46" i="51"/>
  <c r="AB48" i="28"/>
  <c r="AB47" i="28"/>
  <c r="AB7" i="28"/>
  <c r="T51" i="52"/>
  <c r="AB42" i="52"/>
  <c r="V42" i="52" s="1"/>
  <c r="K17" i="22"/>
  <c r="AB49" i="51"/>
  <c r="AB40" i="51"/>
  <c r="V40" i="51" s="1"/>
  <c r="J13" i="22"/>
  <c r="AB40" i="28"/>
  <c r="I13" i="22"/>
  <c r="AB12" i="51"/>
  <c r="AB10" i="51"/>
  <c r="G11" i="22"/>
  <c r="F23" i="22"/>
  <c r="Y23" i="22" s="1"/>
  <c r="AB7" i="52"/>
  <c r="AB12" i="52"/>
  <c r="V12" i="52" s="1"/>
  <c r="F13" i="22"/>
  <c r="AB38" i="52"/>
  <c r="AB38" i="51"/>
  <c r="V38" i="51" s="1"/>
  <c r="I17" i="22"/>
  <c r="V42" i="28"/>
  <c r="V37" i="51"/>
  <c r="O26" i="22"/>
  <c r="O29" i="22" s="1"/>
  <c r="F11" i="22"/>
  <c r="J11" i="22"/>
  <c r="L26" i="22"/>
  <c r="L29" i="22" s="1"/>
  <c r="P26" i="22"/>
  <c r="P29" i="22" s="1"/>
  <c r="Q26" i="22"/>
  <c r="Q29" i="22" s="1"/>
  <c r="V14" i="52"/>
  <c r="H13" i="22"/>
  <c r="I11" i="22"/>
  <c r="V18" i="52"/>
  <c r="M26" i="22"/>
  <c r="M29" i="22" s="1"/>
  <c r="N26" i="22"/>
  <c r="N29" i="22" s="1"/>
  <c r="V40" i="52"/>
  <c r="K13" i="22"/>
  <c r="H27" i="22"/>
  <c r="V42" i="51"/>
  <c r="J17" i="22"/>
  <c r="H11" i="22"/>
  <c r="K11" i="22"/>
  <c r="V16" i="52"/>
  <c r="H17" i="22"/>
  <c r="V23" i="52"/>
  <c r="Y13" i="22" l="1"/>
  <c r="V46" i="52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I5" i="48" s="1"/>
  <c r="H28" i="22"/>
  <c r="F28" i="22"/>
  <c r="AB46" i="28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7" i="22"/>
  <c r="AE17" i="22" s="1"/>
  <c r="O30" i="22"/>
  <c r="L30" i="22"/>
  <c r="V60" i="52"/>
  <c r="AB54" i="52"/>
  <c r="Q151" i="56" s="1"/>
  <c r="Q153" i="56" s="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Y10" i="22"/>
  <c r="AE10" i="22" s="1"/>
  <c r="AA17" i="22"/>
  <c r="AA11" i="22"/>
  <c r="AA16" i="22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R11" i="28"/>
  <c r="R12" i="28"/>
  <c r="S12" i="28" s="1"/>
  <c r="T12" i="28" l="1"/>
  <c r="F22" i="22" s="1"/>
  <c r="AA58" i="56"/>
  <c r="R32" i="28"/>
  <c r="AB38" i="28"/>
  <c r="V38" i="28" s="1"/>
  <c r="S11" i="28"/>
  <c r="Y58" i="56" s="1"/>
  <c r="R6" i="28"/>
  <c r="S37" i="28"/>
  <c r="AB12" i="28" l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<sst xmlns="http://schemas.openxmlformats.org/spreadsheetml/2006/main" count="69078" uniqueCount="973">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</sst>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4" fillId="0" borderId="0"/>
    <xf numFmtId="0" fontId="20" fillId="0" borderId="0"/>
  </cellStyleXfs>
  <cellXfs count="1150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5" fillId="0" borderId="37" xfId="0" applyNumberFormat="1" applyFont="1" applyBorder="1" applyAlignment="1">
      <alignment horizontal="left"/>
    </xf>
    <xf numFmtId="38" fontId="85" fillId="0" borderId="79" xfId="0" applyNumberFormat="1" applyFont="1" applyBorder="1" applyAlignment="1">
      <alignment horizontal="left"/>
    </xf>
    <xf numFmtId="38" fontId="85" fillId="0" borderId="69" xfId="0" applyNumberFormat="1" applyFont="1" applyBorder="1" applyAlignment="1">
      <alignment horizontal="left"/>
    </xf>
    <xf numFmtId="38" fontId="85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  <xf numFmtId="166" fontId="35" fillId="35" borderId="0" xfId="1" applyNumberFormat="1" applyFont="1" applyFill="1"/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DA39EE82-37B8-4624-87D6-61485535B494}"/>
    <cellStyle name="Normal_2000balx" xfId="9" xr:uid="{00E4BB23-EF2C-4EEA-8668-056646E27EB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82.152490582671078</c:v>
                </c:pt>
                <c:pt idx="1">
                  <c:v>21.438179605446461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715" customWidth="1"/>
    <col min="5" max="6" width="14.140625" style="715" customWidth="1"/>
    <col min="7" max="7" width="12.140625" style="715" customWidth="1"/>
    <col min="8" max="10" width="8.140625" style="715" customWidth="1"/>
    <col min="11" max="11" width="9.7109375" style="715" customWidth="1"/>
    <col min="12" max="12" width="8.140625" style="715" customWidth="1"/>
    <col min="13" max="13" width="10" style="715" customWidth="1"/>
    <col min="14" max="14" width="11.42578125" style="715" customWidth="1"/>
    <col min="15" max="15" width="13.42578125" style="715" customWidth="1"/>
    <col min="16" max="16384" width="8.85546875" style="715"/>
  </cols>
  <sheetData>
    <row r="1" spans="1:26">
      <c r="A1" s="713"/>
      <c r="B1" s="713"/>
      <c r="C1" s="713"/>
      <c r="D1" s="713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</row>
    <row r="2" spans="1:26">
      <c r="A2" s="713"/>
      <c r="B2" s="713"/>
      <c r="C2" s="713"/>
      <c r="D2" s="713"/>
      <c r="E2" s="714"/>
      <c r="F2" s="714"/>
      <c r="G2" s="714"/>
      <c r="H2" s="714"/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</row>
    <row r="3" spans="1:26">
      <c r="A3" s="713"/>
      <c r="B3" s="713"/>
      <c r="C3" s="713"/>
      <c r="D3" s="713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</row>
    <row r="4" spans="1:26">
      <c r="A4" s="713"/>
      <c r="B4" s="713"/>
      <c r="C4" s="713"/>
      <c r="D4" s="713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</row>
    <row r="5" spans="1:26">
      <c r="A5" s="713"/>
      <c r="B5" s="713"/>
      <c r="C5" s="713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</row>
    <row r="6" spans="1:26">
      <c r="A6" s="713"/>
      <c r="B6" s="713"/>
      <c r="C6" s="713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</row>
    <row r="7" spans="1:26">
      <c r="A7" s="713"/>
      <c r="B7" s="713"/>
      <c r="C7" s="713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</row>
    <row r="8" spans="1:26">
      <c r="A8" s="713"/>
      <c r="B8" s="713"/>
      <c r="C8" s="713"/>
      <c r="D8" s="713"/>
      <c r="E8" s="714"/>
      <c r="F8" s="714"/>
      <c r="G8" s="714"/>
      <c r="H8" s="714"/>
      <c r="I8" s="714"/>
      <c r="J8" s="714"/>
      <c r="K8" s="714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</row>
    <row r="9" spans="1:26">
      <c r="A9" s="713"/>
      <c r="B9" s="713"/>
      <c r="C9" s="713"/>
      <c r="D9" s="713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</row>
    <row r="10" spans="1:26">
      <c r="A10" s="713"/>
      <c r="B10" s="713"/>
      <c r="C10" s="713"/>
      <c r="D10" s="713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</row>
    <row r="11" spans="1:26">
      <c r="A11" s="713"/>
      <c r="B11" s="713"/>
      <c r="C11" s="713"/>
      <c r="D11" s="713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/>
      <c r="U11" s="714"/>
      <c r="V11" s="714"/>
      <c r="W11" s="714"/>
      <c r="X11" s="714"/>
      <c r="Y11" s="714"/>
      <c r="Z11" s="714"/>
    </row>
    <row r="12" spans="1:26">
      <c r="A12" s="713"/>
      <c r="B12" s="713"/>
      <c r="C12" s="713"/>
      <c r="D12" s="713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14"/>
      <c r="R12" s="714"/>
      <c r="S12" s="714"/>
      <c r="T12" s="714"/>
      <c r="U12" s="714"/>
      <c r="V12" s="714"/>
      <c r="W12" s="714"/>
      <c r="X12" s="714"/>
      <c r="Y12" s="714"/>
      <c r="Z12" s="714"/>
    </row>
    <row r="13" spans="1:26">
      <c r="A13" s="713"/>
      <c r="B13" s="713"/>
      <c r="C13" s="713"/>
      <c r="D13" s="713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</row>
    <row r="14" spans="1:26">
      <c r="A14" s="713"/>
      <c r="B14" s="713"/>
      <c r="C14" s="713"/>
      <c r="D14" s="713"/>
      <c r="E14" s="714"/>
      <c r="F14" s="714"/>
      <c r="G14" s="714"/>
      <c r="H14" s="714"/>
      <c r="I14" s="714"/>
      <c r="J14" s="714"/>
      <c r="K14" s="714"/>
      <c r="L14" s="714"/>
      <c r="M14" s="714"/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</row>
    <row r="15" spans="1:26">
      <c r="A15" s="713"/>
      <c r="B15" s="713"/>
      <c r="C15" s="713"/>
      <c r="D15" s="713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</row>
    <row r="16" spans="1:26" ht="102.75" customHeight="1">
      <c r="A16" s="1071" t="s">
        <v>876</v>
      </c>
      <c r="B16" s="1071"/>
      <c r="C16" s="1071"/>
      <c r="D16" s="1071"/>
      <c r="E16" s="716"/>
      <c r="F16" s="716"/>
      <c r="G16" s="717"/>
      <c r="H16" s="717"/>
      <c r="I16" s="717"/>
      <c r="J16" s="717"/>
      <c r="K16" s="717"/>
      <c r="L16" s="717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</row>
    <row r="17" spans="1:26" ht="17.25" customHeight="1">
      <c r="A17" s="718"/>
      <c r="B17" s="718"/>
      <c r="C17" s="718"/>
      <c r="D17" s="718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</row>
    <row r="18" spans="1:26" ht="17.25" customHeight="1">
      <c r="A18" s="718"/>
      <c r="B18" s="718"/>
      <c r="C18" s="718"/>
      <c r="D18" s="718"/>
      <c r="E18" s="719"/>
      <c r="F18" s="719"/>
      <c r="G18" s="720"/>
      <c r="H18" s="720"/>
      <c r="I18" s="720"/>
      <c r="J18" s="720"/>
      <c r="K18" s="720"/>
      <c r="L18" s="720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</row>
    <row r="19" spans="1:26" ht="17.25" customHeight="1">
      <c r="A19" s="721" t="s">
        <v>0</v>
      </c>
      <c r="B19" s="1070" t="s">
        <v>891</v>
      </c>
      <c r="C19" s="1070"/>
      <c r="D19" s="1070"/>
      <c r="E19" s="722"/>
      <c r="F19" s="722"/>
      <c r="G19" s="723"/>
      <c r="H19" s="723"/>
      <c r="I19" s="723"/>
      <c r="J19" s="723"/>
      <c r="K19" s="723"/>
      <c r="L19" s="72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</row>
    <row r="20" spans="1:26" ht="17.25" customHeight="1">
      <c r="A20" s="721" t="s">
        <v>877</v>
      </c>
      <c r="B20" s="1070" t="s">
        <v>892</v>
      </c>
      <c r="C20" s="1070"/>
      <c r="D20" s="1070"/>
      <c r="E20" s="722"/>
      <c r="F20" s="722"/>
      <c r="G20" s="723"/>
      <c r="H20" s="723"/>
      <c r="I20" s="723"/>
      <c r="J20" s="723"/>
      <c r="K20" s="723"/>
      <c r="L20" s="72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</row>
    <row r="21" spans="1:26" ht="17.25" customHeight="1">
      <c r="A21" s="721" t="s">
        <v>878</v>
      </c>
      <c r="B21" s="724" t="s">
        <v>893</v>
      </c>
      <c r="C21" s="724"/>
      <c r="D21" s="724"/>
      <c r="E21" s="722"/>
      <c r="F21" s="722"/>
      <c r="G21" s="723"/>
      <c r="H21" s="723"/>
      <c r="I21" s="723"/>
      <c r="J21" s="723"/>
      <c r="K21" s="723"/>
      <c r="L21" s="72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</row>
    <row r="22" spans="1:26" ht="17.25" customHeight="1">
      <c r="A22" s="721"/>
      <c r="B22" s="724"/>
      <c r="C22" s="724"/>
      <c r="D22" s="724"/>
      <c r="E22" s="722"/>
      <c r="F22" s="722"/>
      <c r="G22" s="723"/>
      <c r="H22" s="723"/>
      <c r="I22" s="723"/>
      <c r="J22" s="723"/>
      <c r="K22" s="723"/>
      <c r="L22" s="72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</row>
    <row r="23" spans="1:26" ht="17.25" customHeight="1">
      <c r="A23" s="721" t="s">
        <v>879</v>
      </c>
      <c r="B23" s="1070" t="s">
        <v>887</v>
      </c>
      <c r="C23" s="1070"/>
      <c r="D23" s="1070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</row>
    <row r="24" spans="1:26" ht="17.25" customHeight="1">
      <c r="A24" s="721"/>
      <c r="B24" s="1070" t="s">
        <v>888</v>
      </c>
      <c r="C24" s="1070"/>
      <c r="D24" s="1070"/>
      <c r="E24" s="714"/>
      <c r="F24" s="714"/>
      <c r="G24" s="714"/>
      <c r="H24" s="714"/>
      <c r="I24" s="714"/>
      <c r="J24" s="714"/>
      <c r="K24" s="714"/>
      <c r="L24" s="714"/>
      <c r="M24" s="714"/>
      <c r="N24" s="714"/>
      <c r="O24" s="714"/>
      <c r="P24" s="714"/>
      <c r="Q24" s="714"/>
      <c r="R24" s="714"/>
      <c r="S24" s="714"/>
      <c r="T24" s="714"/>
      <c r="U24" s="714"/>
      <c r="V24" s="714"/>
      <c r="W24" s="714"/>
      <c r="X24" s="714"/>
      <c r="Y24" s="714"/>
      <c r="Z24" s="714"/>
    </row>
    <row r="25" spans="1:26" ht="17.25" customHeight="1">
      <c r="A25" s="721"/>
      <c r="B25" s="1070" t="s">
        <v>889</v>
      </c>
      <c r="C25" s="1070"/>
      <c r="D25" s="1070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</row>
    <row r="26" spans="1:26" ht="17.25" customHeight="1">
      <c r="A26" s="721" t="s">
        <v>880</v>
      </c>
      <c r="B26" s="1070" t="s">
        <v>887</v>
      </c>
      <c r="C26" s="1070"/>
      <c r="D26" s="1070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</row>
    <row r="27" spans="1:26" ht="17.25" customHeight="1">
      <c r="A27" s="721"/>
      <c r="B27" s="1070" t="s">
        <v>890</v>
      </c>
      <c r="C27" s="1070"/>
      <c r="D27" s="1070"/>
      <c r="E27" s="714"/>
      <c r="F27" s="714"/>
      <c r="G27" s="714"/>
      <c r="H27" s="714"/>
      <c r="I27" s="714"/>
      <c r="J27" s="714"/>
      <c r="K27" s="714"/>
      <c r="L27" s="714"/>
      <c r="M27" s="714"/>
      <c r="N27" s="714"/>
      <c r="O27" s="714"/>
      <c r="P27" s="714"/>
      <c r="Q27" s="714"/>
      <c r="R27" s="714"/>
      <c r="S27" s="714"/>
      <c r="T27" s="714"/>
      <c r="U27" s="714"/>
      <c r="V27" s="714"/>
      <c r="W27" s="714"/>
      <c r="X27" s="714"/>
      <c r="Y27" s="714"/>
      <c r="Z27" s="714"/>
    </row>
    <row r="28" spans="1:26" ht="17.25" customHeight="1">
      <c r="A28" s="721"/>
      <c r="B28" s="724"/>
      <c r="C28" s="724"/>
      <c r="D28" s="72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</row>
    <row r="29" spans="1:26" ht="17.25" customHeight="1">
      <c r="A29" s="721" t="s">
        <v>881</v>
      </c>
      <c r="B29" s="725">
        <v>1</v>
      </c>
      <c r="C29" s="724"/>
      <c r="D29" s="72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</row>
    <row r="30" spans="1:26" ht="17.25" customHeight="1">
      <c r="A30" s="721" t="s">
        <v>882</v>
      </c>
      <c r="B30" s="1072" t="s">
        <v>883</v>
      </c>
      <c r="C30" s="1070"/>
      <c r="D30" s="1070"/>
      <c r="E30" s="726"/>
      <c r="F30" s="726"/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714"/>
      <c r="T30" s="714"/>
      <c r="U30" s="714"/>
      <c r="V30" s="714"/>
      <c r="W30" s="714"/>
      <c r="X30" s="714"/>
      <c r="Y30" s="714"/>
      <c r="Z30" s="714"/>
    </row>
    <row r="31" spans="1:26" ht="17.25" customHeight="1">
      <c r="A31" s="721" t="s">
        <v>884</v>
      </c>
      <c r="B31" s="1070" t="s">
        <v>885</v>
      </c>
      <c r="C31" s="1070"/>
      <c r="D31" s="1070"/>
      <c r="E31" s="726"/>
      <c r="F31" s="726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</row>
    <row r="32" spans="1:26" ht="17.25" customHeight="1">
      <c r="A32" s="727"/>
      <c r="B32" s="728" t="s">
        <v>886</v>
      </c>
      <c r="C32" s="727"/>
      <c r="D32" s="727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  <c r="V32" s="714"/>
      <c r="W32" s="714"/>
      <c r="X32" s="714"/>
      <c r="Y32" s="714"/>
      <c r="Z32" s="714"/>
    </row>
    <row r="33" spans="1:26">
      <c r="A33" s="713"/>
      <c r="B33" s="713"/>
      <c r="C33" s="713"/>
      <c r="D33" s="713"/>
      <c r="E33" s="714"/>
      <c r="F33" s="714"/>
      <c r="G33" s="714"/>
      <c r="H33" s="714"/>
      <c r="I33" s="714"/>
      <c r="J33" s="714"/>
      <c r="K33" s="714"/>
      <c r="L33" s="714"/>
      <c r="M33" s="714"/>
      <c r="N33" s="714"/>
      <c r="O33" s="714"/>
      <c r="P33" s="714"/>
      <c r="Q33" s="714"/>
      <c r="R33" s="714"/>
      <c r="S33" s="714"/>
      <c r="T33" s="714"/>
      <c r="U33" s="714"/>
      <c r="V33" s="714"/>
      <c r="W33" s="714"/>
      <c r="X33" s="714"/>
      <c r="Y33" s="714"/>
      <c r="Z33" s="714"/>
    </row>
    <row r="34" spans="1:26">
      <c r="A34" s="713"/>
      <c r="B34" s="713"/>
      <c r="C34" s="713"/>
      <c r="D34" s="713"/>
      <c r="E34" s="714"/>
      <c r="F34" s="714"/>
      <c r="G34" s="714"/>
      <c r="H34" s="714"/>
      <c r="I34" s="714"/>
      <c r="J34" s="714"/>
      <c r="K34" s="714"/>
      <c r="L34" s="714"/>
      <c r="M34" s="714"/>
      <c r="N34" s="714"/>
      <c r="O34" s="714"/>
      <c r="P34" s="714"/>
      <c r="Q34" s="714"/>
      <c r="R34" s="714"/>
      <c r="S34" s="714"/>
      <c r="T34" s="714"/>
      <c r="U34" s="714"/>
      <c r="V34" s="714"/>
      <c r="W34" s="714"/>
      <c r="X34" s="714"/>
      <c r="Y34" s="714"/>
      <c r="Z34" s="714"/>
    </row>
    <row r="35" spans="1:26">
      <c r="A35" s="713"/>
      <c r="B35" s="713"/>
      <c r="C35" s="713"/>
      <c r="D35" s="713"/>
      <c r="E35" s="714"/>
      <c r="F35" s="714"/>
      <c r="G35" s="714"/>
      <c r="H35" s="714"/>
      <c r="I35" s="714"/>
      <c r="J35" s="714"/>
      <c r="K35" s="714"/>
      <c r="L35" s="714"/>
      <c r="M35" s="714"/>
      <c r="N35" s="714"/>
      <c r="O35" s="714"/>
      <c r="P35" s="714"/>
      <c r="Q35" s="714"/>
      <c r="R35" s="714"/>
      <c r="S35" s="714"/>
      <c r="T35" s="714"/>
      <c r="U35" s="714"/>
      <c r="V35" s="714"/>
      <c r="W35" s="714"/>
      <c r="X35" s="714"/>
      <c r="Y35" s="714"/>
      <c r="Z35" s="714"/>
    </row>
    <row r="36" spans="1:26">
      <c r="A36" s="713"/>
      <c r="B36" s="713"/>
      <c r="C36" s="713"/>
      <c r="D36" s="713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</row>
    <row r="37" spans="1:26">
      <c r="A37" s="713"/>
      <c r="B37" s="713"/>
      <c r="C37" s="713"/>
      <c r="D37" s="713"/>
      <c r="E37" s="714"/>
      <c r="F37" s="714"/>
      <c r="G37" s="714"/>
      <c r="H37" s="714"/>
      <c r="I37" s="714"/>
      <c r="J37" s="714"/>
      <c r="K37" s="714"/>
      <c r="L37" s="714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</row>
    <row r="38" spans="1:26">
      <c r="A38" s="713"/>
      <c r="B38" s="713"/>
      <c r="C38" s="713"/>
      <c r="D38" s="713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</row>
    <row r="39" spans="1:26">
      <c r="A39" s="713"/>
      <c r="B39" s="713"/>
      <c r="C39" s="713"/>
      <c r="D39" s="713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</row>
    <row r="40" spans="1:26">
      <c r="A40" s="713"/>
      <c r="B40" s="713"/>
      <c r="C40" s="713"/>
      <c r="D40" s="713"/>
      <c r="E40" s="714"/>
      <c r="F40" s="714"/>
      <c r="G40" s="714"/>
      <c r="H40" s="714"/>
      <c r="I40" s="714"/>
      <c r="J40" s="714"/>
      <c r="K40" s="714"/>
      <c r="L40" s="714"/>
      <c r="M40" s="714"/>
      <c r="N40" s="714"/>
      <c r="O40" s="714"/>
      <c r="P40" s="714"/>
      <c r="Q40" s="714"/>
      <c r="R40" s="714"/>
      <c r="S40" s="714"/>
      <c r="T40" s="714"/>
      <c r="U40" s="714"/>
      <c r="V40" s="714"/>
      <c r="W40" s="714"/>
      <c r="X40" s="714"/>
      <c r="Y40" s="714"/>
      <c r="Z40" s="714"/>
    </row>
    <row r="41" spans="1:26">
      <c r="A41" s="713"/>
      <c r="B41" s="713"/>
      <c r="C41" s="713"/>
      <c r="D41" s="713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</row>
    <row r="42" spans="1:26">
      <c r="A42" s="713"/>
      <c r="B42" s="713"/>
      <c r="C42" s="713"/>
      <c r="D42" s="713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  <c r="V42" s="714"/>
      <c r="W42" s="714"/>
      <c r="X42" s="714"/>
      <c r="Y42" s="714"/>
      <c r="Z42" s="714"/>
    </row>
    <row r="43" spans="1:26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</row>
    <row r="44" spans="1:26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</row>
    <row r="45" spans="1:26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</row>
    <row r="46" spans="1:26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</row>
    <row r="47" spans="1:26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</row>
    <row r="48" spans="1:26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14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</row>
    <row r="49" spans="1:26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14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</row>
    <row r="50" spans="1:26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14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</row>
    <row r="51" spans="1:26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14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</row>
    <row r="52" spans="1:26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14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</row>
    <row r="53" spans="1:26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14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</row>
    <row r="54" spans="1:26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</row>
    <row r="55" spans="1:26">
      <c r="A55" s="714"/>
      <c r="B55" s="714"/>
      <c r="C55" s="714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4"/>
      <c r="Y55" s="714"/>
      <c r="Z55" s="714"/>
    </row>
    <row r="56" spans="1:26">
      <c r="A56" s="714"/>
      <c r="B56" s="714"/>
      <c r="C56" s="714"/>
      <c r="D56" s="714"/>
      <c r="E56" s="714"/>
      <c r="F56" s="714"/>
      <c r="G56" s="714"/>
      <c r="H56" s="714"/>
      <c r="I56" s="714"/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4"/>
      <c r="Y56" s="714"/>
      <c r="Z56" s="714"/>
    </row>
    <row r="57" spans="1:26">
      <c r="A57" s="714"/>
      <c r="B57" s="714"/>
      <c r="C57" s="714"/>
      <c r="D57" s="714"/>
      <c r="E57" s="714"/>
      <c r="F57" s="714"/>
      <c r="G57" s="714"/>
      <c r="H57" s="714"/>
      <c r="I57" s="714"/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4"/>
      <c r="Y57" s="714"/>
      <c r="Z57" s="714"/>
    </row>
    <row r="58" spans="1:26">
      <c r="A58" s="714"/>
      <c r="B58" s="714"/>
      <c r="C58" s="714"/>
      <c r="D58" s="714"/>
      <c r="E58" s="714"/>
      <c r="F58" s="714"/>
      <c r="G58" s="714"/>
      <c r="H58" s="714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</row>
    <row r="59" spans="1:26">
      <c r="A59" s="714"/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4"/>
      <c r="Y59" s="714"/>
      <c r="Z59" s="714"/>
    </row>
    <row r="60" spans="1:26">
      <c r="A60" s="714"/>
      <c r="B60" s="714"/>
      <c r="C60" s="714"/>
      <c r="D60" s="714"/>
      <c r="E60" s="714"/>
      <c r="F60" s="714"/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4"/>
      <c r="Y60" s="714"/>
      <c r="Z60" s="714"/>
    </row>
    <row r="61" spans="1:26">
      <c r="A61" s="714"/>
      <c r="B61" s="714"/>
      <c r="C61" s="714"/>
      <c r="D61" s="714"/>
      <c r="E61" s="714"/>
      <c r="F61" s="714"/>
      <c r="G61" s="714"/>
      <c r="H61" s="714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4"/>
      <c r="Y61" s="714"/>
      <c r="Z61" s="714"/>
    </row>
    <row r="62" spans="1:26">
      <c r="A62" s="714"/>
      <c r="B62" s="714"/>
      <c r="C62" s="714"/>
      <c r="D62" s="714"/>
      <c r="E62" s="714"/>
      <c r="F62" s="714"/>
      <c r="G62" s="714"/>
      <c r="H62" s="714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4"/>
      <c r="Y62" s="714"/>
      <c r="Z62" s="714"/>
    </row>
    <row r="63" spans="1:26">
      <c r="A63" s="714"/>
      <c r="B63" s="714"/>
      <c r="C63" s="714"/>
      <c r="D63" s="714"/>
      <c r="E63" s="714"/>
      <c r="F63" s="714"/>
      <c r="G63" s="714"/>
      <c r="H63" s="714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4"/>
      <c r="Y63" s="714"/>
      <c r="Z63" s="714"/>
    </row>
    <row r="64" spans="1:26">
      <c r="A64" s="714"/>
      <c r="B64" s="714"/>
      <c r="C64" s="714"/>
      <c r="D64" s="714"/>
      <c r="E64" s="714"/>
      <c r="F64" s="714"/>
      <c r="G64" s="714"/>
      <c r="H64" s="714"/>
      <c r="I64" s="714"/>
      <c r="J64" s="714"/>
      <c r="K64" s="714"/>
      <c r="L64" s="714"/>
      <c r="M64" s="714"/>
      <c r="N64" s="714"/>
      <c r="O64" s="714"/>
      <c r="P64" s="714"/>
      <c r="Q64" s="714"/>
      <c r="R64" s="714"/>
      <c r="S64" s="714"/>
      <c r="T64" s="714"/>
      <c r="U64" s="714"/>
      <c r="V64" s="714"/>
      <c r="W64" s="714"/>
      <c r="X64" s="714"/>
      <c r="Y64" s="714"/>
      <c r="Z64" s="714"/>
    </row>
    <row r="65" spans="1:26">
      <c r="A65" s="714"/>
      <c r="B65" s="714"/>
      <c r="C65" s="714"/>
      <c r="D65" s="714"/>
      <c r="E65" s="714"/>
      <c r="F65" s="714"/>
      <c r="G65" s="714"/>
      <c r="H65" s="714"/>
      <c r="I65" s="714"/>
      <c r="J65" s="714"/>
      <c r="K65" s="714"/>
      <c r="L65" s="714"/>
      <c r="M65" s="714"/>
      <c r="N65" s="714"/>
      <c r="O65" s="714"/>
      <c r="P65" s="714"/>
      <c r="Q65" s="714"/>
      <c r="R65" s="714"/>
      <c r="S65" s="714"/>
      <c r="T65" s="714"/>
      <c r="U65" s="714"/>
      <c r="V65" s="714"/>
      <c r="W65" s="714"/>
      <c r="X65" s="714"/>
      <c r="Y65" s="714"/>
      <c r="Z65" s="714"/>
    </row>
    <row r="66" spans="1:26">
      <c r="A66" s="714"/>
      <c r="B66" s="714"/>
      <c r="C66" s="714"/>
      <c r="D66" s="714"/>
      <c r="E66" s="714"/>
      <c r="F66" s="714"/>
      <c r="G66" s="714"/>
      <c r="H66" s="714"/>
      <c r="I66" s="714"/>
      <c r="J66" s="714"/>
      <c r="K66" s="714"/>
      <c r="L66" s="714"/>
      <c r="M66" s="714"/>
      <c r="N66" s="714"/>
      <c r="O66" s="714"/>
      <c r="P66" s="714"/>
      <c r="Q66" s="714"/>
      <c r="R66" s="714"/>
      <c r="S66" s="714"/>
      <c r="T66" s="714"/>
      <c r="U66" s="714"/>
      <c r="V66" s="714"/>
      <c r="W66" s="714"/>
      <c r="X66" s="714"/>
      <c r="Y66" s="714"/>
      <c r="Z66" s="714"/>
    </row>
    <row r="67" spans="1:26">
      <c r="A67" s="714"/>
      <c r="B67" s="714"/>
      <c r="C67" s="714"/>
      <c r="D67" s="714"/>
      <c r="E67" s="714"/>
      <c r="F67" s="714"/>
      <c r="G67" s="714"/>
      <c r="H67" s="714"/>
      <c r="I67" s="714"/>
      <c r="J67" s="714"/>
      <c r="K67" s="714"/>
      <c r="L67" s="714"/>
      <c r="M67" s="714"/>
      <c r="N67" s="714"/>
      <c r="O67" s="714"/>
      <c r="P67" s="714"/>
      <c r="Q67" s="714"/>
      <c r="R67" s="714"/>
      <c r="S67" s="714"/>
      <c r="T67" s="714"/>
      <c r="U67" s="714"/>
      <c r="V67" s="714"/>
      <c r="W67" s="714"/>
      <c r="X67" s="714"/>
      <c r="Y67" s="714"/>
      <c r="Z67" s="714"/>
    </row>
    <row r="68" spans="1:26">
      <c r="A68" s="714"/>
      <c r="B68" s="714"/>
      <c r="C68" s="714"/>
      <c r="D68" s="714"/>
      <c r="E68" s="714"/>
      <c r="F68" s="714"/>
      <c r="G68" s="714"/>
      <c r="H68" s="714"/>
      <c r="I68" s="714"/>
      <c r="J68" s="714"/>
      <c r="K68" s="714"/>
      <c r="L68" s="714"/>
      <c r="M68" s="714"/>
      <c r="N68" s="714"/>
      <c r="O68" s="714"/>
      <c r="P68" s="714"/>
      <c r="Q68" s="714"/>
      <c r="R68" s="714"/>
      <c r="S68" s="714"/>
      <c r="T68" s="714"/>
      <c r="U68" s="714"/>
      <c r="V68" s="714"/>
      <c r="W68" s="714"/>
      <c r="X68" s="714"/>
      <c r="Y68" s="714"/>
      <c r="Z68" s="714"/>
    </row>
    <row r="69" spans="1:26">
      <c r="A69" s="714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</row>
    <row r="70" spans="1:26">
      <c r="A70" s="714"/>
      <c r="B70" s="714"/>
      <c r="C70" s="714"/>
      <c r="D70" s="714"/>
      <c r="E70" s="714"/>
      <c r="F70" s="714"/>
      <c r="G70" s="714"/>
      <c r="H70" s="714"/>
      <c r="I70" s="714"/>
      <c r="J70" s="714"/>
      <c r="K70" s="714"/>
      <c r="L70" s="714"/>
      <c r="M70" s="714"/>
      <c r="N70" s="714"/>
      <c r="O70" s="714"/>
      <c r="P70" s="714"/>
      <c r="Q70" s="714"/>
      <c r="R70" s="714"/>
      <c r="S70" s="714"/>
      <c r="T70" s="714"/>
      <c r="U70" s="714"/>
      <c r="V70" s="714"/>
      <c r="W70" s="714"/>
      <c r="X70" s="714"/>
      <c r="Y70" s="714"/>
      <c r="Z70" s="714"/>
    </row>
    <row r="71" spans="1:26">
      <c r="A71" s="714"/>
      <c r="B71" s="714"/>
      <c r="C71" s="714"/>
      <c r="D71" s="714"/>
      <c r="E71" s="714"/>
      <c r="F71" s="714"/>
      <c r="G71" s="714"/>
      <c r="H71" s="714"/>
      <c r="I71" s="714"/>
      <c r="J71" s="714"/>
      <c r="K71" s="714"/>
      <c r="L71" s="714"/>
      <c r="M71" s="714"/>
      <c r="N71" s="714"/>
      <c r="O71" s="714"/>
      <c r="P71" s="714"/>
      <c r="Q71" s="714"/>
      <c r="R71" s="714"/>
      <c r="S71" s="714"/>
      <c r="T71" s="714"/>
      <c r="U71" s="714"/>
      <c r="V71" s="714"/>
      <c r="W71" s="714"/>
      <c r="X71" s="714"/>
      <c r="Y71" s="714"/>
      <c r="Z71" s="714"/>
    </row>
    <row r="72" spans="1:26">
      <c r="A72" s="714"/>
      <c r="B72" s="714"/>
      <c r="C72" s="714"/>
      <c r="D72" s="714"/>
      <c r="E72" s="714"/>
      <c r="F72" s="714"/>
      <c r="G72" s="714"/>
      <c r="H72" s="714"/>
      <c r="I72" s="714"/>
      <c r="J72" s="714"/>
      <c r="K72" s="714"/>
      <c r="L72" s="714"/>
      <c r="M72" s="714"/>
      <c r="N72" s="714"/>
      <c r="O72" s="714"/>
      <c r="P72" s="714"/>
      <c r="Q72" s="714"/>
      <c r="R72" s="714"/>
      <c r="S72" s="714"/>
      <c r="T72" s="714"/>
      <c r="U72" s="714"/>
      <c r="V72" s="714"/>
      <c r="W72" s="714"/>
      <c r="X72" s="714"/>
      <c r="Y72" s="714"/>
      <c r="Z72" s="714"/>
    </row>
    <row r="73" spans="1:26">
      <c r="A73" s="714"/>
      <c r="B73" s="714"/>
      <c r="C73" s="714"/>
      <c r="D73" s="714"/>
      <c r="E73" s="714"/>
      <c r="F73" s="714"/>
      <c r="G73" s="714"/>
      <c r="H73" s="714"/>
      <c r="I73" s="714"/>
      <c r="J73" s="714"/>
      <c r="K73" s="714"/>
      <c r="L73" s="714"/>
      <c r="M73" s="714"/>
      <c r="N73" s="714"/>
      <c r="O73" s="714"/>
      <c r="P73" s="714"/>
      <c r="Q73" s="714"/>
      <c r="R73" s="714"/>
      <c r="S73" s="714"/>
      <c r="T73" s="714"/>
      <c r="U73" s="714"/>
      <c r="V73" s="714"/>
      <c r="W73" s="714"/>
      <c r="X73" s="714"/>
      <c r="Y73" s="714"/>
      <c r="Z73" s="714"/>
    </row>
    <row r="74" spans="1:26">
      <c r="A74" s="714"/>
      <c r="B74" s="714"/>
      <c r="C74" s="714"/>
      <c r="D74" s="714"/>
      <c r="E74" s="714"/>
      <c r="F74" s="714"/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714"/>
      <c r="T74" s="714"/>
      <c r="U74" s="714"/>
      <c r="V74" s="714"/>
      <c r="W74" s="714"/>
      <c r="X74" s="714"/>
      <c r="Y74" s="714"/>
      <c r="Z74" s="714"/>
    </row>
    <row r="75" spans="1:26">
      <c r="A75" s="714"/>
      <c r="B75" s="714"/>
      <c r="C75" s="714"/>
      <c r="D75" s="714"/>
      <c r="E75" s="714"/>
      <c r="F75" s="714"/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714"/>
      <c r="T75" s="714"/>
      <c r="U75" s="714"/>
      <c r="V75" s="714"/>
      <c r="W75" s="714"/>
      <c r="X75" s="714"/>
      <c r="Y75" s="714"/>
      <c r="Z75" s="714"/>
    </row>
    <row r="76" spans="1:26">
      <c r="A76" s="714"/>
      <c r="B76" s="714"/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  <c r="S76" s="714"/>
      <c r="T76" s="714"/>
      <c r="U76" s="714"/>
      <c r="V76" s="714"/>
      <c r="W76" s="714"/>
      <c r="X76" s="714"/>
      <c r="Y76" s="714"/>
      <c r="Z76" s="714"/>
    </row>
    <row r="77" spans="1:26">
      <c r="A77" s="714"/>
      <c r="B77" s="714"/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  <c r="S77" s="714"/>
      <c r="T77" s="714"/>
      <c r="U77" s="714"/>
      <c r="V77" s="714"/>
      <c r="W77" s="714"/>
      <c r="X77" s="714"/>
      <c r="Y77" s="714"/>
      <c r="Z77" s="714"/>
    </row>
    <row r="78" spans="1:26">
      <c r="A78" s="714"/>
      <c r="B78" s="714"/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</row>
    <row r="79" spans="1:26">
      <c r="A79" s="714"/>
      <c r="B79" s="714"/>
      <c r="C79" s="714"/>
      <c r="D79" s="714"/>
      <c r="E79" s="714"/>
      <c r="F79" s="714"/>
      <c r="G79" s="714"/>
      <c r="H79" s="714"/>
      <c r="I79" s="714"/>
      <c r="J79" s="714"/>
      <c r="K79" s="714"/>
      <c r="L79" s="714"/>
      <c r="M79" s="714"/>
      <c r="N79" s="714"/>
      <c r="O79" s="714"/>
      <c r="P79" s="714"/>
      <c r="Q79" s="714"/>
      <c r="R79" s="714"/>
      <c r="S79" s="714"/>
      <c r="T79" s="714"/>
      <c r="U79" s="714"/>
      <c r="V79" s="714"/>
      <c r="W79" s="714"/>
      <c r="X79" s="714"/>
      <c r="Y79" s="714"/>
      <c r="Z79" s="714"/>
    </row>
    <row r="80" spans="1:26">
      <c r="A80" s="714"/>
      <c r="B80" s="714"/>
      <c r="C80" s="714"/>
      <c r="D80" s="714"/>
      <c r="E80" s="714"/>
      <c r="F80" s="714"/>
      <c r="G80" s="714"/>
      <c r="H80" s="714"/>
      <c r="I80" s="714"/>
      <c r="J80" s="714"/>
      <c r="K80" s="714"/>
      <c r="L80" s="714"/>
      <c r="M80" s="714"/>
      <c r="N80" s="714"/>
      <c r="O80" s="714"/>
      <c r="P80" s="714"/>
      <c r="Q80" s="714"/>
      <c r="R80" s="714"/>
      <c r="S80" s="714"/>
      <c r="T80" s="714"/>
      <c r="U80" s="714"/>
      <c r="V80" s="714"/>
      <c r="W80" s="714"/>
      <c r="X80" s="714"/>
      <c r="Y80" s="714"/>
      <c r="Z80" s="714"/>
    </row>
    <row r="81" spans="1:26">
      <c r="A81" s="714"/>
      <c r="B81" s="714"/>
      <c r="C81" s="714"/>
      <c r="D81" s="714"/>
      <c r="E81" s="714"/>
      <c r="F81" s="714"/>
      <c r="G81" s="714"/>
      <c r="H81" s="714"/>
      <c r="I81" s="714"/>
      <c r="J81" s="714"/>
      <c r="K81" s="714"/>
      <c r="L81" s="714"/>
      <c r="M81" s="714"/>
      <c r="N81" s="714"/>
      <c r="O81" s="714"/>
      <c r="P81" s="714"/>
      <c r="Q81" s="714"/>
      <c r="R81" s="714"/>
      <c r="S81" s="714"/>
      <c r="T81" s="714"/>
      <c r="U81" s="714"/>
      <c r="V81" s="714"/>
      <c r="W81" s="714"/>
      <c r="X81" s="714"/>
      <c r="Y81" s="714"/>
      <c r="Z81" s="714"/>
    </row>
    <row r="82" spans="1:26">
      <c r="A82" s="714"/>
      <c r="B82" s="714"/>
      <c r="C82" s="714"/>
      <c r="D82" s="714"/>
      <c r="E82" s="714"/>
      <c r="F82" s="714"/>
      <c r="G82" s="714"/>
      <c r="H82" s="714"/>
      <c r="I82" s="714"/>
      <c r="J82" s="714"/>
      <c r="K82" s="714"/>
      <c r="L82" s="714"/>
      <c r="M82" s="714"/>
      <c r="N82" s="714"/>
      <c r="O82" s="714"/>
      <c r="P82" s="714"/>
      <c r="Q82" s="714"/>
      <c r="R82" s="714"/>
      <c r="S82" s="714"/>
      <c r="T82" s="714"/>
      <c r="U82" s="714"/>
      <c r="V82" s="714"/>
      <c r="W82" s="714"/>
      <c r="X82" s="714"/>
      <c r="Y82" s="714"/>
      <c r="Z82" s="714"/>
    </row>
    <row r="83" spans="1:26">
      <c r="A83" s="714"/>
      <c r="B83" s="714"/>
      <c r="C83" s="714"/>
      <c r="D83" s="714"/>
      <c r="E83" s="714"/>
      <c r="F83" s="714"/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714"/>
      <c r="T83" s="714"/>
      <c r="U83" s="714"/>
      <c r="V83" s="714"/>
      <c r="W83" s="714"/>
      <c r="X83" s="714"/>
      <c r="Y83" s="714"/>
      <c r="Z83" s="714"/>
    </row>
    <row r="84" spans="1:26">
      <c r="A84" s="714"/>
      <c r="B84" s="714"/>
      <c r="C84" s="714"/>
      <c r="D84" s="714"/>
      <c r="E84" s="714"/>
      <c r="F84" s="714"/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714"/>
      <c r="T84" s="714"/>
      <c r="U84" s="714"/>
      <c r="V84" s="714"/>
      <c r="W84" s="714"/>
      <c r="X84" s="714"/>
      <c r="Y84" s="714"/>
      <c r="Z84" s="714"/>
    </row>
    <row r="85" spans="1:26">
      <c r="A85" s="714"/>
      <c r="B85" s="714"/>
      <c r="C85" s="714"/>
      <c r="D85" s="714"/>
      <c r="E85" s="714"/>
      <c r="F85" s="714"/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714"/>
      <c r="T85" s="714"/>
      <c r="U85" s="714"/>
      <c r="V85" s="714"/>
      <c r="W85" s="714"/>
      <c r="X85" s="714"/>
      <c r="Y85" s="714"/>
      <c r="Z85" s="714"/>
    </row>
    <row r="86" spans="1:26">
      <c r="A86" s="714"/>
      <c r="B86" s="714"/>
      <c r="C86" s="714"/>
      <c r="D86" s="714"/>
      <c r="E86" s="714"/>
      <c r="F86" s="714"/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714"/>
      <c r="T86" s="714"/>
      <c r="U86" s="714"/>
      <c r="V86" s="714"/>
      <c r="W86" s="714"/>
      <c r="X86" s="714"/>
      <c r="Y86" s="714"/>
      <c r="Z86" s="714"/>
    </row>
    <row r="87" spans="1:26">
      <c r="A87" s="714"/>
      <c r="B87" s="714"/>
      <c r="C87" s="714"/>
      <c r="D87" s="714"/>
      <c r="E87" s="714"/>
      <c r="F87" s="714"/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714"/>
      <c r="T87" s="714"/>
      <c r="U87" s="714"/>
      <c r="V87" s="714"/>
      <c r="W87" s="714"/>
      <c r="X87" s="714"/>
      <c r="Y87" s="714"/>
      <c r="Z87" s="714"/>
    </row>
    <row r="88" spans="1:26">
      <c r="A88" s="714"/>
      <c r="B88" s="714"/>
      <c r="C88" s="714"/>
      <c r="D88" s="714"/>
      <c r="E88" s="714"/>
      <c r="F88" s="714"/>
      <c r="G88" s="714"/>
      <c r="H88" s="714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</row>
    <row r="89" spans="1:26">
      <c r="A89" s="714"/>
      <c r="B89" s="714"/>
      <c r="C89" s="714"/>
      <c r="D89" s="714"/>
      <c r="E89" s="714"/>
      <c r="F89" s="714"/>
      <c r="G89" s="714"/>
      <c r="H89" s="714"/>
      <c r="I89" s="714"/>
      <c r="J89" s="714"/>
      <c r="K89" s="714"/>
      <c r="L89" s="714"/>
      <c r="M89" s="714"/>
      <c r="N89" s="714"/>
      <c r="O89" s="714"/>
      <c r="P89" s="714"/>
      <c r="Q89" s="714"/>
      <c r="R89" s="714"/>
      <c r="S89" s="714"/>
      <c r="T89" s="714"/>
      <c r="U89" s="714"/>
      <c r="V89" s="714"/>
      <c r="W89" s="714"/>
      <c r="X89" s="714"/>
      <c r="Y89" s="714"/>
      <c r="Z89" s="714"/>
    </row>
    <row r="90" spans="1:26">
      <c r="A90" s="714"/>
      <c r="B90" s="714"/>
      <c r="C90" s="714"/>
      <c r="D90" s="714"/>
      <c r="E90" s="714"/>
      <c r="F90" s="714"/>
      <c r="G90" s="714"/>
      <c r="H90" s="714"/>
      <c r="I90" s="714"/>
      <c r="J90" s="714"/>
      <c r="K90" s="714"/>
      <c r="L90" s="714"/>
      <c r="M90" s="714"/>
      <c r="N90" s="714"/>
      <c r="O90" s="714"/>
      <c r="P90" s="714"/>
      <c r="Q90" s="714"/>
      <c r="R90" s="714"/>
      <c r="S90" s="714"/>
      <c r="T90" s="714"/>
      <c r="U90" s="714"/>
      <c r="V90" s="714"/>
      <c r="W90" s="714"/>
      <c r="X90" s="714"/>
      <c r="Y90" s="714"/>
      <c r="Z90" s="714"/>
    </row>
    <row r="91" spans="1:26">
      <c r="A91" s="714"/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714"/>
      <c r="M91" s="714"/>
      <c r="N91" s="714"/>
      <c r="O91" s="714"/>
      <c r="P91" s="714"/>
      <c r="Q91" s="714"/>
      <c r="R91" s="714"/>
      <c r="S91" s="714"/>
      <c r="T91" s="714"/>
      <c r="U91" s="714"/>
      <c r="V91" s="714"/>
      <c r="W91" s="714"/>
      <c r="X91" s="714"/>
      <c r="Y91" s="714"/>
      <c r="Z91" s="714"/>
    </row>
    <row r="92" spans="1:26">
      <c r="A92" s="714"/>
      <c r="B92" s="714"/>
      <c r="C92" s="714"/>
      <c r="D92" s="714"/>
      <c r="E92" s="714"/>
      <c r="F92" s="714"/>
      <c r="G92" s="714"/>
      <c r="H92" s="714"/>
      <c r="I92" s="714"/>
      <c r="J92" s="714"/>
      <c r="K92" s="714"/>
      <c r="L92" s="714"/>
      <c r="M92" s="714"/>
      <c r="N92" s="714"/>
      <c r="O92" s="714"/>
      <c r="P92" s="714"/>
      <c r="Q92" s="714"/>
      <c r="R92" s="714"/>
      <c r="S92" s="714"/>
      <c r="T92" s="714"/>
      <c r="U92" s="714"/>
      <c r="V92" s="714"/>
      <c r="W92" s="714"/>
      <c r="X92" s="714"/>
      <c r="Y92" s="714"/>
      <c r="Z92" s="714"/>
    </row>
    <row r="93" spans="1:26">
      <c r="A93" s="714"/>
      <c r="B93" s="714"/>
      <c r="C93" s="714"/>
      <c r="D93" s="714"/>
      <c r="E93" s="714"/>
      <c r="F93" s="714"/>
      <c r="G93" s="714"/>
      <c r="H93" s="714"/>
      <c r="I93" s="714"/>
      <c r="J93" s="714"/>
      <c r="K93" s="714"/>
      <c r="L93" s="714"/>
      <c r="M93" s="714"/>
      <c r="N93" s="714"/>
      <c r="O93" s="714"/>
      <c r="P93" s="714"/>
      <c r="Q93" s="714"/>
      <c r="R93" s="714"/>
      <c r="S93" s="714"/>
      <c r="T93" s="714"/>
      <c r="U93" s="714"/>
      <c r="V93" s="714"/>
      <c r="W93" s="714"/>
      <c r="X93" s="714"/>
      <c r="Y93" s="714"/>
      <c r="Z93" s="714"/>
    </row>
    <row r="94" spans="1:26">
      <c r="A94" s="71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714"/>
      <c r="P94" s="714"/>
      <c r="Q94" s="714"/>
      <c r="R94" s="714"/>
      <c r="S94" s="714"/>
      <c r="T94" s="714"/>
      <c r="U94" s="714"/>
      <c r="V94" s="714"/>
      <c r="W94" s="714"/>
      <c r="X94" s="714"/>
      <c r="Y94" s="714"/>
      <c r="Z94" s="714"/>
    </row>
    <row r="95" spans="1:26">
      <c r="A95" s="714"/>
      <c r="B95" s="714"/>
      <c r="C95" s="714"/>
      <c r="D95" s="714"/>
      <c r="E95" s="714"/>
      <c r="F95" s="714"/>
      <c r="G95" s="714"/>
      <c r="H95" s="714"/>
      <c r="I95" s="714"/>
      <c r="J95" s="714"/>
      <c r="K95" s="714"/>
      <c r="L95" s="714"/>
      <c r="M95" s="714"/>
      <c r="N95" s="714"/>
      <c r="O95" s="714"/>
      <c r="P95" s="714"/>
      <c r="Q95" s="714"/>
      <c r="R95" s="714"/>
      <c r="S95" s="714"/>
      <c r="T95" s="714"/>
      <c r="U95" s="714"/>
      <c r="V95" s="714"/>
      <c r="W95" s="714"/>
      <c r="X95" s="714"/>
      <c r="Y95" s="714"/>
      <c r="Z95" s="714"/>
    </row>
    <row r="96" spans="1:26">
      <c r="A96" s="714"/>
      <c r="B96" s="714"/>
      <c r="C96" s="714"/>
      <c r="D96" s="714"/>
      <c r="E96" s="714"/>
      <c r="F96" s="714"/>
      <c r="G96" s="714"/>
      <c r="H96" s="714"/>
      <c r="I96" s="714"/>
      <c r="J96" s="714"/>
      <c r="K96" s="714"/>
      <c r="L96" s="714"/>
      <c r="M96" s="714"/>
      <c r="N96" s="714"/>
      <c r="O96" s="714"/>
      <c r="P96" s="714"/>
      <c r="Q96" s="714"/>
      <c r="R96" s="714"/>
      <c r="S96" s="714"/>
      <c r="T96" s="714"/>
      <c r="U96" s="714"/>
      <c r="V96" s="714"/>
      <c r="W96" s="714"/>
      <c r="X96" s="714"/>
      <c r="Y96" s="714"/>
      <c r="Z96" s="714"/>
    </row>
    <row r="97" spans="1:26">
      <c r="A97" s="714"/>
      <c r="B97" s="714"/>
      <c r="C97" s="714"/>
      <c r="D97" s="714"/>
      <c r="E97" s="714"/>
      <c r="F97" s="714"/>
      <c r="G97" s="714"/>
      <c r="H97" s="714"/>
      <c r="I97" s="714"/>
      <c r="J97" s="714"/>
      <c r="K97" s="714"/>
      <c r="L97" s="714"/>
      <c r="M97" s="714"/>
      <c r="N97" s="714"/>
      <c r="O97" s="714"/>
      <c r="P97" s="714"/>
      <c r="Q97" s="714"/>
      <c r="R97" s="714"/>
      <c r="S97" s="714"/>
      <c r="T97" s="714"/>
      <c r="U97" s="714"/>
      <c r="V97" s="714"/>
      <c r="W97" s="714"/>
      <c r="X97" s="714"/>
      <c r="Y97" s="714"/>
      <c r="Z97" s="714"/>
    </row>
    <row r="98" spans="1:26">
      <c r="A98" s="714"/>
      <c r="B98" s="714"/>
      <c r="C98" s="714"/>
      <c r="D98" s="714"/>
      <c r="E98" s="714"/>
      <c r="F98" s="714"/>
      <c r="G98" s="714"/>
      <c r="H98" s="714"/>
      <c r="I98" s="714"/>
      <c r="J98" s="714"/>
      <c r="K98" s="714"/>
      <c r="L98" s="714"/>
      <c r="M98" s="714"/>
      <c r="N98" s="714"/>
      <c r="O98" s="714"/>
      <c r="P98" s="714"/>
      <c r="Q98" s="714"/>
      <c r="R98" s="714"/>
      <c r="S98" s="714"/>
      <c r="T98" s="714"/>
      <c r="U98" s="714"/>
      <c r="V98" s="714"/>
      <c r="W98" s="714"/>
      <c r="X98" s="714"/>
      <c r="Y98" s="714"/>
      <c r="Z98" s="714"/>
    </row>
    <row r="99" spans="1:26">
      <c r="A99" s="714"/>
      <c r="B99" s="714"/>
      <c r="C99" s="714"/>
      <c r="D99" s="714"/>
      <c r="E99" s="714"/>
      <c r="F99" s="714"/>
      <c r="G99" s="714"/>
      <c r="H99" s="714"/>
      <c r="I99" s="714"/>
      <c r="J99" s="714"/>
      <c r="K99" s="714"/>
      <c r="L99" s="714"/>
      <c r="M99" s="714"/>
      <c r="N99" s="714"/>
      <c r="O99" s="714"/>
      <c r="P99" s="714"/>
      <c r="Q99" s="714"/>
      <c r="R99" s="714"/>
      <c r="S99" s="714"/>
      <c r="T99" s="714"/>
      <c r="U99" s="714"/>
      <c r="V99" s="714"/>
      <c r="W99" s="714"/>
      <c r="X99" s="714"/>
      <c r="Y99" s="714"/>
      <c r="Z99" s="714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862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3" t="s">
        <v>11</v>
      </c>
      <c r="H11" s="1075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6" t="s">
        <v>604</v>
      </c>
      <c r="H18" s="1077"/>
    </row>
    <row r="19" spans="2:8" ht="15">
      <c r="B19" s="455"/>
      <c r="C19" s="455"/>
      <c r="D19" s="698"/>
      <c r="G19" s="493" t="s">
        <v>17</v>
      </c>
      <c r="H19" s="493" t="s">
        <v>764</v>
      </c>
    </row>
    <row r="20" spans="2:8">
      <c r="B20" s="455"/>
      <c r="C20" s="455"/>
      <c r="D20" s="698"/>
      <c r="G20" s="460"/>
      <c r="H20" s="460"/>
    </row>
    <row r="21" spans="2:8" ht="15" customHeight="1">
      <c r="B21" s="455"/>
      <c r="C21" s="455"/>
      <c r="D21" s="698"/>
      <c r="G21" s="460"/>
      <c r="H21" s="460"/>
    </row>
    <row r="22" spans="2:8" ht="15" customHeight="1">
      <c r="B22" s="455"/>
      <c r="C22" s="455"/>
      <c r="D22" s="698"/>
      <c r="G22" s="460"/>
      <c r="H22" s="460"/>
    </row>
    <row r="23" spans="2:8" ht="15" customHeight="1">
      <c r="B23" s="455"/>
      <c r="C23" s="455"/>
      <c r="D23" s="698"/>
      <c r="G23" s="460"/>
      <c r="H23" s="460"/>
    </row>
    <row r="24" spans="2:8" ht="15" customHeight="1">
      <c r="B24" s="455"/>
      <c r="C24" s="455"/>
      <c r="D24" s="698"/>
      <c r="G24" s="460"/>
      <c r="H24" s="460"/>
    </row>
    <row r="25" spans="2:8" ht="15" hidden="1" customHeight="1">
      <c r="B25" s="455"/>
      <c r="C25" s="455"/>
      <c r="D25" s="698"/>
      <c r="G25" s="460"/>
      <c r="H25" s="460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869</v>
      </c>
    </row>
    <row r="29" spans="2:8" ht="15" customHeight="1">
      <c r="B29" s="498" t="s">
        <v>15</v>
      </c>
      <c r="C29" s="494" t="s">
        <v>603</v>
      </c>
      <c r="D29" s="494"/>
      <c r="E29" s="499"/>
      <c r="F29" s="709" t="s">
        <v>870</v>
      </c>
    </row>
    <row r="30" spans="2:8" ht="15">
      <c r="B30" s="699" t="s">
        <v>16</v>
      </c>
      <c r="C30" s="707" t="s">
        <v>605</v>
      </c>
      <c r="D30" s="707"/>
      <c r="E30" s="708"/>
      <c r="F30" s="702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709" t="s">
        <v>870</v>
      </c>
      <c r="G31" s="58" t="s">
        <v>868</v>
      </c>
    </row>
    <row r="32" spans="2:8" ht="15">
      <c r="B32" s="699" t="s">
        <v>21</v>
      </c>
      <c r="C32" s="707" t="s">
        <v>606</v>
      </c>
      <c r="D32" s="701">
        <v>44044</v>
      </c>
      <c r="E32" s="708" t="s">
        <v>737</v>
      </c>
      <c r="F32" s="702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710" t="s">
        <v>870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709" t="s">
        <v>870</v>
      </c>
      <c r="G34" s="58" t="s">
        <v>866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865</v>
      </c>
      <c r="D37" s="496">
        <v>43983</v>
      </c>
      <c r="E37" s="483" t="s">
        <v>737</v>
      </c>
      <c r="F37" s="710" t="s">
        <v>870</v>
      </c>
      <c r="G37" s="58" t="s">
        <v>864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710" t="s">
        <v>870</v>
      </c>
      <c r="G38" s="58" t="s">
        <v>864</v>
      </c>
    </row>
    <row r="39" spans="2:7" ht="15">
      <c r="B39" s="498" t="s">
        <v>759</v>
      </c>
      <c r="C39" s="497" t="s">
        <v>871</v>
      </c>
      <c r="D39" s="496">
        <v>43983</v>
      </c>
      <c r="E39" s="483" t="s">
        <v>737</v>
      </c>
      <c r="F39" s="710" t="s">
        <v>870</v>
      </c>
      <c r="G39" s="58" t="s">
        <v>872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710" t="s">
        <v>870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709" t="s">
        <v>870</v>
      </c>
    </row>
    <row r="42" spans="2:7" ht="15">
      <c r="B42" s="699" t="s">
        <v>763</v>
      </c>
      <c r="C42" s="700" t="s">
        <v>762</v>
      </c>
      <c r="D42" s="701">
        <v>44044</v>
      </c>
      <c r="E42" s="702" t="s">
        <v>737</v>
      </c>
      <c r="F42" s="702" t="s">
        <v>316</v>
      </c>
    </row>
    <row r="43" spans="2:7" ht="15.75" thickBot="1">
      <c r="B43" s="703" t="s">
        <v>763</v>
      </c>
      <c r="C43" s="704" t="s">
        <v>762</v>
      </c>
      <c r="D43" s="705">
        <v>44044</v>
      </c>
      <c r="E43" s="706" t="s">
        <v>737</v>
      </c>
      <c r="F43" s="706" t="s">
        <v>316</v>
      </c>
    </row>
    <row r="44" spans="2:7" ht="15">
      <c r="B44" s="711" t="s">
        <v>753</v>
      </c>
      <c r="C44" s="712" t="s">
        <v>873</v>
      </c>
      <c r="D44" s="496">
        <v>44044</v>
      </c>
      <c r="E44" s="483" t="s">
        <v>737</v>
      </c>
      <c r="F44" s="710" t="s">
        <v>870</v>
      </c>
      <c r="G44" s="453" t="s">
        <v>874</v>
      </c>
    </row>
    <row r="45" spans="2:7" ht="15" thickBot="1"/>
    <row r="46" spans="2:7" ht="19.5" thickBot="1">
      <c r="B46" s="1073" t="s">
        <v>610</v>
      </c>
      <c r="C46" s="1074"/>
      <c r="D46" s="1074"/>
      <c r="E46" s="1075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861</v>
      </c>
      <c r="D48" s="502">
        <v>44166</v>
      </c>
      <c r="E48" s="503" t="s">
        <v>737</v>
      </c>
      <c r="G48" s="453" t="s">
        <v>867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workbookViewId="0">
      <selection activeCell="B13" sqref="B13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83" t="s">
        <v>23</v>
      </c>
      <c r="B1" s="1084"/>
      <c r="C1" s="1084"/>
    </row>
    <row r="2" spans="1:3" s="47" customFormat="1">
      <c r="A2" s="635" t="s">
        <v>612</v>
      </c>
      <c r="B2" s="635" t="s">
        <v>24</v>
      </c>
      <c r="C2" s="635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635"/>
      <c r="B6" s="635" t="s">
        <v>24</v>
      </c>
      <c r="C6" s="635" t="s">
        <v>4</v>
      </c>
    </row>
    <row r="7" spans="1:3">
      <c r="A7" s="1080" t="s">
        <v>25</v>
      </c>
      <c r="B7" s="1081"/>
      <c r="C7" s="108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0" t="s">
        <v>26</v>
      </c>
      <c r="B28" s="1081"/>
      <c r="C28" s="1082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0" t="s">
        <v>39</v>
      </c>
      <c r="B35" s="1081"/>
      <c r="C35" s="1082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0" t="s">
        <v>47</v>
      </c>
      <c r="B39" s="1081"/>
      <c r="C39" s="1082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0" t="s">
        <v>66</v>
      </c>
      <c r="B49" s="1081"/>
      <c r="C49" s="1082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0" t="s">
        <v>68</v>
      </c>
      <c r="B62" s="1081"/>
      <c r="C62" s="1082"/>
    </row>
    <row r="63" spans="1:3">
      <c r="A63" s="1080" t="s">
        <v>69</v>
      </c>
      <c r="B63" s="1081"/>
      <c r="C63" s="1082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0" t="s">
        <v>76</v>
      </c>
      <c r="B70" s="1081"/>
      <c r="C70" s="1082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0" t="s">
        <v>487</v>
      </c>
      <c r="B76" s="1081"/>
      <c r="C76" s="1082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0" t="s">
        <v>716</v>
      </c>
      <c r="B84" s="1081"/>
      <c r="C84" s="1082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37" workbookViewId="0">
      <selection activeCell="U56" sqref="U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553" t="s">
        <v>88</v>
      </c>
      <c r="D1" s="556" t="s">
        <v>89</v>
      </c>
      <c r="E1" s="557" t="s">
        <v>789</v>
      </c>
      <c r="F1" s="558" t="s">
        <v>90</v>
      </c>
      <c r="G1" s="558" t="s">
        <v>91</v>
      </c>
      <c r="H1" s="554" t="s">
        <v>92</v>
      </c>
      <c r="I1" s="556" t="s">
        <v>93</v>
      </c>
      <c r="J1" s="557" t="s">
        <v>94</v>
      </c>
      <c r="K1" s="557" t="s">
        <v>95</v>
      </c>
      <c r="L1" s="554" t="s">
        <v>96</v>
      </c>
      <c r="M1" s="556" t="s">
        <v>97</v>
      </c>
      <c r="N1" s="556" t="s">
        <v>790</v>
      </c>
      <c r="O1" s="557" t="s">
        <v>98</v>
      </c>
      <c r="P1" s="557" t="s">
        <v>99</v>
      </c>
      <c r="Q1" s="557" t="s">
        <v>100</v>
      </c>
      <c r="R1" s="557" t="s">
        <v>101</v>
      </c>
      <c r="S1" s="557" t="s">
        <v>102</v>
      </c>
      <c r="T1" s="554" t="s">
        <v>103</v>
      </c>
      <c r="U1" s="557" t="s">
        <v>104</v>
      </c>
      <c r="V1" s="557" t="s">
        <v>105</v>
      </c>
      <c r="W1" s="558" t="s">
        <v>106</v>
      </c>
      <c r="X1" s="558" t="s">
        <v>107</v>
      </c>
      <c r="Y1" s="558" t="s">
        <v>108</v>
      </c>
      <c r="Z1" s="557" t="s">
        <v>109</v>
      </c>
      <c r="AA1" s="554" t="s">
        <v>110</v>
      </c>
      <c r="AB1" s="555" t="s">
        <v>111</v>
      </c>
      <c r="AC1" s="559" t="s">
        <v>112</v>
      </c>
      <c r="AD1" s="557" t="s">
        <v>113</v>
      </c>
      <c r="AE1" s="554" t="s">
        <v>791</v>
      </c>
      <c r="AF1" s="557" t="s">
        <v>792</v>
      </c>
      <c r="AG1" s="557" t="s">
        <v>114</v>
      </c>
      <c r="AH1" s="557" t="s">
        <v>115</v>
      </c>
      <c r="AI1" s="554" t="s">
        <v>793</v>
      </c>
      <c r="AJ1" s="554" t="s">
        <v>794</v>
      </c>
      <c r="AK1" s="554" t="s">
        <v>795</v>
      </c>
      <c r="AL1" s="554" t="s">
        <v>796</v>
      </c>
      <c r="AM1" s="554" t="s">
        <v>797</v>
      </c>
      <c r="AN1" s="554" t="s">
        <v>116</v>
      </c>
      <c r="AO1" s="554" t="s">
        <v>117</v>
      </c>
      <c r="AP1" s="555" t="s">
        <v>118</v>
      </c>
      <c r="AQ1" s="528" t="s">
        <v>119</v>
      </c>
      <c r="AS1" s="2"/>
    </row>
    <row r="2" spans="1:45" ht="12.75" customHeight="1">
      <c r="A2" s="529" t="s">
        <v>120</v>
      </c>
      <c r="B2" s="834"/>
      <c r="C2" s="835">
        <f>SUM(D2:G2)</f>
        <v>0</v>
      </c>
      <c r="D2" s="836">
        <v>0</v>
      </c>
      <c r="E2" s="837"/>
      <c r="F2" s="838"/>
      <c r="G2" s="838"/>
      <c r="H2" s="839">
        <f>SUM(I2:K2)</f>
        <v>815.92434898628403</v>
      </c>
      <c r="I2" s="840">
        <v>688.22034898628408</v>
      </c>
      <c r="J2" s="841">
        <v>127.70399999999999</v>
      </c>
      <c r="K2" s="842"/>
      <c r="L2" s="839">
        <f>SUM(M2:Z2)</f>
        <v>0</v>
      </c>
      <c r="M2" s="840"/>
      <c r="N2" s="843"/>
      <c r="O2" s="844"/>
      <c r="P2" s="844"/>
      <c r="Q2" s="844"/>
      <c r="R2" s="844"/>
      <c r="S2" s="844"/>
      <c r="T2" s="844"/>
      <c r="U2" s="844"/>
      <c r="V2" s="844"/>
      <c r="W2" s="838"/>
      <c r="X2" s="838"/>
      <c r="Y2" s="838"/>
      <c r="Z2" s="842"/>
      <c r="AA2" s="839">
        <v>2751.9191872187112</v>
      </c>
      <c r="AB2" s="845">
        <f>SUM(AC2:AM2)</f>
        <v>1334.658297317769</v>
      </c>
      <c r="AC2" s="846">
        <v>59.691708987970003</v>
      </c>
      <c r="AD2" s="842">
        <v>743.01992281532614</v>
      </c>
      <c r="AE2" s="842">
        <v>248.90859762015592</v>
      </c>
      <c r="AF2" s="842">
        <v>139.99992739520798</v>
      </c>
      <c r="AG2" s="842">
        <v>33.531818868055431</v>
      </c>
      <c r="AH2" s="842">
        <v>16.813132576534866</v>
      </c>
      <c r="AI2" s="842">
        <v>31.064467987392003</v>
      </c>
      <c r="AJ2" s="842">
        <v>2.6691993220799999</v>
      </c>
      <c r="AK2" s="840">
        <v>1.8899880806415161</v>
      </c>
      <c r="AL2" s="840">
        <v>13.54608560366562</v>
      </c>
      <c r="AM2" s="838">
        <v>43.523448060739646</v>
      </c>
      <c r="AN2" s="847">
        <v>145.43710297949829</v>
      </c>
      <c r="AO2" s="847"/>
      <c r="AP2" s="845"/>
      <c r="AQ2" s="848">
        <f>C2+H2+L2+AA2+AB2+AN2+AO2+AP2</f>
        <v>5047.9389365022625</v>
      </c>
    </row>
    <row r="3" spans="1:45" ht="12.75" customHeight="1">
      <c r="A3" s="530" t="s">
        <v>121</v>
      </c>
      <c r="B3" s="849"/>
      <c r="C3" s="850">
        <f>SUM(D3:G3)</f>
        <v>903.49466255082825</v>
      </c>
      <c r="D3" s="851">
        <v>829.57460107090037</v>
      </c>
      <c r="E3" s="852">
        <v>61.722867734674637</v>
      </c>
      <c r="F3" s="853"/>
      <c r="G3" s="853">
        <v>12.197193745253209</v>
      </c>
      <c r="H3" s="854">
        <f>SUM(I3:K3)</f>
        <v>0</v>
      </c>
      <c r="I3" s="855"/>
      <c r="J3" s="856"/>
      <c r="K3" s="857"/>
      <c r="L3" s="854">
        <f>SUM(M3:Z3)</f>
        <v>9138.5577999094057</v>
      </c>
      <c r="M3" s="855">
        <v>3053.4742963851995</v>
      </c>
      <c r="N3" s="855">
        <v>16.633377499200002</v>
      </c>
      <c r="O3" s="857">
        <v>0</v>
      </c>
      <c r="P3" s="857">
        <v>564.2364083333332</v>
      </c>
      <c r="Q3" s="857">
        <v>369.14638715136005</v>
      </c>
      <c r="R3" s="857">
        <v>1542.2444022448799</v>
      </c>
      <c r="S3" s="857">
        <v>82.827948630790956</v>
      </c>
      <c r="T3" s="857">
        <v>157.5463640726893</v>
      </c>
      <c r="U3" s="857">
        <v>2932.6955801163149</v>
      </c>
      <c r="V3" s="857">
        <v>166.37647928144222</v>
      </c>
      <c r="W3" s="853">
        <v>7.5616539426795564</v>
      </c>
      <c r="X3" s="853">
        <v>200.83222211696253</v>
      </c>
      <c r="Y3" s="853">
        <v>1.2281470084248403</v>
      </c>
      <c r="Z3" s="857">
        <v>43.754533126130625</v>
      </c>
      <c r="AA3" s="854">
        <v>1728.338063506957</v>
      </c>
      <c r="AB3" s="858">
        <f>SUM(AC3:AM3)</f>
        <v>151.93355907200862</v>
      </c>
      <c r="AC3" s="859"/>
      <c r="AD3" s="857"/>
      <c r="AE3" s="857">
        <v>24.282116302936618</v>
      </c>
      <c r="AF3" s="857"/>
      <c r="AG3" s="857"/>
      <c r="AH3" s="857"/>
      <c r="AI3" s="857">
        <v>104.81441230492801</v>
      </c>
      <c r="AJ3" s="857">
        <v>22.837030464144</v>
      </c>
      <c r="AK3" s="855"/>
      <c r="AL3" s="855"/>
      <c r="AM3" s="853"/>
      <c r="AN3" s="860"/>
      <c r="AO3" s="860">
        <v>139.45061680000001</v>
      </c>
      <c r="AP3" s="858"/>
      <c r="AQ3" s="861">
        <f t="shared" ref="AQ3:AQ20" si="0">C3+H3+L3+AA3+AB3+AN3+AO3+AP3</f>
        <v>12061.7747018392</v>
      </c>
    </row>
    <row r="4" spans="1:45" ht="12.75" customHeight="1">
      <c r="A4" s="530" t="s">
        <v>122</v>
      </c>
      <c r="B4" s="849"/>
      <c r="C4" s="850">
        <f>SUM(D4:G4)</f>
        <v>15.186580890896002</v>
      </c>
      <c r="D4" s="851">
        <v>0</v>
      </c>
      <c r="E4" s="862">
        <v>14.097722162000002</v>
      </c>
      <c r="F4" s="853"/>
      <c r="G4" s="853">
        <v>1.0888587288959999</v>
      </c>
      <c r="H4" s="854">
        <f>SUM(I4:K4)</f>
        <v>7.0330680000000001</v>
      </c>
      <c r="I4" s="855"/>
      <c r="J4" s="856"/>
      <c r="K4" s="857">
        <v>7.0330680000000001</v>
      </c>
      <c r="L4" s="854">
        <f>SUM(M4:Z4)</f>
        <v>1717.0624747879344</v>
      </c>
      <c r="M4" s="855">
        <v>0</v>
      </c>
      <c r="N4" s="855">
        <v>0</v>
      </c>
      <c r="O4" s="857"/>
      <c r="P4" s="857">
        <v>364.52221864444448</v>
      </c>
      <c r="Q4" s="857">
        <v>21.672508399360005</v>
      </c>
      <c r="R4" s="857">
        <v>156.29379915984001</v>
      </c>
      <c r="S4" s="857">
        <v>986.60611760112999</v>
      </c>
      <c r="T4" s="857">
        <v>35.289733288720633</v>
      </c>
      <c r="U4" s="857">
        <v>102.14625414775992</v>
      </c>
      <c r="V4" s="857">
        <v>2.9088437938490893E-3</v>
      </c>
      <c r="W4" s="853">
        <v>36.297317128453038</v>
      </c>
      <c r="X4" s="853">
        <v>5.4694689952000006</v>
      </c>
      <c r="Y4" s="853">
        <v>1.8500297569930473E-2</v>
      </c>
      <c r="Z4" s="857">
        <v>8.7436482816626366</v>
      </c>
      <c r="AA4" s="854">
        <v>0</v>
      </c>
      <c r="AB4" s="858">
        <f>SUM(AC4:AM4)</f>
        <v>9.4476585178560004</v>
      </c>
      <c r="AC4" s="859"/>
      <c r="AD4" s="857"/>
      <c r="AE4" s="857">
        <v>0.41264639999999991</v>
      </c>
      <c r="AF4" s="857"/>
      <c r="AG4" s="857"/>
      <c r="AH4" s="857"/>
      <c r="AI4" s="857">
        <v>9.0350121178560006</v>
      </c>
      <c r="AJ4" s="857">
        <v>0</v>
      </c>
      <c r="AK4" s="855"/>
      <c r="AL4" s="855"/>
      <c r="AM4" s="853"/>
      <c r="AN4" s="860"/>
      <c r="AO4" s="860">
        <v>141.83539077999998</v>
      </c>
      <c r="AP4" s="858"/>
      <c r="AQ4" s="861">
        <f t="shared" si="0"/>
        <v>1890.5651729766864</v>
      </c>
    </row>
    <row r="5" spans="1:45" ht="12.75" customHeight="1">
      <c r="A5" s="530" t="s">
        <v>123</v>
      </c>
      <c r="B5" s="849"/>
      <c r="C5" s="850">
        <f>SUM(D5:G5)</f>
        <v>0</v>
      </c>
      <c r="D5" s="851"/>
      <c r="E5" s="862"/>
      <c r="F5" s="853"/>
      <c r="G5" s="853"/>
      <c r="H5" s="854">
        <f>SUM(I5:K5)</f>
        <v>0</v>
      </c>
      <c r="I5" s="855"/>
      <c r="J5" s="856"/>
      <c r="K5" s="857"/>
      <c r="L5" s="854">
        <f>SUM(M5:Z5)</f>
        <v>172.71258946798309</v>
      </c>
      <c r="M5" s="855"/>
      <c r="N5" s="855"/>
      <c r="O5" s="857"/>
      <c r="P5" s="857"/>
      <c r="Q5" s="857"/>
      <c r="R5" s="857"/>
      <c r="S5" s="857">
        <v>15.730078096892656</v>
      </c>
      <c r="T5" s="857"/>
      <c r="U5" s="857">
        <v>156.98251137109042</v>
      </c>
      <c r="V5" s="857"/>
      <c r="W5" s="853"/>
      <c r="X5" s="853"/>
      <c r="Y5" s="853"/>
      <c r="Z5" s="857"/>
      <c r="AA5" s="854"/>
      <c r="AB5" s="858">
        <f>SUM(AC5:AM5)</f>
        <v>0</v>
      </c>
      <c r="AC5" s="859"/>
      <c r="AD5" s="857"/>
      <c r="AE5" s="857"/>
      <c r="AF5" s="857"/>
      <c r="AG5" s="857"/>
      <c r="AH5" s="857"/>
      <c r="AI5" s="857"/>
      <c r="AJ5" s="857"/>
      <c r="AK5" s="855"/>
      <c r="AL5" s="855"/>
      <c r="AM5" s="853"/>
      <c r="AN5" s="860"/>
      <c r="AO5" s="860"/>
      <c r="AP5" s="858"/>
      <c r="AQ5" s="861">
        <f t="shared" si="0"/>
        <v>172.71258946798309</v>
      </c>
    </row>
    <row r="6" spans="1:45" ht="12.75" customHeight="1" thickBot="1">
      <c r="A6" s="531" t="s">
        <v>124</v>
      </c>
      <c r="B6" s="863"/>
      <c r="C6" s="850">
        <f>SUM(D6:G6)</f>
        <v>-101.25634942971131</v>
      </c>
      <c r="D6" s="864">
        <v>-101.869888772661</v>
      </c>
      <c r="E6" s="853">
        <v>-0.8079766727235479</v>
      </c>
      <c r="F6" s="865"/>
      <c r="G6" s="865">
        <v>1.4215160156732278</v>
      </c>
      <c r="H6" s="866">
        <f>SUM(I6:K6)</f>
        <v>-122.93905189963694</v>
      </c>
      <c r="I6" s="867">
        <v>-136.53826589963694</v>
      </c>
      <c r="J6" s="868">
        <v>0</v>
      </c>
      <c r="K6" s="867">
        <v>13.599214000000003</v>
      </c>
      <c r="L6" s="866">
        <f>SUM(M6:Z6)</f>
        <v>151.33981188504902</v>
      </c>
      <c r="M6" s="855">
        <v>38.730964773999993</v>
      </c>
      <c r="N6" s="855">
        <v>-8.8751519999999999</v>
      </c>
      <c r="O6" s="857"/>
      <c r="P6" s="857">
        <v>-9.6980083333333713</v>
      </c>
      <c r="Q6" s="857">
        <v>12.883201938880001</v>
      </c>
      <c r="R6" s="857">
        <v>82.12024884504001</v>
      </c>
      <c r="S6" s="857">
        <v>23.637599999999999</v>
      </c>
      <c r="T6" s="857">
        <v>1.4659197380156652</v>
      </c>
      <c r="U6" s="857">
        <v>8.3874136006762399</v>
      </c>
      <c r="V6" s="857">
        <v>3.2040911090633046</v>
      </c>
      <c r="W6" s="865">
        <v>-0.51646778729281662</v>
      </c>
      <c r="X6" s="865">
        <v>0</v>
      </c>
      <c r="Y6" s="865">
        <v>0</v>
      </c>
      <c r="Z6" s="867">
        <v>0</v>
      </c>
      <c r="AA6" s="866">
        <v>0</v>
      </c>
      <c r="AB6" s="869">
        <f>SUM(AC6:AM6)</f>
        <v>4.4601014379600006</v>
      </c>
      <c r="AC6" s="870"/>
      <c r="AD6" s="871"/>
      <c r="AE6" s="871">
        <v>0.26707427819999968</v>
      </c>
      <c r="AF6" s="871"/>
      <c r="AG6" s="871"/>
      <c r="AH6" s="871"/>
      <c r="AI6" s="871">
        <v>1.7828522013120007</v>
      </c>
      <c r="AJ6" s="871">
        <v>2.4101749584479997</v>
      </c>
      <c r="AK6" s="867"/>
      <c r="AL6" s="867"/>
      <c r="AM6" s="865"/>
      <c r="AN6" s="872"/>
      <c r="AO6" s="872"/>
      <c r="AP6" s="869"/>
      <c r="AQ6" s="873">
        <f t="shared" si="0"/>
        <v>-68.395488006339221</v>
      </c>
    </row>
    <row r="7" spans="1:45" s="5" customFormat="1" ht="12.75" customHeight="1">
      <c r="A7" s="532" t="s">
        <v>125</v>
      </c>
      <c r="B7" s="874"/>
      <c r="C7" s="875">
        <f t="shared" ref="C7:AP7" si="1">C2+C3-C4-C5+C6</f>
        <v>787.05173223022086</v>
      </c>
      <c r="D7" s="876">
        <f t="shared" si="1"/>
        <v>727.70471229823943</v>
      </c>
      <c r="E7" s="877">
        <f t="shared" si="1"/>
        <v>46.817168899951085</v>
      </c>
      <c r="F7" s="877">
        <f t="shared" si="1"/>
        <v>0</v>
      </c>
      <c r="G7" s="877">
        <f t="shared" si="1"/>
        <v>12.529851032030438</v>
      </c>
      <c r="H7" s="878">
        <f t="shared" si="1"/>
        <v>685.95222908664709</v>
      </c>
      <c r="I7" s="876">
        <f t="shared" si="1"/>
        <v>551.68208308664714</v>
      </c>
      <c r="J7" s="879">
        <f t="shared" si="1"/>
        <v>127.70399999999999</v>
      </c>
      <c r="K7" s="877">
        <f t="shared" si="1"/>
        <v>6.5661460000000034</v>
      </c>
      <c r="L7" s="878">
        <f t="shared" si="1"/>
        <v>7400.1225475385372</v>
      </c>
      <c r="M7" s="876">
        <f t="shared" si="1"/>
        <v>3092.2052611591994</v>
      </c>
      <c r="N7" s="876">
        <f t="shared" si="1"/>
        <v>7.7582254992000017</v>
      </c>
      <c r="O7" s="877">
        <f t="shared" si="1"/>
        <v>0</v>
      </c>
      <c r="P7" s="877">
        <f t="shared" si="1"/>
        <v>190.01618135555535</v>
      </c>
      <c r="Q7" s="877">
        <f t="shared" si="1"/>
        <v>360.35708069088003</v>
      </c>
      <c r="R7" s="877">
        <f t="shared" si="1"/>
        <v>1468.0708519300797</v>
      </c>
      <c r="S7" s="877">
        <f t="shared" si="1"/>
        <v>-895.87064706723163</v>
      </c>
      <c r="T7" s="877">
        <f t="shared" si="1"/>
        <v>123.72255052198433</v>
      </c>
      <c r="U7" s="877">
        <f t="shared" si="1"/>
        <v>2681.9542281981408</v>
      </c>
      <c r="V7" s="877">
        <f t="shared" si="1"/>
        <v>169.57766154671168</v>
      </c>
      <c r="W7" s="877">
        <f t="shared" si="1"/>
        <v>-29.252130973066301</v>
      </c>
      <c r="X7" s="877">
        <f t="shared" si="1"/>
        <v>195.36275312176252</v>
      </c>
      <c r="Y7" s="877">
        <f t="shared" si="1"/>
        <v>1.2096467108549098</v>
      </c>
      <c r="Z7" s="877">
        <f t="shared" si="1"/>
        <v>35.010884844467988</v>
      </c>
      <c r="AA7" s="878">
        <f t="shared" si="1"/>
        <v>4480.2572507256682</v>
      </c>
      <c r="AB7" s="878">
        <f t="shared" si="1"/>
        <v>1481.6042993098815</v>
      </c>
      <c r="AC7" s="876">
        <f t="shared" si="1"/>
        <v>59.691708987970003</v>
      </c>
      <c r="AD7" s="877">
        <f t="shared" si="1"/>
        <v>743.01992281532614</v>
      </c>
      <c r="AE7" s="877">
        <f t="shared" si="1"/>
        <v>273.04514180129252</v>
      </c>
      <c r="AF7" s="877">
        <f t="shared" si="1"/>
        <v>139.99992739520798</v>
      </c>
      <c r="AG7" s="877">
        <f t="shared" si="1"/>
        <v>33.531818868055431</v>
      </c>
      <c r="AH7" s="877">
        <f t="shared" si="1"/>
        <v>16.813132576534866</v>
      </c>
      <c r="AI7" s="877">
        <f t="shared" si="1"/>
        <v>128.62672037577602</v>
      </c>
      <c r="AJ7" s="877">
        <f t="shared" si="1"/>
        <v>27.916404744672001</v>
      </c>
      <c r="AK7" s="880">
        <f t="shared" si="1"/>
        <v>1.8899880806415161</v>
      </c>
      <c r="AL7" s="880">
        <f t="shared" si="1"/>
        <v>13.54608560366562</v>
      </c>
      <c r="AM7" s="876">
        <f t="shared" si="1"/>
        <v>43.523448060739646</v>
      </c>
      <c r="AN7" s="878">
        <f t="shared" si="1"/>
        <v>145.43710297949829</v>
      </c>
      <c r="AO7" s="878">
        <f t="shared" si="1"/>
        <v>-2.3847739799999772</v>
      </c>
      <c r="AP7" s="881">
        <f t="shared" si="1"/>
        <v>0</v>
      </c>
      <c r="AQ7" s="882">
        <f t="shared" si="0"/>
        <v>14978.040387890453</v>
      </c>
      <c r="AR7" s="1"/>
      <c r="AS7" s="4"/>
    </row>
    <row r="8" spans="1:45" s="5" customFormat="1" ht="12.75" customHeight="1" thickBot="1">
      <c r="A8" s="533" t="s">
        <v>126</v>
      </c>
      <c r="B8" s="883"/>
      <c r="C8" s="884">
        <f t="shared" ref="C8:AP8" si="2">C7-C27</f>
        <v>787.05173223022086</v>
      </c>
      <c r="D8" s="885">
        <f t="shared" si="2"/>
        <v>727.70471229823943</v>
      </c>
      <c r="E8" s="886">
        <f t="shared" si="2"/>
        <v>46.817168899951085</v>
      </c>
      <c r="F8" s="887">
        <f t="shared" si="2"/>
        <v>0</v>
      </c>
      <c r="G8" s="887">
        <f t="shared" si="2"/>
        <v>12.529851032030438</v>
      </c>
      <c r="H8" s="888">
        <f t="shared" si="2"/>
        <v>685.95222908664709</v>
      </c>
      <c r="I8" s="885">
        <f t="shared" si="2"/>
        <v>551.68208308664714</v>
      </c>
      <c r="J8" s="889">
        <f t="shared" si="2"/>
        <v>127.70399999999999</v>
      </c>
      <c r="K8" s="886">
        <f t="shared" si="2"/>
        <v>6.5661460000000034</v>
      </c>
      <c r="L8" s="888">
        <f t="shared" si="2"/>
        <v>7168.5392628614518</v>
      </c>
      <c r="M8" s="885">
        <f t="shared" si="2"/>
        <v>3092.2052611591994</v>
      </c>
      <c r="N8" s="885">
        <f t="shared" si="2"/>
        <v>7.7582254992000017</v>
      </c>
      <c r="O8" s="886">
        <f t="shared" si="2"/>
        <v>0</v>
      </c>
      <c r="P8" s="886">
        <f t="shared" si="2"/>
        <v>190.01618135555535</v>
      </c>
      <c r="Q8" s="886">
        <f t="shared" si="2"/>
        <v>360.35708069088003</v>
      </c>
      <c r="R8" s="886">
        <f t="shared" si="2"/>
        <v>1468.0708519300797</v>
      </c>
      <c r="S8" s="886">
        <f t="shared" si="2"/>
        <v>-895.87064706723163</v>
      </c>
      <c r="T8" s="886">
        <f t="shared" si="2"/>
        <v>123.72255052198433</v>
      </c>
      <c r="U8" s="886">
        <f t="shared" si="2"/>
        <v>2681.9542281981408</v>
      </c>
      <c r="V8" s="886">
        <f t="shared" si="2"/>
        <v>169.57766154671168</v>
      </c>
      <c r="W8" s="887">
        <f t="shared" si="2"/>
        <v>-29.252130973066301</v>
      </c>
      <c r="X8" s="887">
        <f t="shared" si="2"/>
        <v>0</v>
      </c>
      <c r="Y8" s="887">
        <f t="shared" si="2"/>
        <v>0</v>
      </c>
      <c r="Z8" s="886">
        <f t="shared" si="2"/>
        <v>0</v>
      </c>
      <c r="AA8" s="888">
        <f t="shared" si="2"/>
        <v>4480.2572507256682</v>
      </c>
      <c r="AB8" s="890">
        <f t="shared" si="2"/>
        <v>1481.6042993098815</v>
      </c>
      <c r="AC8" s="885">
        <f t="shared" si="2"/>
        <v>59.691708987970003</v>
      </c>
      <c r="AD8" s="886">
        <f t="shared" si="2"/>
        <v>743.01992281532614</v>
      </c>
      <c r="AE8" s="886">
        <f t="shared" si="2"/>
        <v>273.04514180129252</v>
      </c>
      <c r="AF8" s="886">
        <f t="shared" si="2"/>
        <v>139.99992739520798</v>
      </c>
      <c r="AG8" s="886">
        <f t="shared" si="2"/>
        <v>33.531818868055431</v>
      </c>
      <c r="AH8" s="886">
        <f t="shared" si="2"/>
        <v>16.813132576534866</v>
      </c>
      <c r="AI8" s="886">
        <f t="shared" si="2"/>
        <v>128.62672037577602</v>
      </c>
      <c r="AJ8" s="886">
        <f t="shared" si="2"/>
        <v>27.916404744672001</v>
      </c>
      <c r="AK8" s="891">
        <f t="shared" si="2"/>
        <v>1.8899880806415161</v>
      </c>
      <c r="AL8" s="891">
        <f t="shared" si="2"/>
        <v>13.54608560366562</v>
      </c>
      <c r="AM8" s="885">
        <f t="shared" si="2"/>
        <v>43.523448060739646</v>
      </c>
      <c r="AN8" s="888">
        <f t="shared" si="2"/>
        <v>145.43710297949829</v>
      </c>
      <c r="AO8" s="888">
        <f t="shared" si="2"/>
        <v>-2.3847739799999772</v>
      </c>
      <c r="AP8" s="885">
        <f t="shared" si="2"/>
        <v>0</v>
      </c>
      <c r="AQ8" s="892">
        <f t="shared" si="0"/>
        <v>14746.457103213368</v>
      </c>
      <c r="AR8" s="1"/>
      <c r="AS8" s="4"/>
    </row>
    <row r="9" spans="1:45" s="5" customFormat="1" ht="12.75" customHeight="1">
      <c r="A9" s="532" t="s">
        <v>127</v>
      </c>
      <c r="B9" s="874"/>
      <c r="C9" s="875">
        <f t="shared" ref="C9:AP9" si="3">SUM(C10:C14)</f>
        <v>489.13419536754503</v>
      </c>
      <c r="D9" s="880">
        <f t="shared" si="3"/>
        <v>489.13419536754503</v>
      </c>
      <c r="E9" s="877">
        <f t="shared" si="3"/>
        <v>0</v>
      </c>
      <c r="F9" s="893">
        <f t="shared" si="3"/>
        <v>0</v>
      </c>
      <c r="G9" s="893">
        <f t="shared" si="3"/>
        <v>0</v>
      </c>
      <c r="H9" s="878">
        <f t="shared" si="3"/>
        <v>541.02658367795425</v>
      </c>
      <c r="I9" s="880">
        <f t="shared" si="3"/>
        <v>541.02658367795425</v>
      </c>
      <c r="J9" s="879">
        <f t="shared" si="3"/>
        <v>0</v>
      </c>
      <c r="K9" s="877">
        <f t="shared" si="3"/>
        <v>0</v>
      </c>
      <c r="L9" s="878">
        <f t="shared" si="3"/>
        <v>3165.7216476484605</v>
      </c>
      <c r="M9" s="877">
        <f t="shared" si="3"/>
        <v>3092.2052611591994</v>
      </c>
      <c r="N9" s="877">
        <f t="shared" ref="N9" si="4">SUM(N10:N14)</f>
        <v>38.786602361842682</v>
      </c>
      <c r="O9" s="877">
        <f t="shared" si="3"/>
        <v>0</v>
      </c>
      <c r="P9" s="877">
        <f t="shared" si="3"/>
        <v>0</v>
      </c>
      <c r="Q9" s="877">
        <f t="shared" si="3"/>
        <v>0</v>
      </c>
      <c r="R9" s="877">
        <f t="shared" si="3"/>
        <v>0</v>
      </c>
      <c r="S9" s="877">
        <f t="shared" si="3"/>
        <v>25.868327226603597</v>
      </c>
      <c r="T9" s="877">
        <f t="shared" si="3"/>
        <v>0.63499472294399995</v>
      </c>
      <c r="U9" s="877">
        <f t="shared" si="3"/>
        <v>8.2264621778709284</v>
      </c>
      <c r="V9" s="877">
        <f t="shared" si="3"/>
        <v>0</v>
      </c>
      <c r="W9" s="893">
        <f t="shared" si="3"/>
        <v>0</v>
      </c>
      <c r="X9" s="893">
        <f t="shared" si="3"/>
        <v>0</v>
      </c>
      <c r="Y9" s="893">
        <f t="shared" si="3"/>
        <v>0</v>
      </c>
      <c r="Z9" s="877">
        <f t="shared" si="3"/>
        <v>0</v>
      </c>
      <c r="AA9" s="878">
        <f t="shared" si="3"/>
        <v>2501.2994242635782</v>
      </c>
      <c r="AB9" s="876">
        <f t="shared" si="3"/>
        <v>215.90352917717644</v>
      </c>
      <c r="AC9" s="894">
        <f t="shared" si="3"/>
        <v>0</v>
      </c>
      <c r="AD9" s="877">
        <f t="shared" si="3"/>
        <v>0</v>
      </c>
      <c r="AE9" s="877">
        <f t="shared" si="3"/>
        <v>76.028615684916531</v>
      </c>
      <c r="AF9" s="877">
        <f t="shared" ref="AF9" si="5">SUM(AF10:AF14)</f>
        <v>99.30702317107577</v>
      </c>
      <c r="AG9" s="877">
        <f t="shared" si="3"/>
        <v>33.531818868055431</v>
      </c>
      <c r="AH9" s="877">
        <f t="shared" si="3"/>
        <v>7.0360714531287174</v>
      </c>
      <c r="AI9" s="877">
        <f t="shared" si="3"/>
        <v>0</v>
      </c>
      <c r="AJ9" s="877">
        <f t="shared" ref="AJ9" si="6">SUM(AJ10:AJ14)</f>
        <v>0</v>
      </c>
      <c r="AK9" s="880">
        <f t="shared" si="3"/>
        <v>0</v>
      </c>
      <c r="AL9" s="880">
        <f t="shared" ref="AL9" si="7">SUM(AL10:AL14)</f>
        <v>0</v>
      </c>
      <c r="AM9" s="893">
        <f t="shared" si="3"/>
        <v>0</v>
      </c>
      <c r="AN9" s="878">
        <f t="shared" si="3"/>
        <v>90.714163374524205</v>
      </c>
      <c r="AO9" s="878">
        <f t="shared" si="3"/>
        <v>54.38453208</v>
      </c>
      <c r="AP9" s="876">
        <f t="shared" si="3"/>
        <v>0</v>
      </c>
      <c r="AQ9" s="895">
        <f t="shared" si="0"/>
        <v>7058.184075589239</v>
      </c>
      <c r="AR9" s="1"/>
      <c r="AS9" s="4"/>
    </row>
    <row r="10" spans="1:45" ht="12.75" customHeight="1">
      <c r="A10" s="534" t="s">
        <v>128</v>
      </c>
      <c r="B10" s="896"/>
      <c r="C10" s="897">
        <f>SUM(D10:G10)</f>
        <v>489.13419536754503</v>
      </c>
      <c r="D10" s="898">
        <v>489.13419536754503</v>
      </c>
      <c r="E10" s="899"/>
      <c r="F10" s="900"/>
      <c r="G10" s="900"/>
      <c r="H10" s="901">
        <f>SUM(I10:K10)</f>
        <v>467.10845991760607</v>
      </c>
      <c r="I10" s="898">
        <v>467.10845991760607</v>
      </c>
      <c r="J10" s="902">
        <v>0</v>
      </c>
      <c r="K10" s="899"/>
      <c r="L10" s="901">
        <f>SUM(M10:Z10)</f>
        <v>34.094789404474525</v>
      </c>
      <c r="M10" s="899"/>
      <c r="N10" s="899"/>
      <c r="O10" s="899"/>
      <c r="P10" s="899"/>
      <c r="Q10" s="899"/>
      <c r="R10" s="899"/>
      <c r="S10" s="899">
        <v>25.868327226603597</v>
      </c>
      <c r="T10" s="899"/>
      <c r="U10" s="899">
        <v>8.2264621778709284</v>
      </c>
      <c r="V10" s="899"/>
      <c r="W10" s="900"/>
      <c r="X10" s="900"/>
      <c r="Y10" s="900"/>
      <c r="Z10" s="899"/>
      <c r="AA10" s="901">
        <v>2187.6033883210698</v>
      </c>
      <c r="AB10" s="903">
        <f>SUM(AC10:AM10)</f>
        <v>205.30590173319058</v>
      </c>
      <c r="AC10" s="904"/>
      <c r="AD10" s="899"/>
      <c r="AE10" s="899">
        <v>72.467059694059387</v>
      </c>
      <c r="AF10" s="899">
        <v>99.30702317107577</v>
      </c>
      <c r="AG10" s="899">
        <v>33.531818868055431</v>
      </c>
      <c r="AH10" s="899"/>
      <c r="AI10" s="899"/>
      <c r="AJ10" s="899"/>
      <c r="AK10" s="898"/>
      <c r="AL10" s="898"/>
      <c r="AM10" s="900"/>
      <c r="AN10" s="905">
        <v>90.714163374524205</v>
      </c>
      <c r="AO10" s="901"/>
      <c r="AP10" s="903"/>
      <c r="AQ10" s="906">
        <f t="shared" si="0"/>
        <v>3473.9608981184101</v>
      </c>
    </row>
    <row r="11" spans="1:45" ht="12.75" customHeight="1">
      <c r="A11" s="530" t="s">
        <v>129</v>
      </c>
      <c r="B11" s="849"/>
      <c r="C11" s="850">
        <f>SUM(D11:G11)</f>
        <v>0</v>
      </c>
      <c r="D11" s="855">
        <v>0</v>
      </c>
      <c r="E11" s="857"/>
      <c r="F11" s="853"/>
      <c r="G11" s="853"/>
      <c r="H11" s="854">
        <f>SUM(I11:K11)</f>
        <v>5.8425469182429177</v>
      </c>
      <c r="I11" s="855">
        <v>5.8425469182429177</v>
      </c>
      <c r="J11" s="856"/>
      <c r="K11" s="857"/>
      <c r="L11" s="854">
        <f>SUM(M11:Z11)</f>
        <v>0.63499472294399995</v>
      </c>
      <c r="M11" s="857"/>
      <c r="N11" s="907"/>
      <c r="O11" s="907">
        <v>0</v>
      </c>
      <c r="P11" s="857"/>
      <c r="Q11" s="857"/>
      <c r="R11" s="857"/>
      <c r="S11" s="857">
        <v>0</v>
      </c>
      <c r="T11" s="857">
        <v>0.63499472294399995</v>
      </c>
      <c r="U11" s="857">
        <v>0</v>
      </c>
      <c r="V11" s="857"/>
      <c r="W11" s="853"/>
      <c r="X11" s="853"/>
      <c r="Y11" s="853"/>
      <c r="Z11" s="857"/>
      <c r="AA11" s="854">
        <v>272.96145103491432</v>
      </c>
      <c r="AB11" s="858">
        <f>SUM(AC11:AM11)</f>
        <v>10.597627443985861</v>
      </c>
      <c r="AC11" s="859"/>
      <c r="AD11" s="857"/>
      <c r="AE11" s="857">
        <v>3.5615559908571428</v>
      </c>
      <c r="AF11" s="857"/>
      <c r="AG11" s="857"/>
      <c r="AH11" s="857">
        <v>7.0360714531287174</v>
      </c>
      <c r="AI11" s="857"/>
      <c r="AJ11" s="857"/>
      <c r="AK11" s="855"/>
      <c r="AL11" s="855"/>
      <c r="AM11" s="853"/>
      <c r="AN11" s="860"/>
      <c r="AO11" s="860"/>
      <c r="AP11" s="858"/>
      <c r="AQ11" s="861">
        <f t="shared" si="0"/>
        <v>290.03662012008709</v>
      </c>
    </row>
    <row r="12" spans="1:45" ht="12.75" customHeight="1">
      <c r="A12" s="530" t="s">
        <v>130</v>
      </c>
      <c r="B12" s="849"/>
      <c r="C12" s="850"/>
      <c r="D12" s="855"/>
      <c r="E12" s="857"/>
      <c r="F12" s="853"/>
      <c r="G12" s="853"/>
      <c r="H12" s="854"/>
      <c r="I12" s="855"/>
      <c r="J12" s="856"/>
      <c r="K12" s="857"/>
      <c r="L12" s="854"/>
      <c r="M12" s="857"/>
      <c r="N12" s="907"/>
      <c r="O12" s="907"/>
      <c r="P12" s="857"/>
      <c r="Q12" s="857"/>
      <c r="R12" s="857"/>
      <c r="S12" s="857"/>
      <c r="T12" s="857"/>
      <c r="U12" s="857"/>
      <c r="V12" s="857"/>
      <c r="W12" s="853"/>
      <c r="X12" s="853"/>
      <c r="Y12" s="853"/>
      <c r="Z12" s="857"/>
      <c r="AA12" s="854"/>
      <c r="AB12" s="858"/>
      <c r="AC12" s="859"/>
      <c r="AD12" s="857"/>
      <c r="AE12" s="857"/>
      <c r="AF12" s="857"/>
      <c r="AG12" s="857"/>
      <c r="AH12" s="857"/>
      <c r="AI12" s="857"/>
      <c r="AJ12" s="857"/>
      <c r="AK12" s="855"/>
      <c r="AL12" s="855"/>
      <c r="AM12" s="853"/>
      <c r="AN12" s="860"/>
      <c r="AO12" s="860">
        <v>42.942060079999997</v>
      </c>
      <c r="AP12" s="858"/>
      <c r="AQ12" s="861">
        <f t="shared" si="0"/>
        <v>42.942060079999997</v>
      </c>
    </row>
    <row r="13" spans="1:45" ht="12.75" customHeight="1">
      <c r="A13" s="530" t="s">
        <v>131</v>
      </c>
      <c r="B13" s="849"/>
      <c r="C13" s="850">
        <f>SUM(D13:G13)</f>
        <v>0</v>
      </c>
      <c r="D13" s="855"/>
      <c r="E13" s="853"/>
      <c r="F13" s="853"/>
      <c r="G13" s="853"/>
      <c r="H13" s="854">
        <f>SUM(I13:K13)</f>
        <v>68.075576842105264</v>
      </c>
      <c r="I13" s="855">
        <v>68.075576842105264</v>
      </c>
      <c r="J13" s="856"/>
      <c r="K13" s="857"/>
      <c r="L13" s="854">
        <f>SUM(M13:Z13)</f>
        <v>0</v>
      </c>
      <c r="M13" s="857"/>
      <c r="N13" s="857"/>
      <c r="O13" s="857"/>
      <c r="P13" s="857"/>
      <c r="Q13" s="857"/>
      <c r="R13" s="857"/>
      <c r="S13" s="857"/>
      <c r="T13" s="857"/>
      <c r="U13" s="857"/>
      <c r="V13" s="857"/>
      <c r="W13" s="853"/>
      <c r="X13" s="853"/>
      <c r="Y13" s="853"/>
      <c r="Z13" s="857"/>
      <c r="AA13" s="854"/>
      <c r="AB13" s="858">
        <f>SUM(AC13:AM13)</f>
        <v>0</v>
      </c>
      <c r="AC13" s="859"/>
      <c r="AD13" s="857"/>
      <c r="AE13" s="857"/>
      <c r="AF13" s="857"/>
      <c r="AG13" s="857"/>
      <c r="AH13" s="857"/>
      <c r="AI13" s="857"/>
      <c r="AJ13" s="857"/>
      <c r="AK13" s="855"/>
      <c r="AL13" s="855"/>
      <c r="AM13" s="853"/>
      <c r="AN13" s="860"/>
      <c r="AO13" s="860"/>
      <c r="AP13" s="858"/>
      <c r="AQ13" s="861">
        <f t="shared" si="0"/>
        <v>68.075576842105264</v>
      </c>
    </row>
    <row r="14" spans="1:45" ht="12.75" customHeight="1">
      <c r="A14" s="535" t="s">
        <v>132</v>
      </c>
      <c r="B14" s="908"/>
      <c r="C14" s="909">
        <f>SUM(D14:G14)</f>
        <v>0</v>
      </c>
      <c r="D14" s="910"/>
      <c r="E14" s="911"/>
      <c r="F14" s="912"/>
      <c r="G14" s="912"/>
      <c r="H14" s="913">
        <f>SUM(I14:K14)</f>
        <v>0</v>
      </c>
      <c r="I14" s="910"/>
      <c r="J14" s="914"/>
      <c r="K14" s="911"/>
      <c r="L14" s="913">
        <f>SUM(M14:Z14)</f>
        <v>3130.991863521042</v>
      </c>
      <c r="M14" s="911">
        <v>3092.2052611591994</v>
      </c>
      <c r="N14" s="911">
        <v>38.786602361842682</v>
      </c>
      <c r="O14" s="911"/>
      <c r="P14" s="911"/>
      <c r="Q14" s="911"/>
      <c r="R14" s="911"/>
      <c r="S14" s="911"/>
      <c r="T14" s="911"/>
      <c r="U14" s="911"/>
      <c r="V14" s="911"/>
      <c r="W14" s="912"/>
      <c r="X14" s="912"/>
      <c r="Y14" s="912"/>
      <c r="Z14" s="911"/>
      <c r="AA14" s="913">
        <v>40.734584907594211</v>
      </c>
      <c r="AB14" s="915">
        <f>SUM(AC14:AM14)</f>
        <v>0</v>
      </c>
      <c r="AC14" s="916"/>
      <c r="AD14" s="911"/>
      <c r="AE14" s="911"/>
      <c r="AF14" s="911"/>
      <c r="AG14" s="911"/>
      <c r="AH14" s="911"/>
      <c r="AI14" s="911"/>
      <c r="AJ14" s="911"/>
      <c r="AK14" s="910"/>
      <c r="AL14" s="910"/>
      <c r="AM14" s="912"/>
      <c r="AN14" s="917"/>
      <c r="AO14" s="917">
        <v>11.442471999999999</v>
      </c>
      <c r="AP14" s="915"/>
      <c r="AQ14" s="918">
        <f t="shared" si="0"/>
        <v>3183.1689204286363</v>
      </c>
    </row>
    <row r="15" spans="1:45" s="5" customFormat="1" ht="12.75" customHeight="1">
      <c r="A15" s="536" t="s">
        <v>133</v>
      </c>
      <c r="B15" s="919"/>
      <c r="C15" s="920">
        <f t="shared" ref="C15:AP15" si="8">SUM(C16:C20)</f>
        <v>0</v>
      </c>
      <c r="D15" s="921">
        <f t="shared" si="8"/>
        <v>0</v>
      </c>
      <c r="E15" s="922">
        <f t="shared" si="8"/>
        <v>0</v>
      </c>
      <c r="F15" s="923">
        <f t="shared" si="8"/>
        <v>0</v>
      </c>
      <c r="G15" s="923">
        <f t="shared" si="8"/>
        <v>0</v>
      </c>
      <c r="H15" s="924">
        <f t="shared" si="8"/>
        <v>64.671797999999995</v>
      </c>
      <c r="I15" s="921">
        <f t="shared" si="8"/>
        <v>0</v>
      </c>
      <c r="J15" s="925">
        <f t="shared" si="8"/>
        <v>0</v>
      </c>
      <c r="K15" s="922">
        <f t="shared" si="8"/>
        <v>64.671797999999995</v>
      </c>
      <c r="L15" s="924">
        <f t="shared" si="8"/>
        <v>3166.7858692089685</v>
      </c>
      <c r="M15" s="922">
        <f t="shared" si="8"/>
        <v>0</v>
      </c>
      <c r="N15" s="922">
        <f t="shared" si="8"/>
        <v>0</v>
      </c>
      <c r="O15" s="922">
        <f t="shared" si="8"/>
        <v>90.017983923640699</v>
      </c>
      <c r="P15" s="922">
        <f t="shared" si="8"/>
        <v>640.53679657777786</v>
      </c>
      <c r="Q15" s="922">
        <f t="shared" si="8"/>
        <v>226.77459106847999</v>
      </c>
      <c r="R15" s="922">
        <f t="shared" si="8"/>
        <v>0</v>
      </c>
      <c r="S15" s="922">
        <f t="shared" si="8"/>
        <v>960.95017928079096</v>
      </c>
      <c r="T15" s="922">
        <f t="shared" si="8"/>
        <v>64.797462901984332</v>
      </c>
      <c r="U15" s="922">
        <f t="shared" si="8"/>
        <v>1146.9502117491124</v>
      </c>
      <c r="V15" s="922">
        <f t="shared" si="8"/>
        <v>0</v>
      </c>
      <c r="W15" s="923">
        <f t="shared" si="8"/>
        <v>36.758643707182323</v>
      </c>
      <c r="X15" s="923">
        <f t="shared" si="8"/>
        <v>0</v>
      </c>
      <c r="Y15" s="923">
        <f t="shared" si="8"/>
        <v>0</v>
      </c>
      <c r="Z15" s="922">
        <f t="shared" si="8"/>
        <v>0</v>
      </c>
      <c r="AA15" s="924">
        <f t="shared" si="8"/>
        <v>0</v>
      </c>
      <c r="AB15" s="926">
        <f t="shared" si="8"/>
        <v>0</v>
      </c>
      <c r="AC15" s="927">
        <f t="shared" si="8"/>
        <v>0</v>
      </c>
      <c r="AD15" s="922">
        <f t="shared" si="8"/>
        <v>0</v>
      </c>
      <c r="AE15" s="922">
        <f t="shared" si="8"/>
        <v>0</v>
      </c>
      <c r="AF15" s="922">
        <f t="shared" si="8"/>
        <v>0</v>
      </c>
      <c r="AG15" s="928">
        <f t="shared" si="8"/>
        <v>0</v>
      </c>
      <c r="AH15" s="928">
        <f t="shared" si="8"/>
        <v>0</v>
      </c>
      <c r="AI15" s="928">
        <f t="shared" si="8"/>
        <v>0</v>
      </c>
      <c r="AJ15" s="928">
        <f t="shared" si="8"/>
        <v>0</v>
      </c>
      <c r="AK15" s="921">
        <f t="shared" si="8"/>
        <v>0</v>
      </c>
      <c r="AL15" s="921">
        <f t="shared" si="8"/>
        <v>0</v>
      </c>
      <c r="AM15" s="923">
        <f t="shared" si="8"/>
        <v>0</v>
      </c>
      <c r="AN15" s="924">
        <f t="shared" si="8"/>
        <v>0</v>
      </c>
      <c r="AO15" s="924">
        <f t="shared" si="8"/>
        <v>1873.361490524092</v>
      </c>
      <c r="AP15" s="926">
        <f t="shared" si="8"/>
        <v>0</v>
      </c>
      <c r="AQ15" s="929">
        <f t="shared" si="0"/>
        <v>5104.8191577330599</v>
      </c>
      <c r="AR15" s="1"/>
      <c r="AS15" s="4"/>
    </row>
    <row r="16" spans="1:45" ht="12.75" customHeight="1">
      <c r="A16" s="534" t="s">
        <v>128</v>
      </c>
      <c r="B16" s="896"/>
      <c r="C16" s="897">
        <f>SUM(D16:G16)</f>
        <v>0</v>
      </c>
      <c r="D16" s="898"/>
      <c r="E16" s="899"/>
      <c r="F16" s="900"/>
      <c r="G16" s="900"/>
      <c r="H16" s="901">
        <f>SUM(I16:K16)</f>
        <v>0</v>
      </c>
      <c r="I16" s="898"/>
      <c r="J16" s="899"/>
      <c r="K16" s="899"/>
      <c r="L16" s="901">
        <f>SUM(M16:Z16)</f>
        <v>0</v>
      </c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900"/>
      <c r="X16" s="900"/>
      <c r="Y16" s="900"/>
      <c r="Z16" s="899"/>
      <c r="AA16" s="901"/>
      <c r="AB16" s="903">
        <f>SUM(AC16:AL16)</f>
        <v>0</v>
      </c>
      <c r="AC16" s="904"/>
      <c r="AD16" s="899"/>
      <c r="AE16" s="899"/>
      <c r="AF16" s="899"/>
      <c r="AG16" s="907"/>
      <c r="AH16" s="907"/>
      <c r="AI16" s="907"/>
      <c r="AJ16" s="907"/>
      <c r="AK16" s="898"/>
      <c r="AL16" s="898"/>
      <c r="AM16" s="900"/>
      <c r="AN16" s="905"/>
      <c r="AO16" s="905">
        <v>1667.7865923774164</v>
      </c>
      <c r="AP16" s="903"/>
      <c r="AQ16" s="930">
        <f>C16+H16+L16+AA16+AO16+AP16</f>
        <v>1667.7865923774164</v>
      </c>
    </row>
    <row r="17" spans="1:45" ht="12.75" customHeight="1">
      <c r="A17" s="530" t="s">
        <v>129</v>
      </c>
      <c r="B17" s="849"/>
      <c r="C17" s="850">
        <f>SUM(D17:G17)</f>
        <v>0</v>
      </c>
      <c r="D17" s="855"/>
      <c r="E17" s="857"/>
      <c r="F17" s="853"/>
      <c r="G17" s="853"/>
      <c r="H17" s="854">
        <f>SUM(I17:K17)</f>
        <v>0</v>
      </c>
      <c r="I17" s="855"/>
      <c r="J17" s="857"/>
      <c r="K17" s="857"/>
      <c r="L17" s="854">
        <f>SUM(M17:Z17)</f>
        <v>0</v>
      </c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3"/>
      <c r="X17" s="853"/>
      <c r="Y17" s="853"/>
      <c r="Z17" s="857"/>
      <c r="AA17" s="854"/>
      <c r="AB17" s="858">
        <f>SUM(AC17:AL17)</f>
        <v>0</v>
      </c>
      <c r="AC17" s="859"/>
      <c r="AD17" s="857"/>
      <c r="AE17" s="857"/>
      <c r="AF17" s="857"/>
      <c r="AG17" s="857"/>
      <c r="AH17" s="857"/>
      <c r="AI17" s="857"/>
      <c r="AJ17" s="857"/>
      <c r="AK17" s="855"/>
      <c r="AL17" s="855"/>
      <c r="AM17" s="853"/>
      <c r="AN17" s="860"/>
      <c r="AO17" s="931">
        <v>185.14395873624346</v>
      </c>
      <c r="AP17" s="858"/>
      <c r="AQ17" s="861">
        <f>C17+H17+L17+AA17+AO17+AP17</f>
        <v>185.14395873624346</v>
      </c>
    </row>
    <row r="18" spans="1:45" ht="12.75" customHeight="1">
      <c r="A18" s="530" t="s">
        <v>134</v>
      </c>
      <c r="B18" s="849"/>
      <c r="C18" s="850"/>
      <c r="D18" s="855"/>
      <c r="E18" s="857"/>
      <c r="F18" s="853"/>
      <c r="G18" s="853"/>
      <c r="H18" s="854"/>
      <c r="I18" s="855"/>
      <c r="J18" s="857"/>
      <c r="K18" s="857"/>
      <c r="L18" s="854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3"/>
      <c r="X18" s="853"/>
      <c r="Y18" s="853"/>
      <c r="Z18" s="857"/>
      <c r="AA18" s="854"/>
      <c r="AB18" s="858"/>
      <c r="AC18" s="859"/>
      <c r="AD18" s="857"/>
      <c r="AE18" s="857"/>
      <c r="AF18" s="857"/>
      <c r="AG18" s="857"/>
      <c r="AH18" s="857"/>
      <c r="AI18" s="857"/>
      <c r="AJ18" s="857"/>
      <c r="AK18" s="855"/>
      <c r="AL18" s="855"/>
      <c r="AM18" s="853"/>
      <c r="AN18" s="860"/>
      <c r="AO18" s="860">
        <v>20.430939410432</v>
      </c>
      <c r="AP18" s="858"/>
      <c r="AQ18" s="861">
        <f t="shared" si="0"/>
        <v>20.430939410432</v>
      </c>
    </row>
    <row r="19" spans="1:45" ht="12.75" customHeight="1">
      <c r="A19" s="530" t="s">
        <v>131</v>
      </c>
      <c r="B19" s="849"/>
      <c r="C19" s="850"/>
      <c r="D19" s="1"/>
      <c r="E19" s="857"/>
      <c r="F19" s="853"/>
      <c r="G19" s="853"/>
      <c r="H19" s="854">
        <f>SUM(I19:K19)</f>
        <v>64.671797999999995</v>
      </c>
      <c r="I19" s="855"/>
      <c r="J19" s="857"/>
      <c r="K19" s="857">
        <v>64.671797999999995</v>
      </c>
      <c r="L19" s="854">
        <f>SUM(M19:Z19)</f>
        <v>0</v>
      </c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3"/>
      <c r="X19" s="853"/>
      <c r="Y19" s="853"/>
      <c r="Z19" s="857"/>
      <c r="AA19" s="854"/>
      <c r="AB19" s="858">
        <f>SUM(AC19:AL19)</f>
        <v>0</v>
      </c>
      <c r="AC19" s="859"/>
      <c r="AD19" s="857"/>
      <c r="AE19" s="857"/>
      <c r="AF19" s="857"/>
      <c r="AG19" s="857"/>
      <c r="AH19" s="857"/>
      <c r="AI19" s="857"/>
      <c r="AJ19" s="857"/>
      <c r="AK19" s="855"/>
      <c r="AL19" s="855"/>
      <c r="AM19" s="853"/>
      <c r="AN19" s="860"/>
      <c r="AO19" s="860"/>
      <c r="AP19" s="858"/>
      <c r="AQ19" s="861">
        <f t="shared" si="0"/>
        <v>64.671797999999995</v>
      </c>
    </row>
    <row r="20" spans="1:45" ht="12.75" customHeight="1">
      <c r="A20" s="535" t="s">
        <v>135</v>
      </c>
      <c r="B20" s="908"/>
      <c r="C20" s="909"/>
      <c r="D20" s="910"/>
      <c r="E20" s="911"/>
      <c r="F20" s="912"/>
      <c r="G20" s="912"/>
      <c r="H20" s="913">
        <f>SUM(I20:K20)</f>
        <v>0</v>
      </c>
      <c r="I20" s="910"/>
      <c r="J20" s="911"/>
      <c r="K20" s="911"/>
      <c r="L20" s="913">
        <f>SUM(M20:Z20)</f>
        <v>3166.7858692089685</v>
      </c>
      <c r="M20" s="911"/>
      <c r="N20" s="911"/>
      <c r="O20" s="911">
        <v>90.017983923640699</v>
      </c>
      <c r="P20" s="911">
        <v>640.53679657777786</v>
      </c>
      <c r="Q20" s="911">
        <v>226.77459106847999</v>
      </c>
      <c r="R20" s="911">
        <v>0</v>
      </c>
      <c r="S20" s="911">
        <v>960.95017928079096</v>
      </c>
      <c r="T20" s="911">
        <v>64.797462901984332</v>
      </c>
      <c r="U20" s="911">
        <v>1146.9502117491124</v>
      </c>
      <c r="V20" s="911"/>
      <c r="W20" s="912">
        <v>36.758643707182323</v>
      </c>
      <c r="X20" s="912"/>
      <c r="Y20" s="912"/>
      <c r="Z20" s="911"/>
      <c r="AA20" s="913"/>
      <c r="AB20" s="915">
        <f>SUM(AC20:AL20)</f>
        <v>0</v>
      </c>
      <c r="AC20" s="916"/>
      <c r="AD20" s="911"/>
      <c r="AE20" s="911"/>
      <c r="AF20" s="911"/>
      <c r="AG20" s="911"/>
      <c r="AH20" s="911"/>
      <c r="AI20" s="911"/>
      <c r="AJ20" s="911"/>
      <c r="AK20" s="910"/>
      <c r="AL20" s="910"/>
      <c r="AM20" s="912"/>
      <c r="AN20" s="917"/>
      <c r="AO20" s="917"/>
      <c r="AP20" s="915"/>
      <c r="AQ20" s="918">
        <f t="shared" si="0"/>
        <v>3166.7858692089685</v>
      </c>
    </row>
    <row r="21" spans="1:45" ht="12.75" customHeight="1">
      <c r="A21" s="537" t="s">
        <v>136</v>
      </c>
      <c r="B21" s="932"/>
      <c r="C21" s="933">
        <f>SUM(C22:C24)</f>
        <v>22.240061570656763</v>
      </c>
      <c r="D21" s="934">
        <f>SUM(D22:D24)</f>
        <v>-17.141361188350004</v>
      </c>
      <c r="E21" s="935">
        <f>SUM(E22:E24)</f>
        <v>39.381422759006767</v>
      </c>
      <c r="F21" s="936">
        <f>SUM(F22:F24)</f>
        <v>0</v>
      </c>
      <c r="G21" s="936">
        <f>SUM(G22:G24)</f>
        <v>0</v>
      </c>
      <c r="H21" s="937">
        <f>SUM(I21:K21)</f>
        <v>0</v>
      </c>
      <c r="I21" s="934">
        <f>SUM(I22:I24)</f>
        <v>0</v>
      </c>
      <c r="J21" s="935">
        <f>SUM(J22:J24)</f>
        <v>0</v>
      </c>
      <c r="K21" s="935">
        <f>SUM(K22:K24)</f>
        <v>0</v>
      </c>
      <c r="L21" s="937">
        <f>SUM(M21:Z21)</f>
        <v>-24.684016341344112</v>
      </c>
      <c r="M21" s="935">
        <f t="shared" ref="M21:AQ21" si="9">SUM(M22:M24)</f>
        <v>0</v>
      </c>
      <c r="N21" s="935">
        <f t="shared" si="9"/>
        <v>30.880435114089789</v>
      </c>
      <c r="O21" s="935">
        <f t="shared" si="9"/>
        <v>0</v>
      </c>
      <c r="P21" s="935">
        <f t="shared" si="9"/>
        <v>-31.331710700000009</v>
      </c>
      <c r="Q21" s="935">
        <f t="shared" si="9"/>
        <v>361.91080481920005</v>
      </c>
      <c r="R21" s="935">
        <f t="shared" si="9"/>
        <v>-361.12225342559998</v>
      </c>
      <c r="S21" s="935">
        <f t="shared" si="9"/>
        <v>-0.17168420677966101</v>
      </c>
      <c r="T21" s="935">
        <f t="shared" si="9"/>
        <v>0</v>
      </c>
      <c r="U21" s="935">
        <f t="shared" si="9"/>
        <v>-2.6095463715975598</v>
      </c>
      <c r="V21" s="935">
        <f t="shared" si="9"/>
        <v>-22.240061570656767</v>
      </c>
      <c r="W21" s="936">
        <f t="shared" si="9"/>
        <v>0</v>
      </c>
      <c r="X21" s="936">
        <f t="shared" si="9"/>
        <v>0</v>
      </c>
      <c r="Y21" s="936">
        <f t="shared" si="9"/>
        <v>0</v>
      </c>
      <c r="Z21" s="935">
        <f t="shared" si="9"/>
        <v>0</v>
      </c>
      <c r="AA21" s="937">
        <f t="shared" si="9"/>
        <v>0</v>
      </c>
      <c r="AB21" s="938">
        <f t="shared" si="9"/>
        <v>-804.60161988393759</v>
      </c>
      <c r="AC21" s="939">
        <f t="shared" si="9"/>
        <v>-59.691708987970003</v>
      </c>
      <c r="AD21" s="935">
        <f t="shared" si="9"/>
        <v>-743.01992281532614</v>
      </c>
      <c r="AE21" s="935">
        <f t="shared" si="9"/>
        <v>0</v>
      </c>
      <c r="AF21" s="935">
        <f t="shared" si="9"/>
        <v>0</v>
      </c>
      <c r="AG21" s="940">
        <f t="shared" si="9"/>
        <v>0</v>
      </c>
      <c r="AH21" s="940">
        <f t="shared" si="9"/>
        <v>0</v>
      </c>
      <c r="AI21" s="940">
        <f t="shared" si="9"/>
        <v>0</v>
      </c>
      <c r="AJ21" s="940">
        <f t="shared" si="9"/>
        <v>0</v>
      </c>
      <c r="AK21" s="934">
        <f t="shared" si="9"/>
        <v>-1.8899880806415161</v>
      </c>
      <c r="AL21" s="940">
        <f t="shared" si="9"/>
        <v>0</v>
      </c>
      <c r="AM21" s="936">
        <f t="shared" si="9"/>
        <v>0</v>
      </c>
      <c r="AN21" s="941">
        <f t="shared" si="9"/>
        <v>0</v>
      </c>
      <c r="AO21" s="937">
        <f t="shared" si="9"/>
        <v>804.60161988393759</v>
      </c>
      <c r="AP21" s="938">
        <f t="shared" si="9"/>
        <v>0</v>
      </c>
      <c r="AQ21" s="942">
        <f t="shared" si="9"/>
        <v>-2.4439547706873483</v>
      </c>
    </row>
    <row r="22" spans="1:45" ht="12.75" customHeight="1">
      <c r="A22" s="534" t="s">
        <v>137</v>
      </c>
      <c r="B22" s="896"/>
      <c r="C22" s="943"/>
      <c r="D22" s="944"/>
      <c r="E22" s="945"/>
      <c r="F22" s="900"/>
      <c r="G22" s="900"/>
      <c r="H22" s="901"/>
      <c r="I22" s="946"/>
      <c r="J22" s="899"/>
      <c r="K22" s="899"/>
      <c r="L22" s="901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900"/>
      <c r="X22" s="900"/>
      <c r="Y22" s="900"/>
      <c r="Z22" s="899"/>
      <c r="AA22" s="901"/>
      <c r="AB22" s="903">
        <f>SUM(AC22:AM22)</f>
        <v>-804.60161988393759</v>
      </c>
      <c r="AC22" s="904">
        <f>-AC2</f>
        <v>-59.691708987970003</v>
      </c>
      <c r="AD22" s="899">
        <f>-AD2</f>
        <v>-743.01992281532614</v>
      </c>
      <c r="AE22" s="899"/>
      <c r="AF22" s="899"/>
      <c r="AG22" s="907"/>
      <c r="AH22" s="907"/>
      <c r="AI22" s="907"/>
      <c r="AJ22" s="907"/>
      <c r="AK22" s="898">
        <v>-1.8899880806415161</v>
      </c>
      <c r="AL22" s="907"/>
      <c r="AM22" s="900"/>
      <c r="AN22" s="905"/>
      <c r="AO22" s="901">
        <f>-(C22+H22+L22+AA22+AB22)</f>
        <v>804.60161988393759</v>
      </c>
      <c r="AP22" s="903"/>
      <c r="AQ22" s="930">
        <f>C22+H22+L22+AA22+AB22+AN22+AO22+AP22</f>
        <v>0</v>
      </c>
    </row>
    <row r="23" spans="1:45" ht="12.75" customHeight="1">
      <c r="A23" s="11" t="s">
        <v>138</v>
      </c>
      <c r="B23" s="919"/>
      <c r="C23" s="947"/>
      <c r="D23" s="948"/>
      <c r="E23" s="922"/>
      <c r="F23" s="949"/>
      <c r="G23" s="949"/>
      <c r="H23" s="924"/>
      <c r="I23" s="950"/>
      <c r="J23" s="951"/>
      <c r="K23" s="951"/>
      <c r="L23" s="924"/>
      <c r="M23" s="951"/>
      <c r="N23" s="951"/>
      <c r="O23" s="951"/>
      <c r="P23" s="951"/>
      <c r="Q23" s="951"/>
      <c r="R23" s="951"/>
      <c r="S23" s="951"/>
      <c r="T23" s="951"/>
      <c r="U23" s="951"/>
      <c r="V23" s="951"/>
      <c r="W23" s="949"/>
      <c r="X23" s="949"/>
      <c r="Y23" s="949"/>
      <c r="Z23" s="951"/>
      <c r="AA23" s="924"/>
      <c r="AB23" s="926"/>
      <c r="AC23" s="952"/>
      <c r="AD23" s="951"/>
      <c r="AE23" s="951"/>
      <c r="AF23" s="951"/>
      <c r="AG23" s="951"/>
      <c r="AH23" s="951"/>
      <c r="AI23" s="951"/>
      <c r="AJ23" s="951"/>
      <c r="AK23" s="953"/>
      <c r="AL23" s="953"/>
      <c r="AM23" s="949"/>
      <c r="AN23" s="954"/>
      <c r="AO23" s="924"/>
      <c r="AP23" s="926"/>
      <c r="AQ23" s="955">
        <f>C23+H23+L23+AA23+AB23+AN23+AO23+AP23</f>
        <v>0</v>
      </c>
    </row>
    <row r="24" spans="1:45" ht="12.75" customHeight="1" thickBot="1">
      <c r="A24" s="531" t="s">
        <v>139</v>
      </c>
      <c r="B24" s="863"/>
      <c r="C24" s="956">
        <f>SUM(D24:G24)</f>
        <v>22.240061570656763</v>
      </c>
      <c r="D24" s="957">
        <v>-17.141361188350004</v>
      </c>
      <c r="E24" s="871">
        <f>-D24-V24</f>
        <v>39.381422759006767</v>
      </c>
      <c r="F24" s="865"/>
      <c r="G24" s="865"/>
      <c r="H24" s="866"/>
      <c r="I24" s="958"/>
      <c r="J24" s="871"/>
      <c r="K24" s="871"/>
      <c r="L24" s="866">
        <f>SUM(N24:Z24)</f>
        <v>-24.684016341344112</v>
      </c>
      <c r="M24" s="871"/>
      <c r="N24" s="871">
        <v>30.880435114089789</v>
      </c>
      <c r="O24" s="871"/>
      <c r="P24" s="871">
        <v>-31.331710700000009</v>
      </c>
      <c r="Q24" s="871">
        <v>361.91080481920005</v>
      </c>
      <c r="R24" s="871">
        <v>-361.12225342559998</v>
      </c>
      <c r="S24" s="871">
        <v>-0.17168420677966101</v>
      </c>
      <c r="T24" s="871"/>
      <c r="U24" s="871">
        <v>-2.6095463715975598</v>
      </c>
      <c r="V24" s="865">
        <v>-22.240061570656767</v>
      </c>
      <c r="W24" s="865">
        <v>0</v>
      </c>
      <c r="X24" s="865"/>
      <c r="Y24" s="865"/>
      <c r="Z24" s="871"/>
      <c r="AA24" s="866"/>
      <c r="AB24" s="866">
        <f>SUM(AC24:AM24)</f>
        <v>0</v>
      </c>
      <c r="AC24" s="870"/>
      <c r="AD24" s="871"/>
      <c r="AE24" s="871"/>
      <c r="AF24" s="871"/>
      <c r="AG24" s="871"/>
      <c r="AH24" s="871"/>
      <c r="AI24" s="871"/>
      <c r="AJ24" s="871"/>
      <c r="AK24" s="867"/>
      <c r="AL24" s="867"/>
      <c r="AM24" s="865"/>
      <c r="AN24" s="872"/>
      <c r="AO24" s="866"/>
      <c r="AP24" s="869"/>
      <c r="AQ24" s="873">
        <f>C24+H24+L24+AA24+AB24+AN24+AO24+AP24</f>
        <v>-2.4439547706873483</v>
      </c>
    </row>
    <row r="25" spans="1:45" ht="12.75" customHeight="1" thickBot="1">
      <c r="A25" s="536" t="s">
        <v>140</v>
      </c>
      <c r="B25" s="919"/>
      <c r="C25" s="920">
        <f>SUM(D25:G25)</f>
        <v>0</v>
      </c>
      <c r="D25" s="921"/>
      <c r="E25" s="922"/>
      <c r="F25" s="949"/>
      <c r="G25" s="949"/>
      <c r="H25" s="924">
        <f>SUM(I25:K25)</f>
        <v>10.28324833984202</v>
      </c>
      <c r="I25" s="949">
        <v>10.28324833984202</v>
      </c>
      <c r="J25" s="959"/>
      <c r="K25" s="951"/>
      <c r="L25" s="924">
        <f>SUM(O25:Z25)</f>
        <v>98.284657617035819</v>
      </c>
      <c r="M25" s="951"/>
      <c r="N25" s="951"/>
      <c r="O25" s="951">
        <v>95.274692021714102</v>
      </c>
      <c r="P25" s="951"/>
      <c r="Q25" s="951"/>
      <c r="R25" s="951"/>
      <c r="S25" s="951">
        <v>0</v>
      </c>
      <c r="T25" s="951">
        <v>4.1693256233877908E-3</v>
      </c>
      <c r="U25" s="951">
        <v>3.0057962696983291</v>
      </c>
      <c r="V25" s="951"/>
      <c r="W25" s="949"/>
      <c r="X25" s="949"/>
      <c r="Y25" s="949"/>
      <c r="Z25" s="951"/>
      <c r="AA25" s="924">
        <v>57.528599543766255</v>
      </c>
      <c r="AB25" s="926">
        <f>SUM(AC25:AI25)</f>
        <v>0</v>
      </c>
      <c r="AC25" s="927"/>
      <c r="AD25" s="951"/>
      <c r="AE25" s="951"/>
      <c r="AF25" s="951"/>
      <c r="AG25" s="951"/>
      <c r="AH25" s="951"/>
      <c r="AI25" s="951"/>
      <c r="AJ25" s="951"/>
      <c r="AK25" s="953"/>
      <c r="AL25" s="953"/>
      <c r="AM25" s="949"/>
      <c r="AN25" s="954"/>
      <c r="AO25" s="924">
        <v>259.46681438260055</v>
      </c>
      <c r="AP25" s="926"/>
      <c r="AQ25" s="955">
        <f>C25+H25+L25+AA25+AB25+AN25+AO25+AP25</f>
        <v>425.56331988324462</v>
      </c>
    </row>
    <row r="26" spans="1:45" s="5" customFormat="1" ht="12.75" customHeight="1" thickBot="1">
      <c r="A26" s="538" t="s">
        <v>141</v>
      </c>
      <c r="B26" s="960"/>
      <c r="C26" s="961">
        <f t="shared" ref="C26:AP26" si="10">C7-C9+C15+C21-C25</f>
        <v>320.15759843333262</v>
      </c>
      <c r="D26" s="962">
        <f t="shared" si="10"/>
        <v>221.42915574234439</v>
      </c>
      <c r="E26" s="963">
        <f t="shared" si="10"/>
        <v>86.198591658957852</v>
      </c>
      <c r="F26" s="963">
        <f t="shared" si="10"/>
        <v>0</v>
      </c>
      <c r="G26" s="963">
        <f t="shared" si="10"/>
        <v>12.529851032030438</v>
      </c>
      <c r="H26" s="964">
        <f t="shared" si="10"/>
        <v>199.31419506885081</v>
      </c>
      <c r="I26" s="962">
        <f t="shared" si="10"/>
        <v>0.37225106885087023</v>
      </c>
      <c r="J26" s="965">
        <f t="shared" si="10"/>
        <v>127.70399999999999</v>
      </c>
      <c r="K26" s="963">
        <f t="shared" si="10"/>
        <v>71.237943999999999</v>
      </c>
      <c r="L26" s="964">
        <f t="shared" si="10"/>
        <v>7278.2180951406654</v>
      </c>
      <c r="M26" s="963">
        <f t="shared" si="10"/>
        <v>0</v>
      </c>
      <c r="N26" s="963">
        <f t="shared" si="10"/>
        <v>-0.14794174855289199</v>
      </c>
      <c r="O26" s="963">
        <f t="shared" si="10"/>
        <v>-5.2567080980734033</v>
      </c>
      <c r="P26" s="963">
        <f t="shared" si="10"/>
        <v>799.22126723333315</v>
      </c>
      <c r="Q26" s="963">
        <f t="shared" si="10"/>
        <v>949.04247657856001</v>
      </c>
      <c r="R26" s="963">
        <f t="shared" si="10"/>
        <v>1106.9485985044798</v>
      </c>
      <c r="S26" s="963">
        <f t="shared" si="10"/>
        <v>39.03952078017609</v>
      </c>
      <c r="T26" s="963">
        <f t="shared" si="10"/>
        <v>187.88084937540125</v>
      </c>
      <c r="U26" s="963">
        <f t="shared" si="10"/>
        <v>3815.0626351280866</v>
      </c>
      <c r="V26" s="963">
        <f t="shared" si="10"/>
        <v>147.33759997605492</v>
      </c>
      <c r="W26" s="963">
        <f t="shared" si="10"/>
        <v>7.506512734116022</v>
      </c>
      <c r="X26" s="963">
        <f t="shared" si="10"/>
        <v>195.36275312176252</v>
      </c>
      <c r="Y26" s="963">
        <f t="shared" si="10"/>
        <v>1.2096467108549098</v>
      </c>
      <c r="Z26" s="963">
        <f t="shared" si="10"/>
        <v>35.010884844467988</v>
      </c>
      <c r="AA26" s="964">
        <f t="shared" si="10"/>
        <v>1921.4292269183238</v>
      </c>
      <c r="AB26" s="966">
        <f t="shared" si="10"/>
        <v>461.09915024876761</v>
      </c>
      <c r="AC26" s="894">
        <f t="shared" si="10"/>
        <v>0</v>
      </c>
      <c r="AD26" s="877">
        <f t="shared" si="10"/>
        <v>0</v>
      </c>
      <c r="AE26" s="877">
        <f t="shared" si="10"/>
        <v>197.01652611637599</v>
      </c>
      <c r="AF26" s="877">
        <f t="shared" si="10"/>
        <v>40.692904224132207</v>
      </c>
      <c r="AG26" s="877">
        <f t="shared" si="10"/>
        <v>0</v>
      </c>
      <c r="AH26" s="877">
        <f t="shared" si="10"/>
        <v>9.7770611234061491</v>
      </c>
      <c r="AI26" s="877">
        <f t="shared" si="10"/>
        <v>128.62672037577602</v>
      </c>
      <c r="AJ26" s="877">
        <f t="shared" si="10"/>
        <v>27.916404744672001</v>
      </c>
      <c r="AK26" s="880">
        <f t="shared" si="10"/>
        <v>0</v>
      </c>
      <c r="AL26" s="880">
        <f t="shared" si="10"/>
        <v>13.54608560366562</v>
      </c>
      <c r="AM26" s="967">
        <f t="shared" si="10"/>
        <v>43.523448060739646</v>
      </c>
      <c r="AN26" s="964">
        <f t="shared" si="10"/>
        <v>54.722939604974087</v>
      </c>
      <c r="AO26" s="964">
        <f t="shared" si="10"/>
        <v>2361.7269899654289</v>
      </c>
      <c r="AP26" s="966">
        <f t="shared" si="10"/>
        <v>0</v>
      </c>
      <c r="AQ26" s="968">
        <f>C26+H26+L26+AA26+AB26+AN26+AO26+AP26</f>
        <v>12596.668195380342</v>
      </c>
      <c r="AR26" s="1"/>
      <c r="AS26" s="4"/>
    </row>
    <row r="27" spans="1:45" s="5" customFormat="1" ht="12.75" customHeight="1">
      <c r="A27" s="532" t="s">
        <v>142</v>
      </c>
      <c r="B27" s="874"/>
      <c r="C27" s="875">
        <f t="shared" ref="C27:V27" si="11">C28</f>
        <v>0</v>
      </c>
      <c r="D27" s="880">
        <f t="shared" si="11"/>
        <v>0</v>
      </c>
      <c r="E27" s="877">
        <f t="shared" si="11"/>
        <v>0</v>
      </c>
      <c r="F27" s="893">
        <f t="shared" si="11"/>
        <v>0</v>
      </c>
      <c r="G27" s="893">
        <f t="shared" si="11"/>
        <v>0</v>
      </c>
      <c r="H27" s="878">
        <f t="shared" si="11"/>
        <v>0</v>
      </c>
      <c r="I27" s="880">
        <f t="shared" si="11"/>
        <v>0</v>
      </c>
      <c r="J27" s="879">
        <f t="shared" si="11"/>
        <v>0</v>
      </c>
      <c r="K27" s="877">
        <f t="shared" si="11"/>
        <v>0</v>
      </c>
      <c r="L27" s="878">
        <f t="shared" si="11"/>
        <v>231.58328467708543</v>
      </c>
      <c r="M27" s="877">
        <f t="shared" si="11"/>
        <v>0</v>
      </c>
      <c r="N27" s="877">
        <f t="shared" si="11"/>
        <v>0</v>
      </c>
      <c r="O27" s="877">
        <f t="shared" si="11"/>
        <v>0</v>
      </c>
      <c r="P27" s="877">
        <f t="shared" si="11"/>
        <v>0</v>
      </c>
      <c r="Q27" s="877">
        <f t="shared" si="11"/>
        <v>0</v>
      </c>
      <c r="R27" s="877">
        <f t="shared" si="11"/>
        <v>0</v>
      </c>
      <c r="S27" s="877">
        <f t="shared" si="11"/>
        <v>0</v>
      </c>
      <c r="T27" s="877">
        <f t="shared" si="11"/>
        <v>0</v>
      </c>
      <c r="U27" s="877">
        <f t="shared" si="11"/>
        <v>0</v>
      </c>
      <c r="V27" s="877">
        <f t="shared" si="11"/>
        <v>0</v>
      </c>
      <c r="W27" s="893"/>
      <c r="X27" s="893">
        <f t="shared" ref="X27:AQ27" si="12">X28</f>
        <v>195.36275312176252</v>
      </c>
      <c r="Y27" s="893">
        <f t="shared" si="12"/>
        <v>1.2096467108549098</v>
      </c>
      <c r="Z27" s="877">
        <f t="shared" si="12"/>
        <v>35.010884844467988</v>
      </c>
      <c r="AA27" s="878">
        <f t="shared" si="12"/>
        <v>0</v>
      </c>
      <c r="AB27" s="876">
        <f t="shared" si="12"/>
        <v>0</v>
      </c>
      <c r="AC27" s="894">
        <f t="shared" si="12"/>
        <v>0</v>
      </c>
      <c r="AD27" s="877">
        <f t="shared" si="12"/>
        <v>0</v>
      </c>
      <c r="AE27" s="877">
        <f t="shared" si="12"/>
        <v>0</v>
      </c>
      <c r="AF27" s="877">
        <f t="shared" si="12"/>
        <v>0</v>
      </c>
      <c r="AG27" s="877">
        <f t="shared" si="12"/>
        <v>0</v>
      </c>
      <c r="AH27" s="877">
        <f t="shared" si="12"/>
        <v>0</v>
      </c>
      <c r="AI27" s="877">
        <f t="shared" si="12"/>
        <v>0</v>
      </c>
      <c r="AJ27" s="877">
        <f t="shared" si="12"/>
        <v>0</v>
      </c>
      <c r="AK27" s="880">
        <f t="shared" si="12"/>
        <v>0</v>
      </c>
      <c r="AL27" s="880">
        <f t="shared" si="12"/>
        <v>0</v>
      </c>
      <c r="AM27" s="893">
        <f t="shared" si="12"/>
        <v>0</v>
      </c>
      <c r="AN27" s="878">
        <f t="shared" si="12"/>
        <v>0</v>
      </c>
      <c r="AO27" s="878">
        <f t="shared" si="12"/>
        <v>0</v>
      </c>
      <c r="AP27" s="876">
        <f t="shared" si="12"/>
        <v>0</v>
      </c>
      <c r="AQ27" s="882">
        <f t="shared" si="12"/>
        <v>231.58328467708543</v>
      </c>
      <c r="AR27" s="1"/>
      <c r="AS27" s="4"/>
    </row>
    <row r="28" spans="1:45" ht="12.75" customHeight="1" thickBot="1">
      <c r="A28" s="539" t="s">
        <v>143</v>
      </c>
      <c r="B28" s="969"/>
      <c r="C28" s="970">
        <f>SUM(D28:G28)</f>
        <v>0</v>
      </c>
      <c r="D28" s="934"/>
      <c r="E28" s="935"/>
      <c r="F28" s="936"/>
      <c r="G28" s="936"/>
      <c r="H28" s="941">
        <f>SUM(I28:K28)</f>
        <v>0</v>
      </c>
      <c r="I28" s="934"/>
      <c r="J28" s="971"/>
      <c r="K28" s="935"/>
      <c r="L28" s="941">
        <f>SUM(M28:Z28)</f>
        <v>231.58328467708543</v>
      </c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6"/>
      <c r="X28" s="936">
        <f>X26</f>
        <v>195.36275312176252</v>
      </c>
      <c r="Y28" s="936">
        <f>Y26</f>
        <v>1.2096467108549098</v>
      </c>
      <c r="Z28" s="935">
        <f>Z26</f>
        <v>35.010884844467988</v>
      </c>
      <c r="AA28" s="941">
        <v>0</v>
      </c>
      <c r="AB28" s="972">
        <f>SUM(AC28:AI28)</f>
        <v>0</v>
      </c>
      <c r="AC28" s="939"/>
      <c r="AD28" s="935"/>
      <c r="AE28" s="935"/>
      <c r="AF28" s="935"/>
      <c r="AG28" s="935"/>
      <c r="AH28" s="935"/>
      <c r="AI28" s="935"/>
      <c r="AJ28" s="935"/>
      <c r="AK28" s="934"/>
      <c r="AL28" s="934"/>
      <c r="AM28" s="936"/>
      <c r="AN28" s="941"/>
      <c r="AO28" s="941"/>
      <c r="AP28" s="972"/>
      <c r="AQ28" s="942">
        <f t="shared" ref="AQ28:AQ72" si="13">C28+H28+L28+AA28+AB28+AN28+AO28+AP28</f>
        <v>231.58328467708543</v>
      </c>
    </row>
    <row r="29" spans="1:45" s="5" customFormat="1" ht="12.75" customHeight="1" thickBot="1">
      <c r="A29" s="532" t="s">
        <v>144</v>
      </c>
      <c r="B29" s="874"/>
      <c r="C29" s="875">
        <f t="shared" ref="C29:AQ29" si="14">C30+C45+C56+C58+C65+C70+C71</f>
        <v>322.73713313616526</v>
      </c>
      <c r="D29" s="880">
        <f t="shared" si="14"/>
        <v>221.25198906014759</v>
      </c>
      <c r="E29" s="877">
        <f t="shared" si="14"/>
        <v>89.647280058277374</v>
      </c>
      <c r="F29" s="893">
        <f t="shared" si="14"/>
        <v>0</v>
      </c>
      <c r="G29" s="893">
        <f t="shared" si="14"/>
        <v>11.837385289740231</v>
      </c>
      <c r="H29" s="878">
        <f t="shared" si="14"/>
        <v>197.36847005356</v>
      </c>
      <c r="I29" s="880">
        <f t="shared" si="14"/>
        <v>0.82966372355999995</v>
      </c>
      <c r="J29" s="973">
        <f t="shared" si="14"/>
        <v>127.70399999999999</v>
      </c>
      <c r="K29" s="880">
        <f t="shared" si="14"/>
        <v>68.834806329999992</v>
      </c>
      <c r="L29" s="878">
        <f t="shared" si="14"/>
        <v>7044.2916862331467</v>
      </c>
      <c r="M29" s="877">
        <f t="shared" si="14"/>
        <v>0</v>
      </c>
      <c r="N29" s="877">
        <f t="shared" si="14"/>
        <v>0</v>
      </c>
      <c r="O29" s="877">
        <f t="shared" si="14"/>
        <v>0</v>
      </c>
      <c r="P29" s="877">
        <f t="shared" si="14"/>
        <v>824.24502392197087</v>
      </c>
      <c r="Q29" s="877">
        <f t="shared" si="14"/>
        <v>934.32541284991999</v>
      </c>
      <c r="R29" s="877">
        <f t="shared" si="14"/>
        <v>1102.8442060797599</v>
      </c>
      <c r="S29" s="877">
        <f t="shared" si="14"/>
        <v>31.039400915077643</v>
      </c>
      <c r="T29" s="877">
        <f t="shared" si="14"/>
        <v>181.32381570558746</v>
      </c>
      <c r="U29" s="877">
        <f t="shared" si="14"/>
        <v>3824.001555864289</v>
      </c>
      <c r="V29" s="877">
        <f t="shared" si="14"/>
        <v>146.51227089654276</v>
      </c>
      <c r="W29" s="893">
        <f t="shared" si="14"/>
        <v>0</v>
      </c>
      <c r="X29" s="893">
        <f t="shared" si="14"/>
        <v>0</v>
      </c>
      <c r="Y29" s="893">
        <f t="shared" si="14"/>
        <v>0</v>
      </c>
      <c r="Z29" s="880">
        <f t="shared" si="14"/>
        <v>0</v>
      </c>
      <c r="AA29" s="964">
        <f t="shared" si="14"/>
        <v>1961.7039372255224</v>
      </c>
      <c r="AB29" s="876">
        <f t="shared" si="14"/>
        <v>463.5152964293224</v>
      </c>
      <c r="AC29" s="894">
        <f t="shared" si="14"/>
        <v>0</v>
      </c>
      <c r="AD29" s="877">
        <f t="shared" si="14"/>
        <v>0</v>
      </c>
      <c r="AE29" s="877">
        <f t="shared" si="14"/>
        <v>201.73619537368276</v>
      </c>
      <c r="AF29" s="877">
        <f t="shared" si="14"/>
        <v>40.692904224132199</v>
      </c>
      <c r="AG29" s="877">
        <f t="shared" si="14"/>
        <v>0</v>
      </c>
      <c r="AH29" s="877">
        <f t="shared" si="14"/>
        <v>9.7770611234061491</v>
      </c>
      <c r="AI29" s="877">
        <f t="shared" si="14"/>
        <v>126.96834918892804</v>
      </c>
      <c r="AJ29" s="877">
        <f t="shared" si="14"/>
        <v>27.271252854767994</v>
      </c>
      <c r="AK29" s="876">
        <f t="shared" si="14"/>
        <v>0</v>
      </c>
      <c r="AL29" s="876">
        <f t="shared" si="14"/>
        <v>13.546085603665619</v>
      </c>
      <c r="AM29" s="876">
        <f t="shared" si="14"/>
        <v>43.523448060739653</v>
      </c>
      <c r="AN29" s="876">
        <f t="shared" si="14"/>
        <v>54.722939604974094</v>
      </c>
      <c r="AO29" s="878">
        <f t="shared" si="14"/>
        <v>2397.4208343089181</v>
      </c>
      <c r="AP29" s="876">
        <f t="shared" si="14"/>
        <v>0</v>
      </c>
      <c r="AQ29" s="968">
        <f t="shared" si="14"/>
        <v>12441.760296991612</v>
      </c>
      <c r="AR29" s="1"/>
      <c r="AS29" s="4"/>
    </row>
    <row r="30" spans="1:45" s="5" customFormat="1" ht="12.75" customHeight="1">
      <c r="A30" s="61" t="s">
        <v>145</v>
      </c>
      <c r="B30" s="974"/>
      <c r="C30" s="975">
        <f>SUM(C31:C44)</f>
        <v>105.42502802800003</v>
      </c>
      <c r="D30" s="976">
        <v>105.4245493</v>
      </c>
      <c r="E30" s="976">
        <v>0</v>
      </c>
      <c r="F30" s="977"/>
      <c r="G30" s="977"/>
      <c r="H30" s="978">
        <f>SUM(H31:H44)</f>
        <v>0.82966372355999995</v>
      </c>
      <c r="I30" s="979">
        <f t="shared" ref="I30:K30" si="15">SUM(I31:I44)</f>
        <v>0.82966372355999995</v>
      </c>
      <c r="J30" s="976">
        <f t="shared" si="15"/>
        <v>0</v>
      </c>
      <c r="K30" s="976">
        <f t="shared" si="15"/>
        <v>0</v>
      </c>
      <c r="L30" s="978">
        <f>SUM(L31:L44)</f>
        <v>333.21700779482637</v>
      </c>
      <c r="M30" s="976">
        <f>SUM(M31:M44)</f>
        <v>0</v>
      </c>
      <c r="N30" s="976">
        <f>SUM(N31:N44)</f>
        <v>0</v>
      </c>
      <c r="O30" s="976">
        <f>SUM(O31:O44)</f>
        <v>0</v>
      </c>
      <c r="P30" s="976">
        <f>SUM(P31:P44)</f>
        <v>0</v>
      </c>
      <c r="Q30" s="976">
        <v>5.8273117756492638</v>
      </c>
      <c r="R30" s="976">
        <f>SUM(R31:R44)</f>
        <v>0</v>
      </c>
      <c r="S30" s="976">
        <v>30.396553446461994</v>
      </c>
      <c r="T30" s="976">
        <v>55.10581048870722</v>
      </c>
      <c r="U30" s="976">
        <v>100.77893291075623</v>
      </c>
      <c r="V30" s="976">
        <v>141.10839917325163</v>
      </c>
      <c r="W30" s="976">
        <f>SUM(W31:W44)</f>
        <v>0</v>
      </c>
      <c r="X30" s="976">
        <f>SUM(X31:X44)</f>
        <v>0</v>
      </c>
      <c r="Y30" s="976">
        <f>SUM(Y31:Y44)</f>
        <v>0</v>
      </c>
      <c r="Z30" s="976">
        <f>SUM(Z31:Z44)</f>
        <v>0</v>
      </c>
      <c r="AA30" s="978">
        <v>1006.4294471460221</v>
      </c>
      <c r="AB30" s="980">
        <f t="shared" ref="AB30:AN30" si="16">SUM(AB31:AB44)</f>
        <v>198.81521058080656</v>
      </c>
      <c r="AC30" s="981">
        <f t="shared" si="16"/>
        <v>0</v>
      </c>
      <c r="AD30" s="976">
        <f t="shared" si="16"/>
        <v>0</v>
      </c>
      <c r="AE30" s="976">
        <f t="shared" si="16"/>
        <v>153.96698996806381</v>
      </c>
      <c r="AF30" s="976">
        <f t="shared" si="16"/>
        <v>40.692904224132199</v>
      </c>
      <c r="AG30" s="976">
        <f t="shared" si="16"/>
        <v>0</v>
      </c>
      <c r="AH30" s="976">
        <f t="shared" si="16"/>
        <v>4.1553163886105651</v>
      </c>
      <c r="AI30" s="976">
        <f t="shared" si="16"/>
        <v>0</v>
      </c>
      <c r="AJ30" s="976">
        <f t="shared" si="16"/>
        <v>0</v>
      </c>
      <c r="AK30" s="976">
        <f t="shared" si="16"/>
        <v>0</v>
      </c>
      <c r="AL30" s="976">
        <f t="shared" si="16"/>
        <v>0</v>
      </c>
      <c r="AM30" s="982">
        <f t="shared" si="16"/>
        <v>0</v>
      </c>
      <c r="AN30" s="979">
        <f t="shared" si="16"/>
        <v>54.722939604974094</v>
      </c>
      <c r="AO30" s="978">
        <v>562.37095164267794</v>
      </c>
      <c r="AP30" s="980">
        <f>SUM(AP31:AP44)</f>
        <v>0</v>
      </c>
      <c r="AQ30" s="895">
        <f t="shared" ref="AQ30" si="17">C30+H30+L30+AA30+AB30+AN30+AO30+AP30</f>
        <v>2261.8102485208669</v>
      </c>
      <c r="AR30" s="1"/>
      <c r="AS30" s="4"/>
    </row>
    <row r="31" spans="1:45" ht="12.75" customHeight="1">
      <c r="A31" s="540" t="s">
        <v>146</v>
      </c>
      <c r="B31" s="983" t="s">
        <v>147</v>
      </c>
      <c r="C31" s="984">
        <f t="shared" ref="C31:C43" si="18">SUM(D31:G31)</f>
        <v>0</v>
      </c>
      <c r="D31" s="904">
        <v>0</v>
      </c>
      <c r="E31" s="985"/>
      <c r="F31" s="985"/>
      <c r="G31" s="986"/>
      <c r="H31" s="987">
        <f t="shared" ref="H31:H43" si="19">SUM(I31:K31)</f>
        <v>0</v>
      </c>
      <c r="I31" s="988"/>
      <c r="J31" s="989"/>
      <c r="K31" s="907"/>
      <c r="L31" s="987">
        <f t="shared" ref="L31:L43" si="20">SUM(M31:Z31)</f>
        <v>15.076944231866809</v>
      </c>
      <c r="M31" s="907"/>
      <c r="N31" s="907"/>
      <c r="O31" s="907"/>
      <c r="P31" s="990"/>
      <c r="Q31" s="946">
        <v>0.252</v>
      </c>
      <c r="R31" s="985"/>
      <c r="S31" s="946">
        <v>0</v>
      </c>
      <c r="T31" s="946">
        <v>9.0944231866809708E-2</v>
      </c>
      <c r="U31" s="946">
        <v>14.734</v>
      </c>
      <c r="V31" s="946">
        <v>0</v>
      </c>
      <c r="W31" s="985"/>
      <c r="X31" s="988"/>
      <c r="Y31" s="990"/>
      <c r="Z31" s="907"/>
      <c r="AA31" s="905">
        <v>11.321518316813064</v>
      </c>
      <c r="AB31" s="991">
        <f t="shared" ref="AB31:AB43" si="21">SUM(AC31:AM31)</f>
        <v>0</v>
      </c>
      <c r="AC31" s="992"/>
      <c r="AD31" s="907"/>
      <c r="AE31" s="907"/>
      <c r="AF31" s="907"/>
      <c r="AG31" s="907"/>
      <c r="AH31" s="907"/>
      <c r="AI31" s="907"/>
      <c r="AJ31" s="907"/>
      <c r="AK31" s="898"/>
      <c r="AL31" s="900"/>
      <c r="AM31" s="907"/>
      <c r="AN31" s="905"/>
      <c r="AO31" s="905">
        <v>18.942945216847264</v>
      </c>
      <c r="AP31" s="991"/>
      <c r="AQ31" s="906">
        <f t="shared" si="13"/>
        <v>45.341407765527137</v>
      </c>
    </row>
    <row r="32" spans="1:45" ht="12.75" customHeight="1">
      <c r="A32" s="541" t="s">
        <v>148</v>
      </c>
      <c r="B32" s="993" t="s">
        <v>149</v>
      </c>
      <c r="C32" s="850">
        <f t="shared" si="18"/>
        <v>18.505815952000003</v>
      </c>
      <c r="D32" s="859">
        <v>18.505815952000003</v>
      </c>
      <c r="E32" s="994"/>
      <c r="F32" s="994"/>
      <c r="G32" s="995"/>
      <c r="H32" s="854">
        <f t="shared" si="19"/>
        <v>0.82966372355999995</v>
      </c>
      <c r="I32" s="855">
        <v>0.82966372355999995</v>
      </c>
      <c r="J32" s="856"/>
      <c r="K32" s="857"/>
      <c r="L32" s="854">
        <f t="shared" si="20"/>
        <v>65.081234617624631</v>
      </c>
      <c r="M32" s="857"/>
      <c r="N32" s="857"/>
      <c r="O32" s="857"/>
      <c r="P32" s="990"/>
      <c r="Q32" s="994">
        <v>1.514</v>
      </c>
      <c r="R32" s="994"/>
      <c r="S32" s="994">
        <v>22.968462416696998</v>
      </c>
      <c r="T32" s="994">
        <v>29.49577220092764</v>
      </c>
      <c r="U32" s="994">
        <v>11.103</v>
      </c>
      <c r="V32" s="994">
        <v>0</v>
      </c>
      <c r="W32" s="994"/>
      <c r="X32" s="855"/>
      <c r="Y32" s="853"/>
      <c r="Z32" s="857"/>
      <c r="AA32" s="860">
        <v>272.71139495674981</v>
      </c>
      <c r="AB32" s="858">
        <f t="shared" si="21"/>
        <v>27.983335383690566</v>
      </c>
      <c r="AC32" s="859"/>
      <c r="AD32" s="857"/>
      <c r="AE32" s="857">
        <v>23.828018995080001</v>
      </c>
      <c r="AF32" s="857"/>
      <c r="AG32" s="907"/>
      <c r="AH32" s="907">
        <v>4.1553163886105651</v>
      </c>
      <c r="AI32" s="907"/>
      <c r="AJ32" s="907"/>
      <c r="AK32" s="855"/>
      <c r="AL32" s="853"/>
      <c r="AM32" s="857"/>
      <c r="AN32" s="860"/>
      <c r="AO32" s="860">
        <v>95.275088867672153</v>
      </c>
      <c r="AP32" s="858"/>
      <c r="AQ32" s="861">
        <f t="shared" si="13"/>
        <v>480.38653350129721</v>
      </c>
    </row>
    <row r="33" spans="1:45" ht="12.75" customHeight="1">
      <c r="A33" s="541" t="s">
        <v>150</v>
      </c>
      <c r="B33" s="996" t="s">
        <v>151</v>
      </c>
      <c r="C33" s="850">
        <f t="shared" si="18"/>
        <v>0</v>
      </c>
      <c r="D33" s="859">
        <v>0</v>
      </c>
      <c r="E33" s="994"/>
      <c r="F33" s="994"/>
      <c r="G33" s="995"/>
      <c r="H33" s="854">
        <f t="shared" si="19"/>
        <v>0</v>
      </c>
      <c r="I33" s="855"/>
      <c r="J33" s="856"/>
      <c r="K33" s="857"/>
      <c r="L33" s="854">
        <f t="shared" si="20"/>
        <v>4.2587599630269795</v>
      </c>
      <c r="M33" s="857"/>
      <c r="N33" s="857"/>
      <c r="O33" s="857"/>
      <c r="P33" s="990"/>
      <c r="Q33" s="994">
        <v>7.6999999999999999E-2</v>
      </c>
      <c r="R33" s="994"/>
      <c r="S33" s="994">
        <v>0</v>
      </c>
      <c r="T33" s="994">
        <v>3.9077599630269795</v>
      </c>
      <c r="U33" s="994">
        <v>0.27400000000000002</v>
      </c>
      <c r="V33" s="994">
        <v>0</v>
      </c>
      <c r="W33" s="994"/>
      <c r="X33" s="855"/>
      <c r="Y33" s="853"/>
      <c r="Z33" s="857"/>
      <c r="AA33" s="860">
        <v>3.3044502133205622</v>
      </c>
      <c r="AB33" s="858">
        <f t="shared" si="21"/>
        <v>0</v>
      </c>
      <c r="AC33" s="859"/>
      <c r="AD33" s="857"/>
      <c r="AE33" s="857"/>
      <c r="AF33" s="857"/>
      <c r="AG33" s="907"/>
      <c r="AH33" s="907"/>
      <c r="AI33" s="907"/>
      <c r="AJ33" s="907"/>
      <c r="AK33" s="855"/>
      <c r="AL33" s="853"/>
      <c r="AM33" s="857"/>
      <c r="AN33" s="860"/>
      <c r="AO33" s="860">
        <v>2.6521774464642336</v>
      </c>
      <c r="AP33" s="858"/>
      <c r="AQ33" s="861">
        <f t="shared" si="13"/>
        <v>10.215387622811775</v>
      </c>
    </row>
    <row r="34" spans="1:45" ht="12.75" customHeight="1">
      <c r="A34" s="541" t="s">
        <v>152</v>
      </c>
      <c r="B34" s="996" t="s">
        <v>153</v>
      </c>
      <c r="C34" s="850">
        <f t="shared" si="18"/>
        <v>0</v>
      </c>
      <c r="D34" s="859">
        <v>0</v>
      </c>
      <c r="E34" s="994"/>
      <c r="F34" s="994"/>
      <c r="G34" s="995"/>
      <c r="H34" s="854">
        <f t="shared" si="19"/>
        <v>0</v>
      </c>
      <c r="I34" s="855"/>
      <c r="J34" s="856"/>
      <c r="K34" s="857"/>
      <c r="L34" s="854">
        <f t="shared" si="20"/>
        <v>3.2131895506092896</v>
      </c>
      <c r="M34" s="857"/>
      <c r="N34" s="857"/>
      <c r="O34" s="857"/>
      <c r="P34" s="990"/>
      <c r="Q34" s="994">
        <v>0.17699999999999999</v>
      </c>
      <c r="R34" s="994"/>
      <c r="S34" s="994">
        <v>0</v>
      </c>
      <c r="T34" s="994">
        <v>0.60818955060928981</v>
      </c>
      <c r="U34" s="994">
        <v>2.4279999999999999</v>
      </c>
      <c r="V34" s="994">
        <v>0</v>
      </c>
      <c r="W34" s="994"/>
      <c r="X34" s="855"/>
      <c r="Y34" s="853"/>
      <c r="Z34" s="857"/>
      <c r="AA34" s="860">
        <v>9.6605545809524642</v>
      </c>
      <c r="AB34" s="858">
        <f t="shared" si="21"/>
        <v>127.91319688416</v>
      </c>
      <c r="AC34" s="859"/>
      <c r="AD34" s="857"/>
      <c r="AE34" s="857">
        <v>127.91319688416</v>
      </c>
      <c r="AF34" s="857"/>
      <c r="AG34" s="907"/>
      <c r="AH34" s="907"/>
      <c r="AI34" s="907"/>
      <c r="AJ34" s="907"/>
      <c r="AK34" s="855"/>
      <c r="AL34" s="853"/>
      <c r="AM34" s="857"/>
      <c r="AN34" s="860"/>
      <c r="AO34" s="860">
        <v>24.722008913423029</v>
      </c>
      <c r="AP34" s="858"/>
      <c r="AQ34" s="861">
        <f t="shared" si="13"/>
        <v>165.50894992914479</v>
      </c>
    </row>
    <row r="35" spans="1:45" ht="12.75" customHeight="1">
      <c r="A35" s="541" t="s">
        <v>154</v>
      </c>
      <c r="B35" s="996" t="s">
        <v>155</v>
      </c>
      <c r="C35" s="850">
        <f t="shared" si="18"/>
        <v>0</v>
      </c>
      <c r="D35" s="859">
        <v>0</v>
      </c>
      <c r="E35" s="994"/>
      <c r="F35" s="994"/>
      <c r="G35" s="995"/>
      <c r="H35" s="854">
        <f t="shared" si="19"/>
        <v>0</v>
      </c>
      <c r="I35" s="855"/>
      <c r="J35" s="856"/>
      <c r="K35" s="857"/>
      <c r="L35" s="854">
        <f t="shared" si="20"/>
        <v>1.6055046049530732</v>
      </c>
      <c r="M35" s="857"/>
      <c r="N35" s="857"/>
      <c r="O35" s="857"/>
      <c r="P35" s="990"/>
      <c r="Q35" s="994">
        <v>9.6000000000000002E-2</v>
      </c>
      <c r="R35" s="994"/>
      <c r="S35" s="994">
        <v>0</v>
      </c>
      <c r="T35" s="994">
        <v>0.62950460495307337</v>
      </c>
      <c r="U35" s="994">
        <v>0.88</v>
      </c>
      <c r="V35" s="994">
        <v>0</v>
      </c>
      <c r="W35" s="994"/>
      <c r="X35" s="855"/>
      <c r="Y35" s="853"/>
      <c r="Z35" s="857"/>
      <c r="AA35" s="860">
        <v>14.125994102315383</v>
      </c>
      <c r="AB35" s="858">
        <f t="shared" si="21"/>
        <v>0</v>
      </c>
      <c r="AC35" s="859"/>
      <c r="AD35" s="857"/>
      <c r="AE35" s="857"/>
      <c r="AF35" s="857"/>
      <c r="AG35" s="907"/>
      <c r="AH35" s="907"/>
      <c r="AI35" s="907"/>
      <c r="AJ35" s="907"/>
      <c r="AK35" s="855"/>
      <c r="AL35" s="853"/>
      <c r="AM35" s="857"/>
      <c r="AN35" s="860"/>
      <c r="AO35" s="860">
        <v>10.336268211589791</v>
      </c>
      <c r="AP35" s="858"/>
      <c r="AQ35" s="861">
        <f t="shared" si="13"/>
        <v>26.067766918858247</v>
      </c>
    </row>
    <row r="36" spans="1:45" ht="12.75" customHeight="1">
      <c r="A36" s="541" t="s">
        <v>156</v>
      </c>
      <c r="B36" s="996" t="s">
        <v>157</v>
      </c>
      <c r="C36" s="850">
        <f t="shared" si="18"/>
        <v>0</v>
      </c>
      <c r="D36" s="992">
        <v>0</v>
      </c>
      <c r="E36" s="994"/>
      <c r="F36" s="994"/>
      <c r="G36" s="995"/>
      <c r="H36" s="854">
        <f t="shared" si="19"/>
        <v>0</v>
      </c>
      <c r="I36" s="855"/>
      <c r="J36" s="856"/>
      <c r="K36" s="857"/>
      <c r="L36" s="854">
        <f t="shared" si="20"/>
        <v>21.418897222529047</v>
      </c>
      <c r="M36" s="857"/>
      <c r="N36" s="857"/>
      <c r="O36" s="857"/>
      <c r="P36" s="990"/>
      <c r="Q36" s="985">
        <v>0.30599999999999994</v>
      </c>
      <c r="R36" s="994"/>
      <c r="S36" s="985">
        <v>2.7458233928999998</v>
      </c>
      <c r="T36" s="985">
        <v>3.9702841224354111</v>
      </c>
      <c r="U36" s="985">
        <v>4.5789999999999997</v>
      </c>
      <c r="V36" s="985">
        <v>9.8177897071936346</v>
      </c>
      <c r="W36" s="994"/>
      <c r="X36" s="855"/>
      <c r="Y36" s="853"/>
      <c r="Z36" s="857"/>
      <c r="AA36" s="997">
        <v>129.58450822372785</v>
      </c>
      <c r="AB36" s="858">
        <f t="shared" si="21"/>
        <v>0</v>
      </c>
      <c r="AC36" s="859"/>
      <c r="AD36" s="857"/>
      <c r="AE36" s="857">
        <v>0</v>
      </c>
      <c r="AF36" s="857"/>
      <c r="AG36" s="907"/>
      <c r="AH36" s="907"/>
      <c r="AI36" s="907"/>
      <c r="AJ36" s="907"/>
      <c r="AK36" s="988"/>
      <c r="AL36" s="990"/>
      <c r="AM36" s="857"/>
      <c r="AN36" s="997"/>
      <c r="AO36" s="997">
        <v>76.140196178045755</v>
      </c>
      <c r="AP36" s="858"/>
      <c r="AQ36" s="861">
        <f t="shared" si="13"/>
        <v>227.14360162430265</v>
      </c>
    </row>
    <row r="37" spans="1:45" ht="12.75" customHeight="1">
      <c r="A37" s="541" t="s">
        <v>158</v>
      </c>
      <c r="B37" s="996" t="s">
        <v>159</v>
      </c>
      <c r="C37" s="850">
        <f t="shared" si="18"/>
        <v>0</v>
      </c>
      <c r="D37" s="859">
        <v>0</v>
      </c>
      <c r="E37" s="994"/>
      <c r="F37" s="994"/>
      <c r="G37" s="995"/>
      <c r="H37" s="854">
        <f t="shared" si="19"/>
        <v>0</v>
      </c>
      <c r="I37" s="855"/>
      <c r="J37" s="856"/>
      <c r="K37" s="857"/>
      <c r="L37" s="854">
        <f t="shared" si="20"/>
        <v>4.1927665829180274</v>
      </c>
      <c r="M37" s="857"/>
      <c r="N37" s="857"/>
      <c r="O37" s="857"/>
      <c r="P37" s="990"/>
      <c r="Q37" s="994">
        <v>0.53500000000000003</v>
      </c>
      <c r="R37" s="994"/>
      <c r="S37" s="994">
        <v>0</v>
      </c>
      <c r="T37" s="994">
        <v>2.1897665829180273</v>
      </c>
      <c r="U37" s="994">
        <v>1.468</v>
      </c>
      <c r="V37" s="994">
        <v>0</v>
      </c>
      <c r="W37" s="994"/>
      <c r="X37" s="855"/>
      <c r="Y37" s="853"/>
      <c r="Z37" s="857"/>
      <c r="AA37" s="860">
        <v>17.456036015436883</v>
      </c>
      <c r="AB37" s="858">
        <f t="shared" si="21"/>
        <v>0</v>
      </c>
      <c r="AC37" s="859"/>
      <c r="AD37" s="857"/>
      <c r="AE37" s="857"/>
      <c r="AF37" s="857"/>
      <c r="AG37" s="907"/>
      <c r="AH37" s="907"/>
      <c r="AI37" s="907"/>
      <c r="AJ37" s="907"/>
      <c r="AK37" s="855"/>
      <c r="AL37" s="853"/>
      <c r="AM37" s="857"/>
      <c r="AN37" s="860"/>
      <c r="AO37" s="860">
        <v>25.06049692993675</v>
      </c>
      <c r="AP37" s="858"/>
      <c r="AQ37" s="861">
        <f t="shared" si="13"/>
        <v>46.709299528291666</v>
      </c>
    </row>
    <row r="38" spans="1:45" ht="12.75" customHeight="1">
      <c r="A38" s="541" t="s">
        <v>160</v>
      </c>
      <c r="B38" s="996" t="s">
        <v>161</v>
      </c>
      <c r="C38" s="850">
        <f t="shared" si="18"/>
        <v>86.919212076000022</v>
      </c>
      <c r="D38" s="859">
        <v>86.919212076000022</v>
      </c>
      <c r="E38" s="994"/>
      <c r="F38" s="994"/>
      <c r="G38" s="995"/>
      <c r="H38" s="854">
        <f t="shared" si="19"/>
        <v>0</v>
      </c>
      <c r="I38" s="855"/>
      <c r="J38" s="856"/>
      <c r="K38" s="857"/>
      <c r="L38" s="854">
        <f t="shared" si="20"/>
        <v>160.32357118657256</v>
      </c>
      <c r="M38" s="857"/>
      <c r="N38" s="857"/>
      <c r="O38" s="857"/>
      <c r="P38" s="990"/>
      <c r="Q38" s="994">
        <v>1.1439999999999999</v>
      </c>
      <c r="R38" s="994"/>
      <c r="S38" s="994">
        <v>0</v>
      </c>
      <c r="T38" s="994">
        <v>2.6359617205145627</v>
      </c>
      <c r="U38" s="994">
        <v>25.253</v>
      </c>
      <c r="V38" s="994">
        <v>131.29060946605799</v>
      </c>
      <c r="W38" s="994"/>
      <c r="X38" s="855"/>
      <c r="Y38" s="853"/>
      <c r="Z38" s="857"/>
      <c r="AA38" s="860">
        <v>46.760404850906049</v>
      </c>
      <c r="AB38" s="858">
        <f t="shared" si="21"/>
        <v>42.918678312955997</v>
      </c>
      <c r="AC38" s="859"/>
      <c r="AD38" s="857"/>
      <c r="AE38" s="857">
        <v>2.2257740888237998</v>
      </c>
      <c r="AF38" s="857">
        <v>40.692904224132199</v>
      </c>
      <c r="AG38" s="907"/>
      <c r="AH38" s="907"/>
      <c r="AI38" s="907"/>
      <c r="AJ38" s="907"/>
      <c r="AK38" s="855"/>
      <c r="AL38" s="853"/>
      <c r="AM38" s="857"/>
      <c r="AN38" s="860">
        <v>54.722939604974094</v>
      </c>
      <c r="AO38" s="860">
        <v>73.686158058321269</v>
      </c>
      <c r="AP38" s="858"/>
      <c r="AQ38" s="861">
        <f t="shared" si="13"/>
        <v>465.33096408973</v>
      </c>
    </row>
    <row r="39" spans="1:45" ht="12.75" customHeight="1">
      <c r="A39" s="541" t="s">
        <v>162</v>
      </c>
      <c r="B39" s="996" t="s">
        <v>163</v>
      </c>
      <c r="C39" s="850">
        <f t="shared" si="18"/>
        <v>0</v>
      </c>
      <c r="D39" s="859">
        <v>0</v>
      </c>
      <c r="E39" s="994"/>
      <c r="F39" s="994"/>
      <c r="G39" s="995"/>
      <c r="H39" s="854">
        <f t="shared" si="19"/>
        <v>0</v>
      </c>
      <c r="I39" s="855"/>
      <c r="J39" s="856"/>
      <c r="K39" s="857"/>
      <c r="L39" s="854">
        <f t="shared" si="20"/>
        <v>5.6776554397216028</v>
      </c>
      <c r="M39" s="857"/>
      <c r="N39" s="857"/>
      <c r="O39" s="857"/>
      <c r="P39" s="990"/>
      <c r="Q39" s="994">
        <v>0.33800000000000002</v>
      </c>
      <c r="R39" s="994"/>
      <c r="S39" s="994">
        <v>1.0397614907400001</v>
      </c>
      <c r="T39" s="994">
        <v>1.5488939489816029</v>
      </c>
      <c r="U39" s="994">
        <v>2.7509999999999999</v>
      </c>
      <c r="V39" s="994">
        <v>0</v>
      </c>
      <c r="W39" s="994"/>
      <c r="X39" s="855"/>
      <c r="Y39" s="853"/>
      <c r="Z39" s="857"/>
      <c r="AA39" s="860">
        <v>411.95146425902993</v>
      </c>
      <c r="AB39" s="858">
        <f t="shared" si="21"/>
        <v>0</v>
      </c>
      <c r="AC39" s="859"/>
      <c r="AD39" s="857"/>
      <c r="AE39" s="857"/>
      <c r="AF39" s="857"/>
      <c r="AG39" s="907"/>
      <c r="AH39" s="907"/>
      <c r="AI39" s="907"/>
      <c r="AJ39" s="907"/>
      <c r="AK39" s="855"/>
      <c r="AL39" s="853"/>
      <c r="AM39" s="857"/>
      <c r="AN39" s="860"/>
      <c r="AO39" s="860">
        <v>67.595437712394457</v>
      </c>
      <c r="AP39" s="858"/>
      <c r="AQ39" s="861">
        <f t="shared" si="13"/>
        <v>485.22455741114601</v>
      </c>
    </row>
    <row r="40" spans="1:45" ht="12.75" customHeight="1">
      <c r="A40" s="541" t="s">
        <v>164</v>
      </c>
      <c r="B40" s="996" t="s">
        <v>165</v>
      </c>
      <c r="C40" s="850">
        <f t="shared" si="18"/>
        <v>0</v>
      </c>
      <c r="D40" s="859">
        <v>0</v>
      </c>
      <c r="E40" s="994"/>
      <c r="F40" s="994"/>
      <c r="G40" s="995"/>
      <c r="H40" s="854">
        <f t="shared" si="19"/>
        <v>0</v>
      </c>
      <c r="I40" s="855"/>
      <c r="J40" s="856"/>
      <c r="K40" s="857"/>
      <c r="L40" s="854">
        <f t="shared" si="20"/>
        <v>4.0583976227701353</v>
      </c>
      <c r="M40" s="857"/>
      <c r="N40" s="857"/>
      <c r="O40" s="857"/>
      <c r="P40" s="990"/>
      <c r="Q40" s="994">
        <v>0.14399999999999999</v>
      </c>
      <c r="R40" s="994"/>
      <c r="S40" s="994">
        <v>0</v>
      </c>
      <c r="T40" s="994">
        <v>2.2053976227701355</v>
      </c>
      <c r="U40" s="994">
        <v>1.7090000000000001</v>
      </c>
      <c r="V40" s="994">
        <v>0</v>
      </c>
      <c r="W40" s="994"/>
      <c r="X40" s="855"/>
      <c r="Y40" s="853"/>
      <c r="Z40" s="857"/>
      <c r="AA40" s="860">
        <v>14.088542834314019</v>
      </c>
      <c r="AB40" s="858">
        <f t="shared" si="21"/>
        <v>0</v>
      </c>
      <c r="AC40" s="859"/>
      <c r="AD40" s="857"/>
      <c r="AE40" s="857"/>
      <c r="AF40" s="857"/>
      <c r="AG40" s="907"/>
      <c r="AH40" s="907"/>
      <c r="AI40" s="907"/>
      <c r="AJ40" s="907"/>
      <c r="AK40" s="855"/>
      <c r="AL40" s="853"/>
      <c r="AM40" s="857"/>
      <c r="AN40" s="860"/>
      <c r="AO40" s="860">
        <v>17.033790245657055</v>
      </c>
      <c r="AP40" s="858"/>
      <c r="AQ40" s="861">
        <f t="shared" si="13"/>
        <v>35.180730702741215</v>
      </c>
    </row>
    <row r="41" spans="1:45" ht="12.75" customHeight="1">
      <c r="A41" s="541" t="s">
        <v>166</v>
      </c>
      <c r="B41" s="996" t="s">
        <v>167</v>
      </c>
      <c r="C41" s="850">
        <f t="shared" si="18"/>
        <v>0</v>
      </c>
      <c r="D41" s="992">
        <v>0</v>
      </c>
      <c r="E41" s="994"/>
      <c r="F41" s="994"/>
      <c r="G41" s="995"/>
      <c r="H41" s="854">
        <f t="shared" si="19"/>
        <v>0</v>
      </c>
      <c r="I41" s="855"/>
      <c r="J41" s="856"/>
      <c r="K41" s="857"/>
      <c r="L41" s="854">
        <f t="shared" si="20"/>
        <v>2.3538976736397665</v>
      </c>
      <c r="M41" s="857"/>
      <c r="N41" s="857"/>
      <c r="O41" s="857"/>
      <c r="P41" s="990"/>
      <c r="Q41" s="985">
        <v>0.184</v>
      </c>
      <c r="R41" s="994"/>
      <c r="S41" s="985">
        <v>0</v>
      </c>
      <c r="T41" s="985">
        <v>1.4408976736397665</v>
      </c>
      <c r="U41" s="985">
        <v>0.72899999999999998</v>
      </c>
      <c r="V41" s="985">
        <v>0</v>
      </c>
      <c r="W41" s="994"/>
      <c r="X41" s="855"/>
      <c r="Y41" s="853"/>
      <c r="Z41" s="857"/>
      <c r="AA41" s="997">
        <v>20.514556235548469</v>
      </c>
      <c r="AB41" s="858">
        <f t="shared" si="21"/>
        <v>0</v>
      </c>
      <c r="AC41" s="859"/>
      <c r="AD41" s="857"/>
      <c r="AE41" s="857"/>
      <c r="AF41" s="857"/>
      <c r="AG41" s="907"/>
      <c r="AH41" s="907"/>
      <c r="AI41" s="907"/>
      <c r="AJ41" s="907"/>
      <c r="AK41" s="988"/>
      <c r="AL41" s="990"/>
      <c r="AM41" s="857"/>
      <c r="AN41" s="997"/>
      <c r="AO41" s="997">
        <v>88.215343376908805</v>
      </c>
      <c r="AP41" s="858"/>
      <c r="AQ41" s="861">
        <f t="shared" si="13"/>
        <v>111.08379728609704</v>
      </c>
    </row>
    <row r="42" spans="1:45" ht="12.75" customHeight="1">
      <c r="A42" s="541" t="s">
        <v>168</v>
      </c>
      <c r="B42" s="996" t="s">
        <v>169</v>
      </c>
      <c r="C42" s="850">
        <f t="shared" si="18"/>
        <v>0</v>
      </c>
      <c r="D42" s="859">
        <v>0</v>
      </c>
      <c r="E42" s="994"/>
      <c r="F42" s="994"/>
      <c r="G42" s="995"/>
      <c r="H42" s="854">
        <f t="shared" si="19"/>
        <v>0</v>
      </c>
      <c r="I42" s="855"/>
      <c r="J42" s="856"/>
      <c r="K42" s="857"/>
      <c r="L42" s="854">
        <f t="shared" si="20"/>
        <v>1.2106523548972861</v>
      </c>
      <c r="M42" s="857"/>
      <c r="N42" s="857"/>
      <c r="O42" s="857"/>
      <c r="P42" s="990"/>
      <c r="Q42" s="994">
        <v>6.6000000000000003E-2</v>
      </c>
      <c r="R42" s="994"/>
      <c r="S42" s="994">
        <v>0</v>
      </c>
      <c r="T42" s="994">
        <v>0.92365235489728603</v>
      </c>
      <c r="U42" s="994">
        <v>0.221</v>
      </c>
      <c r="V42" s="994">
        <v>0</v>
      </c>
      <c r="W42" s="994"/>
      <c r="X42" s="855"/>
      <c r="Y42" s="853"/>
      <c r="Z42" s="857"/>
      <c r="AA42" s="860">
        <v>0.86574847863158677</v>
      </c>
      <c r="AB42" s="858">
        <f t="shared" si="21"/>
        <v>0</v>
      </c>
      <c r="AC42" s="859"/>
      <c r="AD42" s="857"/>
      <c r="AE42" s="857"/>
      <c r="AF42" s="857"/>
      <c r="AG42" s="907"/>
      <c r="AH42" s="907"/>
      <c r="AI42" s="907"/>
      <c r="AJ42" s="907"/>
      <c r="AK42" s="953"/>
      <c r="AL42" s="949"/>
      <c r="AM42" s="857"/>
      <c r="AN42" s="954"/>
      <c r="AO42" s="860">
        <v>2.5758112476166248</v>
      </c>
      <c r="AP42" s="858"/>
      <c r="AQ42" s="861">
        <f t="shared" si="13"/>
        <v>4.6522120811454979</v>
      </c>
    </row>
    <row r="43" spans="1:45" ht="12.75" customHeight="1">
      <c r="A43" s="541" t="s">
        <v>170</v>
      </c>
      <c r="B43" s="996" t="s">
        <v>171</v>
      </c>
      <c r="C43" s="850">
        <f t="shared" si="18"/>
        <v>0</v>
      </c>
      <c r="D43" s="859">
        <v>0</v>
      </c>
      <c r="E43" s="994"/>
      <c r="F43" s="994"/>
      <c r="G43" s="995"/>
      <c r="H43" s="854">
        <f t="shared" si="19"/>
        <v>0</v>
      </c>
      <c r="I43" s="855"/>
      <c r="J43" s="856"/>
      <c r="K43" s="857">
        <v>0</v>
      </c>
      <c r="L43" s="854">
        <f t="shared" si="20"/>
        <v>12.040386855324506</v>
      </c>
      <c r="M43" s="857"/>
      <c r="N43" s="857"/>
      <c r="O43" s="857"/>
      <c r="P43" s="853"/>
      <c r="Q43" s="994">
        <v>0.29299999999999998</v>
      </c>
      <c r="R43" s="994"/>
      <c r="S43" s="994">
        <v>3.6425061461249997</v>
      </c>
      <c r="T43" s="994">
        <v>4.9848807091995067</v>
      </c>
      <c r="U43" s="994">
        <v>3.12</v>
      </c>
      <c r="V43" s="994">
        <v>0</v>
      </c>
      <c r="W43" s="994"/>
      <c r="X43" s="855"/>
      <c r="Y43" s="853"/>
      <c r="Z43" s="857"/>
      <c r="AA43" s="860">
        <v>49.987455777023783</v>
      </c>
      <c r="AB43" s="858">
        <f t="shared" si="21"/>
        <v>0</v>
      </c>
      <c r="AC43" s="859"/>
      <c r="AD43" s="857"/>
      <c r="AE43" s="857"/>
      <c r="AF43" s="857"/>
      <c r="AG43" s="857"/>
      <c r="AH43" s="857"/>
      <c r="AI43" s="857"/>
      <c r="AJ43" s="857"/>
      <c r="AK43" s="855"/>
      <c r="AL43" s="853"/>
      <c r="AM43" s="857"/>
      <c r="AN43" s="860"/>
      <c r="AO43" s="860">
        <v>50.192200180420599</v>
      </c>
      <c r="AP43" s="858"/>
      <c r="AQ43" s="861">
        <f t="shared" si="13"/>
        <v>112.2200428127689</v>
      </c>
    </row>
    <row r="44" spans="1:45" ht="12.75" customHeight="1">
      <c r="A44" s="542" t="s">
        <v>798</v>
      </c>
      <c r="B44" s="998" t="s">
        <v>799</v>
      </c>
      <c r="C44" s="909">
        <f>SUM(D44:G44)</f>
        <v>0</v>
      </c>
      <c r="D44" s="916">
        <v>0</v>
      </c>
      <c r="E44" s="999"/>
      <c r="F44" s="999"/>
      <c r="G44" s="1000"/>
      <c r="H44" s="913">
        <f>SUM(I44:K44)</f>
        <v>0</v>
      </c>
      <c r="I44" s="910"/>
      <c r="J44" s="911"/>
      <c r="K44" s="911"/>
      <c r="L44" s="913">
        <f>SUM(M44:Z44)</f>
        <v>32.705149888372631</v>
      </c>
      <c r="M44" s="911"/>
      <c r="N44" s="911"/>
      <c r="O44" s="911"/>
      <c r="P44" s="912"/>
      <c r="Q44" s="999">
        <v>0.70131177564926306</v>
      </c>
      <c r="R44" s="999"/>
      <c r="S44" s="999">
        <v>0</v>
      </c>
      <c r="T44" s="999">
        <v>0.47390520196714231</v>
      </c>
      <c r="U44" s="999">
        <v>31.529932910756227</v>
      </c>
      <c r="V44" s="999">
        <v>0</v>
      </c>
      <c r="W44" s="999"/>
      <c r="X44" s="910"/>
      <c r="Y44" s="912"/>
      <c r="Z44" s="911"/>
      <c r="AA44" s="917">
        <v>4.0968183012521333</v>
      </c>
      <c r="AB44" s="915">
        <f>SUM(AC44:AM44)</f>
        <v>0</v>
      </c>
      <c r="AC44" s="916"/>
      <c r="AD44" s="911"/>
      <c r="AE44" s="911"/>
      <c r="AF44" s="911"/>
      <c r="AG44" s="911"/>
      <c r="AH44" s="911"/>
      <c r="AI44" s="911"/>
      <c r="AJ44" s="911"/>
      <c r="AK44" s="910"/>
      <c r="AL44" s="912"/>
      <c r="AM44" s="911"/>
      <c r="AN44" s="917"/>
      <c r="AO44" s="917">
        <v>9.9430290573801638</v>
      </c>
      <c r="AP44" s="915"/>
      <c r="AQ44" s="918">
        <f>C44+H44+L44+AA44+AB44+AN44+AO44+AP44</f>
        <v>46.744997247004932</v>
      </c>
    </row>
    <row r="45" spans="1:45" s="5" customFormat="1" ht="12.75" customHeight="1">
      <c r="A45" s="61" t="s">
        <v>172</v>
      </c>
      <c r="B45" s="919"/>
      <c r="C45" s="1001">
        <f t="shared" ref="C45:AP45" si="22">SUM(C46:C55)</f>
        <v>0</v>
      </c>
      <c r="D45" s="1002">
        <f t="shared" si="22"/>
        <v>0</v>
      </c>
      <c r="E45" s="1002">
        <f t="shared" si="22"/>
        <v>0</v>
      </c>
      <c r="F45" s="1003">
        <f t="shared" si="22"/>
        <v>0</v>
      </c>
      <c r="G45" s="1003">
        <f t="shared" si="22"/>
        <v>0</v>
      </c>
      <c r="H45" s="1004">
        <f t="shared" si="22"/>
        <v>0</v>
      </c>
      <c r="I45" s="1005">
        <f t="shared" si="22"/>
        <v>0</v>
      </c>
      <c r="J45" s="1006">
        <f t="shared" si="22"/>
        <v>0</v>
      </c>
      <c r="K45" s="1002">
        <f t="shared" si="22"/>
        <v>0</v>
      </c>
      <c r="L45" s="1004">
        <f t="shared" si="22"/>
        <v>5012.6665578559823</v>
      </c>
      <c r="M45" s="1002">
        <f t="shared" si="22"/>
        <v>0</v>
      </c>
      <c r="N45" s="1002">
        <f t="shared" ref="N45" si="23">SUM(N46:N55)</f>
        <v>0</v>
      </c>
      <c r="O45" s="1002">
        <f t="shared" si="22"/>
        <v>0</v>
      </c>
      <c r="P45" s="1002">
        <f t="shared" si="22"/>
        <v>824.24502392197087</v>
      </c>
      <c r="Q45" s="1002">
        <f t="shared" si="22"/>
        <v>0</v>
      </c>
      <c r="R45" s="1002">
        <f t="shared" si="22"/>
        <v>1102.8442060797599</v>
      </c>
      <c r="S45" s="1002">
        <f t="shared" si="22"/>
        <v>0</v>
      </c>
      <c r="T45" s="1002">
        <f t="shared" si="22"/>
        <v>1.8520724281984335</v>
      </c>
      <c r="U45" s="1002">
        <f>SUM(U46:U55)</f>
        <v>3083.7252554260544</v>
      </c>
      <c r="V45" s="1002">
        <f t="shared" si="22"/>
        <v>0</v>
      </c>
      <c r="W45" s="1003">
        <f t="shared" si="22"/>
        <v>0</v>
      </c>
      <c r="X45" s="1003">
        <f t="shared" si="22"/>
        <v>0</v>
      </c>
      <c r="Y45" s="1003">
        <f t="shared" si="22"/>
        <v>0</v>
      </c>
      <c r="Z45" s="1002">
        <f t="shared" si="22"/>
        <v>0</v>
      </c>
      <c r="AA45" s="1004">
        <f t="shared" si="22"/>
        <v>22.560835415583806</v>
      </c>
      <c r="AB45" s="1007">
        <f t="shared" si="22"/>
        <v>154.23960204369604</v>
      </c>
      <c r="AC45" s="1008">
        <f t="shared" si="22"/>
        <v>0</v>
      </c>
      <c r="AD45" s="1002">
        <f t="shared" si="22"/>
        <v>0</v>
      </c>
      <c r="AE45" s="1002">
        <f t="shared" si="22"/>
        <v>0</v>
      </c>
      <c r="AF45" s="1002">
        <f t="shared" ref="AF45" si="24">SUM(AF46:AF55)</f>
        <v>0</v>
      </c>
      <c r="AG45" s="1002">
        <f t="shared" si="22"/>
        <v>0</v>
      </c>
      <c r="AH45" s="1002">
        <f t="shared" si="22"/>
        <v>0</v>
      </c>
      <c r="AI45" s="1002">
        <f t="shared" si="22"/>
        <v>126.96834918892804</v>
      </c>
      <c r="AJ45" s="1002">
        <f t="shared" ref="AJ45" si="25">SUM(AJ46:AJ55)</f>
        <v>27.271252854767994</v>
      </c>
      <c r="AK45" s="1005">
        <f t="shared" si="22"/>
        <v>0</v>
      </c>
      <c r="AL45" s="1003">
        <f t="shared" ref="AL45" si="26">SUM(AL46:AL55)</f>
        <v>0</v>
      </c>
      <c r="AM45" s="1002">
        <f t="shared" si="22"/>
        <v>0</v>
      </c>
      <c r="AN45" s="1004">
        <f t="shared" si="22"/>
        <v>0</v>
      </c>
      <c r="AO45" s="1004">
        <f t="shared" si="22"/>
        <v>5.3733816232262495</v>
      </c>
      <c r="AP45" s="1007">
        <f t="shared" si="22"/>
        <v>0</v>
      </c>
      <c r="AQ45" s="1009">
        <f t="shared" si="13"/>
        <v>5194.8403769384886</v>
      </c>
      <c r="AR45" s="1"/>
      <c r="AS45" s="4"/>
    </row>
    <row r="46" spans="1:45" ht="12.75" customHeight="1">
      <c r="A46" s="543" t="s">
        <v>173</v>
      </c>
      <c r="B46" s="896"/>
      <c r="C46" s="897">
        <f t="shared" ref="C46:C64" si="27">SUM(D46:G46)</f>
        <v>0</v>
      </c>
      <c r="D46" s="1010"/>
      <c r="E46" s="945"/>
      <c r="F46" s="900"/>
      <c r="G46" s="900"/>
      <c r="H46" s="901">
        <f t="shared" ref="H46:H64" si="28">SUM(I46:K46)</f>
        <v>0</v>
      </c>
      <c r="I46" s="898"/>
      <c r="J46" s="902"/>
      <c r="K46" s="899"/>
      <c r="L46" s="901">
        <f t="shared" ref="L46:L64" si="29">SUM(M46:Z46)</f>
        <v>703.5908900281911</v>
      </c>
      <c r="M46" s="899"/>
      <c r="N46" s="899"/>
      <c r="O46" s="899"/>
      <c r="P46" s="899"/>
      <c r="Q46" s="899"/>
      <c r="R46" s="899"/>
      <c r="S46" s="899"/>
      <c r="T46" s="899"/>
      <c r="U46" s="899">
        <v>703.5908900281911</v>
      </c>
      <c r="V46" s="899"/>
      <c r="W46" s="900"/>
      <c r="X46" s="900"/>
      <c r="Y46" s="900"/>
      <c r="Z46" s="899"/>
      <c r="AA46" s="905">
        <v>2.9723185667999998E-2</v>
      </c>
      <c r="AB46" s="903">
        <f t="shared" ref="AB46:AB64" si="30">SUM(AC46:AM46)</f>
        <v>30.162309971808927</v>
      </c>
      <c r="AC46" s="904"/>
      <c r="AD46" s="899"/>
      <c r="AE46" s="899"/>
      <c r="AF46" s="899"/>
      <c r="AG46" s="899"/>
      <c r="AH46" s="899"/>
      <c r="AI46" s="899">
        <v>30.162309971808927</v>
      </c>
      <c r="AJ46" s="899">
        <v>0</v>
      </c>
      <c r="AK46" s="898"/>
      <c r="AL46" s="900"/>
      <c r="AM46" s="899"/>
      <c r="AN46" s="901"/>
      <c r="AO46" s="905"/>
      <c r="AP46" s="903"/>
      <c r="AQ46" s="930">
        <f t="shared" si="13"/>
        <v>733.78292318566798</v>
      </c>
    </row>
    <row r="47" spans="1:45" ht="12.75" customHeight="1">
      <c r="A47" s="540" t="s">
        <v>174</v>
      </c>
      <c r="B47" s="1011"/>
      <c r="C47" s="850">
        <f t="shared" si="27"/>
        <v>0</v>
      </c>
      <c r="D47" s="1012"/>
      <c r="E47" s="1013"/>
      <c r="F47" s="990"/>
      <c r="G47" s="990"/>
      <c r="H47" s="854">
        <f t="shared" si="28"/>
        <v>0</v>
      </c>
      <c r="I47" s="988"/>
      <c r="J47" s="989"/>
      <c r="K47" s="907"/>
      <c r="L47" s="987">
        <f t="shared" si="29"/>
        <v>329.18377939153407</v>
      </c>
      <c r="M47" s="907"/>
      <c r="N47" s="907"/>
      <c r="O47" s="907"/>
      <c r="P47" s="907"/>
      <c r="Q47" s="907"/>
      <c r="R47" s="907"/>
      <c r="S47" s="907"/>
      <c r="T47" s="907"/>
      <c r="U47" s="907">
        <v>329.18377939153407</v>
      </c>
      <c r="V47" s="907"/>
      <c r="W47" s="990"/>
      <c r="X47" s="990"/>
      <c r="Y47" s="990"/>
      <c r="Z47" s="907"/>
      <c r="AA47" s="997"/>
      <c r="AB47" s="991">
        <f t="shared" si="30"/>
        <v>14.111813174984674</v>
      </c>
      <c r="AC47" s="992"/>
      <c r="AD47" s="907"/>
      <c r="AE47" s="907"/>
      <c r="AF47" s="907"/>
      <c r="AG47" s="907"/>
      <c r="AH47" s="907"/>
      <c r="AI47" s="907">
        <v>14.111813174984674</v>
      </c>
      <c r="AJ47" s="907">
        <v>0</v>
      </c>
      <c r="AK47" s="988"/>
      <c r="AL47" s="990"/>
      <c r="AM47" s="907"/>
      <c r="AN47" s="987"/>
      <c r="AO47" s="997"/>
      <c r="AP47" s="991"/>
      <c r="AQ47" s="906">
        <f t="shared" si="13"/>
        <v>343.29559256651874</v>
      </c>
    </row>
    <row r="48" spans="1:45" ht="12.75" customHeight="1">
      <c r="A48" s="541" t="s">
        <v>175</v>
      </c>
      <c r="B48" s="849"/>
      <c r="C48" s="850">
        <f t="shared" si="27"/>
        <v>0</v>
      </c>
      <c r="D48" s="851"/>
      <c r="E48" s="862"/>
      <c r="F48" s="853"/>
      <c r="G48" s="853"/>
      <c r="H48" s="854">
        <f t="shared" si="28"/>
        <v>0</v>
      </c>
      <c r="I48" s="855"/>
      <c r="J48" s="856"/>
      <c r="K48" s="857"/>
      <c r="L48" s="854">
        <f t="shared" si="29"/>
        <v>1988.8117004276846</v>
      </c>
      <c r="M48" s="857"/>
      <c r="N48" s="857"/>
      <c r="O48" s="857"/>
      <c r="P48" s="857">
        <v>674.58043053629058</v>
      </c>
      <c r="Q48" s="857"/>
      <c r="R48" s="857"/>
      <c r="S48" s="857"/>
      <c r="T48" s="857">
        <v>1.8520724281984335</v>
      </c>
      <c r="U48" s="857">
        <v>1312.3791974631956</v>
      </c>
      <c r="V48" s="857"/>
      <c r="W48" s="853"/>
      <c r="X48" s="853"/>
      <c r="Y48" s="853"/>
      <c r="Z48" s="857"/>
      <c r="AA48" s="860"/>
      <c r="AB48" s="858">
        <f t="shared" si="30"/>
        <v>78.598025526444061</v>
      </c>
      <c r="AC48" s="859"/>
      <c r="AD48" s="857"/>
      <c r="AE48" s="857"/>
      <c r="AF48" s="857"/>
      <c r="AG48" s="857"/>
      <c r="AH48" s="857"/>
      <c r="AI48" s="857">
        <v>56.260518314631256</v>
      </c>
      <c r="AJ48" s="857">
        <v>22.33750721181281</v>
      </c>
      <c r="AK48" s="855"/>
      <c r="AL48" s="853"/>
      <c r="AM48" s="857"/>
      <c r="AN48" s="854"/>
      <c r="AO48" s="860">
        <v>1.0652907432262495</v>
      </c>
      <c r="AP48" s="858"/>
      <c r="AQ48" s="861">
        <f t="shared" si="13"/>
        <v>2068.4750166973549</v>
      </c>
    </row>
    <row r="49" spans="1:45" ht="12.75" customHeight="1">
      <c r="A49" s="541" t="s">
        <v>176</v>
      </c>
      <c r="B49" s="849"/>
      <c r="C49" s="850">
        <f t="shared" si="27"/>
        <v>0</v>
      </c>
      <c r="D49" s="851"/>
      <c r="E49" s="862"/>
      <c r="F49" s="853"/>
      <c r="G49" s="853"/>
      <c r="H49" s="854">
        <f t="shared" si="28"/>
        <v>0</v>
      </c>
      <c r="I49" s="855"/>
      <c r="J49" s="856"/>
      <c r="K49" s="857"/>
      <c r="L49" s="854">
        <f t="shared" si="29"/>
        <v>132.19128758585111</v>
      </c>
      <c r="M49" s="857"/>
      <c r="N49" s="857"/>
      <c r="O49" s="857"/>
      <c r="P49" s="857">
        <v>6.5053363986760129</v>
      </c>
      <c r="Q49" s="857"/>
      <c r="R49" s="857"/>
      <c r="S49" s="857"/>
      <c r="T49" s="857"/>
      <c r="U49" s="857">
        <v>125.68595118717511</v>
      </c>
      <c r="V49" s="857"/>
      <c r="W49" s="853"/>
      <c r="X49" s="853"/>
      <c r="Y49" s="853"/>
      <c r="Z49" s="857"/>
      <c r="AA49" s="860"/>
      <c r="AB49" s="858">
        <f t="shared" si="30"/>
        <v>5.6034563359273175</v>
      </c>
      <c r="AC49" s="859"/>
      <c r="AD49" s="857"/>
      <c r="AE49" s="857"/>
      <c r="AF49" s="857"/>
      <c r="AG49" s="857"/>
      <c r="AH49" s="857"/>
      <c r="AI49" s="857">
        <v>5.3880439223102039</v>
      </c>
      <c r="AJ49" s="857">
        <v>0.21541241361711327</v>
      </c>
      <c r="AK49" s="855"/>
      <c r="AL49" s="853"/>
      <c r="AM49" s="857"/>
      <c r="AN49" s="854"/>
      <c r="AO49" s="860"/>
      <c r="AP49" s="858"/>
      <c r="AQ49" s="861">
        <f t="shared" si="13"/>
        <v>137.79474392177843</v>
      </c>
    </row>
    <row r="50" spans="1:45" ht="12.75" customHeight="1">
      <c r="A50" s="541" t="s">
        <v>177</v>
      </c>
      <c r="B50" s="849"/>
      <c r="C50" s="850">
        <f t="shared" si="27"/>
        <v>0</v>
      </c>
      <c r="D50" s="851"/>
      <c r="E50" s="862"/>
      <c r="F50" s="853"/>
      <c r="G50" s="853"/>
      <c r="H50" s="854">
        <f t="shared" si="28"/>
        <v>0</v>
      </c>
      <c r="I50" s="855"/>
      <c r="J50" s="856"/>
      <c r="K50" s="857"/>
      <c r="L50" s="854">
        <f t="shared" si="29"/>
        <v>38.043221783939138</v>
      </c>
      <c r="M50" s="857"/>
      <c r="N50" s="857"/>
      <c r="O50" s="857"/>
      <c r="P50" s="857"/>
      <c r="Q50" s="857"/>
      <c r="R50" s="1014"/>
      <c r="S50" s="857"/>
      <c r="T50" s="857"/>
      <c r="U50" s="857">
        <v>38.043221783939138</v>
      </c>
      <c r="V50" s="857"/>
      <c r="W50" s="853"/>
      <c r="X50" s="853"/>
      <c r="Y50" s="853"/>
      <c r="Z50" s="857"/>
      <c r="AA50" s="860"/>
      <c r="AB50" s="858">
        <f t="shared" si="30"/>
        <v>0</v>
      </c>
      <c r="AC50" s="859"/>
      <c r="AD50" s="857"/>
      <c r="AE50" s="857"/>
      <c r="AF50" s="857"/>
      <c r="AG50" s="857"/>
      <c r="AH50" s="857"/>
      <c r="AI50" s="857">
        <v>0</v>
      </c>
      <c r="AJ50" s="857"/>
      <c r="AK50" s="855"/>
      <c r="AL50" s="853"/>
      <c r="AM50" s="857"/>
      <c r="AN50" s="854"/>
      <c r="AO50" s="860">
        <v>4.30809088</v>
      </c>
      <c r="AP50" s="858"/>
      <c r="AQ50" s="861">
        <f t="shared" si="13"/>
        <v>42.35131266393914</v>
      </c>
    </row>
    <row r="51" spans="1:45" ht="12.75" customHeight="1">
      <c r="A51" s="541" t="s">
        <v>178</v>
      </c>
      <c r="B51" s="849"/>
      <c r="C51" s="850">
        <f t="shared" si="27"/>
        <v>0</v>
      </c>
      <c r="D51" s="851"/>
      <c r="E51" s="862"/>
      <c r="F51" s="853"/>
      <c r="G51" s="853"/>
      <c r="H51" s="854">
        <f t="shared" si="28"/>
        <v>0</v>
      </c>
      <c r="I51" s="855"/>
      <c r="J51" s="856"/>
      <c r="K51" s="857"/>
      <c r="L51" s="854">
        <f t="shared" si="29"/>
        <v>5.5768892778871395</v>
      </c>
      <c r="M51" s="857"/>
      <c r="N51" s="857"/>
      <c r="O51" s="857"/>
      <c r="P51" s="857">
        <v>0.66818888888888883</v>
      </c>
      <c r="Q51" s="857"/>
      <c r="R51" s="857">
        <v>4.908700388998251</v>
      </c>
      <c r="S51" s="857"/>
      <c r="T51" s="857"/>
      <c r="U51" s="857"/>
      <c r="V51" s="857"/>
      <c r="W51" s="853"/>
      <c r="X51" s="853"/>
      <c r="Y51" s="853"/>
      <c r="Z51" s="857"/>
      <c r="AA51" s="860"/>
      <c r="AB51" s="858">
        <f t="shared" si="30"/>
        <v>0</v>
      </c>
      <c r="AC51" s="859"/>
      <c r="AD51" s="857"/>
      <c r="AE51" s="857"/>
      <c r="AF51" s="857"/>
      <c r="AG51" s="857"/>
      <c r="AH51" s="857"/>
      <c r="AI51" s="857"/>
      <c r="AJ51" s="857"/>
      <c r="AK51" s="855"/>
      <c r="AL51" s="853"/>
      <c r="AM51" s="857"/>
      <c r="AN51" s="854"/>
      <c r="AO51" s="860"/>
      <c r="AP51" s="858"/>
      <c r="AQ51" s="861">
        <f t="shared" si="13"/>
        <v>5.5768892778871395</v>
      </c>
    </row>
    <row r="52" spans="1:45" ht="12.75" customHeight="1">
      <c r="A52" s="541" t="s">
        <v>179</v>
      </c>
      <c r="B52" s="996"/>
      <c r="C52" s="1015">
        <f t="shared" si="27"/>
        <v>0</v>
      </c>
      <c r="D52" s="1014"/>
      <c r="E52" s="1014"/>
      <c r="F52" s="1016"/>
      <c r="G52" s="1016"/>
      <c r="H52" s="1017">
        <f t="shared" si="28"/>
        <v>0</v>
      </c>
      <c r="I52" s="1018"/>
      <c r="J52" s="1019"/>
      <c r="K52" s="1014"/>
      <c r="L52" s="1017">
        <f t="shared" si="29"/>
        <v>1097.9355056907616</v>
      </c>
      <c r="M52" s="1014"/>
      <c r="N52" s="1014"/>
      <c r="O52" s="1014"/>
      <c r="P52" s="907"/>
      <c r="Q52" s="1014"/>
      <c r="R52" s="1014">
        <v>1097.9355056907616</v>
      </c>
      <c r="S52" s="1014"/>
      <c r="T52" s="1014"/>
      <c r="U52" s="1014"/>
      <c r="V52" s="1014"/>
      <c r="W52" s="1016"/>
      <c r="X52" s="1016"/>
      <c r="Y52" s="1016"/>
      <c r="Z52" s="1014"/>
      <c r="AA52" s="997"/>
      <c r="AB52" s="1020">
        <f t="shared" si="30"/>
        <v>0</v>
      </c>
      <c r="AC52" s="1021"/>
      <c r="AD52" s="1014"/>
      <c r="AE52" s="1014"/>
      <c r="AF52" s="1014"/>
      <c r="AG52" s="1014"/>
      <c r="AH52" s="1014"/>
      <c r="AI52" s="1014"/>
      <c r="AJ52" s="1014"/>
      <c r="AK52" s="988"/>
      <c r="AL52" s="990"/>
      <c r="AM52" s="1014"/>
      <c r="AN52" s="997"/>
      <c r="AO52" s="997"/>
      <c r="AP52" s="1020"/>
      <c r="AQ52" s="1022">
        <f t="shared" si="13"/>
        <v>1097.9355056907616</v>
      </c>
    </row>
    <row r="53" spans="1:45" ht="12.75" customHeight="1">
      <c r="A53" s="541" t="s">
        <v>180</v>
      </c>
      <c r="B53" s="996"/>
      <c r="C53" s="1015">
        <f t="shared" si="27"/>
        <v>0</v>
      </c>
      <c r="D53" s="1018"/>
      <c r="E53" s="1014"/>
      <c r="F53" s="1016"/>
      <c r="G53" s="1016"/>
      <c r="H53" s="1017">
        <f t="shared" si="28"/>
        <v>0</v>
      </c>
      <c r="I53" s="1018"/>
      <c r="J53" s="1019"/>
      <c r="K53" s="1014"/>
      <c r="L53" s="1017">
        <f t="shared" si="29"/>
        <v>176.59351048332516</v>
      </c>
      <c r="M53" s="1014"/>
      <c r="N53" s="1014"/>
      <c r="O53" s="1014"/>
      <c r="P53" s="1014">
        <v>0</v>
      </c>
      <c r="Q53" s="1014"/>
      <c r="R53" s="1014"/>
      <c r="S53" s="1014"/>
      <c r="T53" s="1014"/>
      <c r="U53" s="1014">
        <v>176.59351048332516</v>
      </c>
      <c r="V53" s="1014"/>
      <c r="W53" s="1016"/>
      <c r="X53" s="1016"/>
      <c r="Y53" s="1016"/>
      <c r="Z53" s="1014"/>
      <c r="AA53" s="997"/>
      <c r="AB53" s="1020">
        <f t="shared" si="30"/>
        <v>7.570405299014781</v>
      </c>
      <c r="AC53" s="1021"/>
      <c r="AD53" s="1014"/>
      <c r="AE53" s="1014"/>
      <c r="AF53" s="1014"/>
      <c r="AG53" s="1014"/>
      <c r="AH53" s="1014"/>
      <c r="AI53" s="857">
        <v>7.570405299014781</v>
      </c>
      <c r="AJ53" s="857">
        <v>0</v>
      </c>
      <c r="AK53" s="1014"/>
      <c r="AL53" s="1014"/>
      <c r="AM53" s="1014"/>
      <c r="AN53" s="997"/>
      <c r="AO53" s="860"/>
      <c r="AP53" s="1020"/>
      <c r="AQ53" s="1022">
        <f t="shared" si="13"/>
        <v>184.16391578233996</v>
      </c>
    </row>
    <row r="54" spans="1:45" ht="12.75" customHeight="1">
      <c r="A54" s="530" t="s">
        <v>181</v>
      </c>
      <c r="B54" s="849"/>
      <c r="C54" s="1015">
        <f t="shared" si="27"/>
        <v>0</v>
      </c>
      <c r="D54" s="1018"/>
      <c r="E54" s="1014"/>
      <c r="F54" s="1016"/>
      <c r="G54" s="1016"/>
      <c r="H54" s="1017">
        <f t="shared" si="28"/>
        <v>0</v>
      </c>
      <c r="I54" s="1018"/>
      <c r="J54" s="1019"/>
      <c r="K54" s="1014"/>
      <c r="L54" s="1017">
        <f t="shared" si="29"/>
        <v>83.913724293678101</v>
      </c>
      <c r="M54" s="1014"/>
      <c r="N54" s="1014"/>
      <c r="O54" s="1014"/>
      <c r="P54" s="1014"/>
      <c r="Q54" s="1014"/>
      <c r="R54" s="1014"/>
      <c r="S54" s="1014"/>
      <c r="T54" s="1014"/>
      <c r="U54" s="1014">
        <v>83.913724293678101</v>
      </c>
      <c r="V54" s="1014"/>
      <c r="W54" s="1016"/>
      <c r="X54" s="1016"/>
      <c r="Y54" s="1016"/>
      <c r="Z54" s="1014"/>
      <c r="AA54" s="954"/>
      <c r="AB54" s="1020">
        <f t="shared" si="30"/>
        <v>0</v>
      </c>
      <c r="AC54" s="1021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954"/>
      <c r="AO54" s="997"/>
      <c r="AP54" s="1020"/>
      <c r="AQ54" s="1022">
        <f t="shared" si="13"/>
        <v>83.913724293678101</v>
      </c>
    </row>
    <row r="55" spans="1:45" ht="12.75" customHeight="1">
      <c r="A55" s="535" t="s">
        <v>182</v>
      </c>
      <c r="B55" s="908"/>
      <c r="C55" s="909">
        <f t="shared" si="27"/>
        <v>0</v>
      </c>
      <c r="D55" s="1023"/>
      <c r="E55" s="1024"/>
      <c r="F55" s="912"/>
      <c r="G55" s="912"/>
      <c r="H55" s="913">
        <f t="shared" si="28"/>
        <v>0</v>
      </c>
      <c r="I55" s="910"/>
      <c r="J55" s="914"/>
      <c r="K55" s="911"/>
      <c r="L55" s="913">
        <f t="shared" si="29"/>
        <v>456.8260488931312</v>
      </c>
      <c r="M55" s="911"/>
      <c r="N55" s="911"/>
      <c r="O55" s="911"/>
      <c r="P55" s="911">
        <v>142.49106809811542</v>
      </c>
      <c r="Q55" s="911"/>
      <c r="R55" s="911"/>
      <c r="S55" s="911">
        <v>0</v>
      </c>
      <c r="T55" s="911"/>
      <c r="U55" s="911">
        <v>314.33498079501578</v>
      </c>
      <c r="V55" s="911"/>
      <c r="W55" s="912"/>
      <c r="X55" s="912"/>
      <c r="Y55" s="912"/>
      <c r="Z55" s="911"/>
      <c r="AA55" s="917">
        <v>22.531112229915806</v>
      </c>
      <c r="AB55" s="915">
        <f t="shared" si="30"/>
        <v>18.193591735516275</v>
      </c>
      <c r="AC55" s="916"/>
      <c r="AD55" s="911"/>
      <c r="AE55" s="911"/>
      <c r="AF55" s="911"/>
      <c r="AG55" s="911"/>
      <c r="AH55" s="911"/>
      <c r="AI55" s="911">
        <v>13.475258506178202</v>
      </c>
      <c r="AJ55" s="911">
        <v>4.7183332293380724</v>
      </c>
      <c r="AK55" s="910"/>
      <c r="AL55" s="912"/>
      <c r="AM55" s="911"/>
      <c r="AN55" s="913"/>
      <c r="AO55" s="917"/>
      <c r="AP55" s="915"/>
      <c r="AQ55" s="918">
        <f t="shared" si="13"/>
        <v>497.55075285856333</v>
      </c>
    </row>
    <row r="56" spans="1:45" s="18" customFormat="1" ht="12.75" customHeight="1">
      <c r="A56" s="61" t="s">
        <v>1</v>
      </c>
      <c r="B56" s="1025"/>
      <c r="C56" s="1026">
        <f t="shared" si="27"/>
        <v>216.79218330365393</v>
      </c>
      <c r="D56" s="1027">
        <v>115.30751795563631</v>
      </c>
      <c r="E56" s="852">
        <v>89.647280058277374</v>
      </c>
      <c r="F56" s="1028"/>
      <c r="G56" s="1028">
        <v>11.837385289740231</v>
      </c>
      <c r="H56" s="1029">
        <f t="shared" si="28"/>
        <v>196.53880633</v>
      </c>
      <c r="I56" s="1027"/>
      <c r="J56" s="1030">
        <v>127.70399999999999</v>
      </c>
      <c r="K56" s="928">
        <v>68.834806329999992</v>
      </c>
      <c r="L56" s="1029">
        <f t="shared" si="29"/>
        <v>1254.8255059886615</v>
      </c>
      <c r="M56" s="928"/>
      <c r="N56" s="928"/>
      <c r="O56" s="928"/>
      <c r="P56" s="928">
        <v>0</v>
      </c>
      <c r="Q56" s="928">
        <v>865.67110107427072</v>
      </c>
      <c r="R56" s="928"/>
      <c r="S56" s="928">
        <v>0</v>
      </c>
      <c r="T56" s="928">
        <v>53.841522983216713</v>
      </c>
      <c r="U56" s="928">
        <v>329.909010207883</v>
      </c>
      <c r="V56" s="928">
        <v>5.4038717232911377</v>
      </c>
      <c r="W56" s="1028"/>
      <c r="X56" s="1028"/>
      <c r="Y56" s="1028"/>
      <c r="Z56" s="928"/>
      <c r="AA56" s="1029">
        <v>604.09375845912712</v>
      </c>
      <c r="AB56" s="1031">
        <f t="shared" si="30"/>
        <v>71.026669556951646</v>
      </c>
      <c r="AC56" s="1032"/>
      <c r="AD56" s="928"/>
      <c r="AE56" s="928">
        <v>29.776082158378955</v>
      </c>
      <c r="AF56" s="928"/>
      <c r="AG56" s="928"/>
      <c r="AH56" s="928"/>
      <c r="AI56" s="928"/>
      <c r="AJ56" s="928"/>
      <c r="AK56" s="1027"/>
      <c r="AL56" s="1028">
        <v>13.379590942008413</v>
      </c>
      <c r="AM56" s="928">
        <v>27.870996456564281</v>
      </c>
      <c r="AN56" s="1029"/>
      <c r="AO56" s="1029">
        <v>702.94473599999992</v>
      </c>
      <c r="AP56" s="1031"/>
      <c r="AQ56" s="929">
        <f t="shared" si="13"/>
        <v>3046.2216596383942</v>
      </c>
      <c r="AR56" s="16"/>
      <c r="AS56" s="17"/>
    </row>
    <row r="57" spans="1:45" s="5" customFormat="1" ht="12.75" customHeight="1">
      <c r="A57" s="544" t="s">
        <v>800</v>
      </c>
      <c r="B57" s="1025"/>
      <c r="C57" s="1026">
        <f>C58+C65</f>
        <v>0.51992180451127823</v>
      </c>
      <c r="D57" s="928">
        <f t="shared" ref="D57:AP57" si="31">D58+D65</f>
        <v>0.51992180451127823</v>
      </c>
      <c r="E57" s="928">
        <f t="shared" si="31"/>
        <v>0</v>
      </c>
      <c r="F57" s="1028">
        <f t="shared" si="31"/>
        <v>0</v>
      </c>
      <c r="G57" s="1028">
        <f t="shared" si="31"/>
        <v>0</v>
      </c>
      <c r="H57" s="1029">
        <f t="shared" si="31"/>
        <v>0</v>
      </c>
      <c r="I57" s="1027">
        <f t="shared" si="31"/>
        <v>0</v>
      </c>
      <c r="J57" s="1027">
        <f t="shared" si="31"/>
        <v>0</v>
      </c>
      <c r="K57" s="1027">
        <f t="shared" si="31"/>
        <v>0</v>
      </c>
      <c r="L57" s="1029">
        <f t="shared" si="31"/>
        <v>240.86725727408077</v>
      </c>
      <c r="M57" s="928">
        <f t="shared" si="31"/>
        <v>0</v>
      </c>
      <c r="N57" s="928">
        <f t="shared" si="31"/>
        <v>0</v>
      </c>
      <c r="O57" s="928">
        <f t="shared" si="31"/>
        <v>0</v>
      </c>
      <c r="P57" s="928">
        <f t="shared" si="31"/>
        <v>0</v>
      </c>
      <c r="Q57" s="928">
        <f t="shared" si="31"/>
        <v>62.827000000000005</v>
      </c>
      <c r="R57" s="928">
        <f t="shared" si="31"/>
        <v>0</v>
      </c>
      <c r="S57" s="928">
        <f t="shared" si="31"/>
        <v>0.64284746861564912</v>
      </c>
      <c r="T57" s="928">
        <f t="shared" si="31"/>
        <v>70.524409805465098</v>
      </c>
      <c r="U57" s="928">
        <f t="shared" si="31"/>
        <v>106.87300000000002</v>
      </c>
      <c r="V57" s="928">
        <f t="shared" si="31"/>
        <v>0</v>
      </c>
      <c r="W57" s="1028">
        <f t="shared" si="31"/>
        <v>0</v>
      </c>
      <c r="X57" s="1028">
        <f t="shared" si="31"/>
        <v>0</v>
      </c>
      <c r="Y57" s="1028">
        <f t="shared" si="31"/>
        <v>0</v>
      </c>
      <c r="Z57" s="1027">
        <f t="shared" si="31"/>
        <v>0</v>
      </c>
      <c r="AA57" s="1029">
        <f t="shared" si="31"/>
        <v>328.6198962047896</v>
      </c>
      <c r="AB57" s="1031">
        <f t="shared" si="31"/>
        <v>39.433814247868156</v>
      </c>
      <c r="AC57" s="1032">
        <f t="shared" si="31"/>
        <v>0</v>
      </c>
      <c r="AD57" s="928">
        <f t="shared" si="31"/>
        <v>0</v>
      </c>
      <c r="AE57" s="928">
        <f t="shared" si="31"/>
        <v>17.99312324724</v>
      </c>
      <c r="AF57" s="928">
        <f t="shared" si="31"/>
        <v>0</v>
      </c>
      <c r="AG57" s="928">
        <f t="shared" si="31"/>
        <v>0</v>
      </c>
      <c r="AH57" s="928">
        <f t="shared" si="31"/>
        <v>5.621744734795584</v>
      </c>
      <c r="AI57" s="928">
        <f t="shared" si="31"/>
        <v>0</v>
      </c>
      <c r="AJ57" s="928">
        <f t="shared" si="31"/>
        <v>0</v>
      </c>
      <c r="AK57" s="928">
        <f t="shared" si="31"/>
        <v>0</v>
      </c>
      <c r="AL57" s="928">
        <f t="shared" si="31"/>
        <v>0.16649466165720572</v>
      </c>
      <c r="AM57" s="1027">
        <f t="shared" si="31"/>
        <v>15.65245160417537</v>
      </c>
      <c r="AN57" s="1029">
        <f t="shared" si="31"/>
        <v>0</v>
      </c>
      <c r="AO57" s="1029">
        <f t="shared" si="31"/>
        <v>1078.743765043014</v>
      </c>
      <c r="AP57" s="1031">
        <f t="shared" si="31"/>
        <v>0</v>
      </c>
      <c r="AQ57" s="1033">
        <f t="shared" si="13"/>
        <v>1688.184654574264</v>
      </c>
      <c r="AR57" s="1"/>
      <c r="AS57" s="14"/>
    </row>
    <row r="58" spans="1:45" ht="12.75" customHeight="1">
      <c r="A58" s="61" t="s">
        <v>801</v>
      </c>
      <c r="B58" s="1025"/>
      <c r="C58" s="1026">
        <f t="shared" si="27"/>
        <v>0.5149225563909775</v>
      </c>
      <c r="D58" s="1032">
        <v>0.5149225563909775</v>
      </c>
      <c r="E58" s="1031">
        <v>0</v>
      </c>
      <c r="F58" s="1031">
        <f>SUM(F59:F64)</f>
        <v>0</v>
      </c>
      <c r="G58" s="1034">
        <v>0</v>
      </c>
      <c r="H58" s="1029">
        <f t="shared" si="28"/>
        <v>0</v>
      </c>
      <c r="I58" s="1027">
        <f>SUM(I59:I64)</f>
        <v>0</v>
      </c>
      <c r="J58" s="1035">
        <f>SUM(J59:J64)</f>
        <v>0</v>
      </c>
      <c r="K58" s="1027">
        <f>SUM(K59:K64)</f>
        <v>0</v>
      </c>
      <c r="L58" s="1029">
        <f t="shared" si="29"/>
        <v>109.16310972047087</v>
      </c>
      <c r="M58" s="928">
        <f t="shared" ref="M58:AN58" si="32">SUM(M59:M64)</f>
        <v>0</v>
      </c>
      <c r="N58" s="1028">
        <f t="shared" si="32"/>
        <v>0</v>
      </c>
      <c r="O58" s="1028">
        <f t="shared" si="32"/>
        <v>0</v>
      </c>
      <c r="P58" s="1031">
        <f t="shared" si="32"/>
        <v>0</v>
      </c>
      <c r="Q58" s="1031">
        <v>15.841000000000001</v>
      </c>
      <c r="R58" s="1031">
        <f t="shared" si="32"/>
        <v>0</v>
      </c>
      <c r="S58" s="1031">
        <v>0</v>
      </c>
      <c r="T58" s="1031">
        <v>41.074109720470858</v>
      </c>
      <c r="U58" s="1031">
        <v>52.248000000000012</v>
      </c>
      <c r="V58" s="1031">
        <f t="shared" si="32"/>
        <v>0</v>
      </c>
      <c r="W58" s="1031">
        <f t="shared" si="32"/>
        <v>0</v>
      </c>
      <c r="X58" s="1031">
        <f t="shared" si="32"/>
        <v>0</v>
      </c>
      <c r="Y58" s="1028">
        <f t="shared" si="32"/>
        <v>0</v>
      </c>
      <c r="Z58" s="1027">
        <f t="shared" si="32"/>
        <v>0</v>
      </c>
      <c r="AA58" s="1029">
        <v>206.51565457653467</v>
      </c>
      <c r="AB58" s="1031">
        <f t="shared" si="30"/>
        <v>20.523795887314584</v>
      </c>
      <c r="AC58" s="1032">
        <f t="shared" si="32"/>
        <v>0</v>
      </c>
      <c r="AD58" s="928">
        <f t="shared" si="32"/>
        <v>0</v>
      </c>
      <c r="AE58" s="928">
        <f t="shared" si="32"/>
        <v>3.9004188670820072</v>
      </c>
      <c r="AF58" s="928"/>
      <c r="AG58" s="928">
        <f t="shared" si="32"/>
        <v>0</v>
      </c>
      <c r="AH58" s="928">
        <f t="shared" si="32"/>
        <v>0.80443075440000011</v>
      </c>
      <c r="AI58" s="928">
        <f t="shared" si="32"/>
        <v>0</v>
      </c>
      <c r="AJ58" s="928">
        <f t="shared" si="32"/>
        <v>0</v>
      </c>
      <c r="AK58" s="928"/>
      <c r="AL58" s="928">
        <v>0.16649466165720572</v>
      </c>
      <c r="AM58" s="1028">
        <v>15.65245160417537</v>
      </c>
      <c r="AN58" s="1029">
        <f t="shared" si="32"/>
        <v>0</v>
      </c>
      <c r="AO58" s="1029">
        <v>828.90452168344279</v>
      </c>
      <c r="AP58" s="1031">
        <f t="shared" ref="AP58" si="33">SUM(AP59:AP64)</f>
        <v>0</v>
      </c>
      <c r="AQ58" s="1033">
        <f t="shared" si="13"/>
        <v>1165.6220044241538</v>
      </c>
      <c r="AS58" s="15"/>
    </row>
    <row r="59" spans="1:45" ht="12.75" customHeight="1">
      <c r="A59" s="545" t="s">
        <v>802</v>
      </c>
      <c r="B59" s="1036" t="s">
        <v>803</v>
      </c>
      <c r="C59" s="897">
        <f t="shared" si="27"/>
        <v>3.9993984962406011E-3</v>
      </c>
      <c r="D59" s="859">
        <v>3.9993984962406011E-3</v>
      </c>
      <c r="E59" s="903"/>
      <c r="F59" s="903"/>
      <c r="G59" s="943"/>
      <c r="H59" s="901">
        <f t="shared" si="28"/>
        <v>0</v>
      </c>
      <c r="I59" s="1010"/>
      <c r="J59" s="1037"/>
      <c r="K59" s="1010"/>
      <c r="L59" s="901">
        <f t="shared" si="29"/>
        <v>29.110393287676398</v>
      </c>
      <c r="M59" s="945"/>
      <c r="N59" s="1038"/>
      <c r="O59" s="1038"/>
      <c r="P59" s="903"/>
      <c r="Q59" s="994">
        <v>6.548</v>
      </c>
      <c r="R59" s="903"/>
      <c r="S59" s="994">
        <v>0</v>
      </c>
      <c r="T59" s="994">
        <v>11.487393287676401</v>
      </c>
      <c r="U59" s="994">
        <v>11.074999999999999</v>
      </c>
      <c r="V59" s="994">
        <v>0</v>
      </c>
      <c r="W59" s="903"/>
      <c r="X59" s="903"/>
      <c r="Y59" s="1038"/>
      <c r="Z59" s="1010"/>
      <c r="AA59" s="860">
        <v>52.670839129321678</v>
      </c>
      <c r="AB59" s="903">
        <f t="shared" si="30"/>
        <v>1.2953271877604666</v>
      </c>
      <c r="AC59" s="1039"/>
      <c r="AD59" s="945"/>
      <c r="AE59" s="899">
        <v>1.2953271877604666</v>
      </c>
      <c r="AF59" s="899"/>
      <c r="AG59" s="899"/>
      <c r="AH59" s="899">
        <v>0</v>
      </c>
      <c r="AI59" s="899"/>
      <c r="AJ59" s="899"/>
      <c r="AK59" s="899"/>
      <c r="AL59" s="899">
        <v>0</v>
      </c>
      <c r="AM59" s="900">
        <v>0</v>
      </c>
      <c r="AN59" s="901"/>
      <c r="AO59" s="860">
        <v>225.7085564993871</v>
      </c>
      <c r="AP59" s="903"/>
      <c r="AQ59" s="930">
        <f t="shared" si="13"/>
        <v>308.78911550264189</v>
      </c>
      <c r="AS59" s="15"/>
    </row>
    <row r="60" spans="1:45" ht="12.75" customHeight="1">
      <c r="A60" s="545" t="s">
        <v>804</v>
      </c>
      <c r="B60" s="1036" t="s">
        <v>805</v>
      </c>
      <c r="C60" s="850">
        <f t="shared" si="27"/>
        <v>8.9986466165413535E-3</v>
      </c>
      <c r="D60" s="859">
        <v>8.9986466165413535E-3</v>
      </c>
      <c r="E60" s="858"/>
      <c r="F60" s="858"/>
      <c r="G60" s="1040"/>
      <c r="H60" s="854">
        <f t="shared" si="28"/>
        <v>0</v>
      </c>
      <c r="I60" s="851"/>
      <c r="J60" s="1041"/>
      <c r="K60" s="851"/>
      <c r="L60" s="854">
        <f t="shared" si="29"/>
        <v>24.503931093823979</v>
      </c>
      <c r="M60" s="862"/>
      <c r="N60" s="852"/>
      <c r="O60" s="852"/>
      <c r="P60" s="858"/>
      <c r="Q60" s="994">
        <v>1.2709999999999999</v>
      </c>
      <c r="R60" s="858"/>
      <c r="S60" s="994">
        <v>0</v>
      </c>
      <c r="T60" s="994">
        <v>1.9979310938239756</v>
      </c>
      <c r="U60" s="994">
        <v>21.235000000000003</v>
      </c>
      <c r="V60" s="994">
        <v>0</v>
      </c>
      <c r="W60" s="858"/>
      <c r="X60" s="858"/>
      <c r="Y60" s="852"/>
      <c r="Z60" s="851"/>
      <c r="AA60" s="860">
        <v>23.743479725066276</v>
      </c>
      <c r="AB60" s="858">
        <f t="shared" si="30"/>
        <v>1.138556689715082E-2</v>
      </c>
      <c r="AC60" s="1042"/>
      <c r="AD60" s="862"/>
      <c r="AE60" s="857">
        <v>1.138556689715082E-2</v>
      </c>
      <c r="AF60" s="857"/>
      <c r="AG60" s="857"/>
      <c r="AH60" s="857">
        <v>0</v>
      </c>
      <c r="AI60" s="857"/>
      <c r="AJ60" s="857"/>
      <c r="AK60" s="857"/>
      <c r="AL60" s="857">
        <v>0</v>
      </c>
      <c r="AM60" s="853">
        <v>0</v>
      </c>
      <c r="AN60" s="854"/>
      <c r="AO60" s="860">
        <v>81.932675558202874</v>
      </c>
      <c r="AP60" s="858"/>
      <c r="AQ60" s="861">
        <f t="shared" si="13"/>
        <v>130.20047059060681</v>
      </c>
      <c r="AS60" s="15"/>
    </row>
    <row r="61" spans="1:45" ht="12.75" customHeight="1">
      <c r="A61" s="545" t="s">
        <v>806</v>
      </c>
      <c r="B61" s="1036" t="s">
        <v>807</v>
      </c>
      <c r="C61" s="850">
        <f t="shared" si="27"/>
        <v>0.42993533834586467</v>
      </c>
      <c r="D61" s="859">
        <v>0.42993533834586467</v>
      </c>
      <c r="E61" s="858"/>
      <c r="F61" s="858"/>
      <c r="G61" s="1040"/>
      <c r="H61" s="854">
        <f t="shared" si="28"/>
        <v>0</v>
      </c>
      <c r="I61" s="851"/>
      <c r="J61" s="1041"/>
      <c r="K61" s="851"/>
      <c r="L61" s="854">
        <f t="shared" si="29"/>
        <v>27.815960601382685</v>
      </c>
      <c r="M61" s="862"/>
      <c r="N61" s="852"/>
      <c r="O61" s="852"/>
      <c r="P61" s="858"/>
      <c r="Q61" s="994">
        <v>3.399</v>
      </c>
      <c r="R61" s="858"/>
      <c r="S61" s="994">
        <v>0</v>
      </c>
      <c r="T61" s="994">
        <v>19.454960601382684</v>
      </c>
      <c r="U61" s="994">
        <v>4.9619999999999997</v>
      </c>
      <c r="V61" s="994">
        <v>0</v>
      </c>
      <c r="W61" s="858"/>
      <c r="X61" s="858"/>
      <c r="Y61" s="852"/>
      <c r="Z61" s="851"/>
      <c r="AA61" s="860">
        <v>30.235657033103141</v>
      </c>
      <c r="AB61" s="858">
        <f t="shared" si="30"/>
        <v>0.86179983283049288</v>
      </c>
      <c r="AC61" s="1042"/>
      <c r="AD61" s="862"/>
      <c r="AE61" s="857">
        <v>0.86179983283049288</v>
      </c>
      <c r="AF61" s="857"/>
      <c r="AG61" s="857"/>
      <c r="AH61" s="857">
        <v>0</v>
      </c>
      <c r="AI61" s="857"/>
      <c r="AJ61" s="857"/>
      <c r="AK61" s="857"/>
      <c r="AL61" s="857">
        <v>0</v>
      </c>
      <c r="AM61" s="853">
        <v>0</v>
      </c>
      <c r="AN61" s="854"/>
      <c r="AO61" s="860">
        <v>126.36748353090987</v>
      </c>
      <c r="AP61" s="858"/>
      <c r="AQ61" s="861">
        <f t="shared" si="13"/>
        <v>185.71083633657204</v>
      </c>
      <c r="AS61" s="15"/>
    </row>
    <row r="62" spans="1:45" ht="12.75" customHeight="1">
      <c r="A62" s="545" t="s">
        <v>808</v>
      </c>
      <c r="B62" s="1036" t="s">
        <v>809</v>
      </c>
      <c r="C62" s="850">
        <f t="shared" si="27"/>
        <v>6.9989473684210534E-3</v>
      </c>
      <c r="D62" s="859">
        <v>6.9989473684210534E-3</v>
      </c>
      <c r="E62" s="858"/>
      <c r="F62" s="858"/>
      <c r="G62" s="1040"/>
      <c r="H62" s="854">
        <f t="shared" si="28"/>
        <v>0</v>
      </c>
      <c r="I62" s="851"/>
      <c r="J62" s="1041"/>
      <c r="K62" s="851"/>
      <c r="L62" s="854">
        <f t="shared" si="29"/>
        <v>2.6967648223282072</v>
      </c>
      <c r="M62" s="862"/>
      <c r="N62" s="852"/>
      <c r="O62" s="852"/>
      <c r="P62" s="858"/>
      <c r="Q62" s="994">
        <v>0.36299999999999999</v>
      </c>
      <c r="R62" s="858"/>
      <c r="S62" s="994">
        <v>0</v>
      </c>
      <c r="T62" s="994">
        <v>0.71476482232820748</v>
      </c>
      <c r="U62" s="994">
        <v>1.619</v>
      </c>
      <c r="V62" s="994">
        <v>0</v>
      </c>
      <c r="W62" s="858"/>
      <c r="X62" s="858"/>
      <c r="Y62" s="852"/>
      <c r="Z62" s="851"/>
      <c r="AA62" s="860">
        <v>12.942534033472208</v>
      </c>
      <c r="AB62" s="858">
        <f t="shared" si="30"/>
        <v>4.6418080426845656E-2</v>
      </c>
      <c r="AC62" s="1042"/>
      <c r="AD62" s="862"/>
      <c r="AE62" s="857">
        <v>4.6418080426845656E-2</v>
      </c>
      <c r="AF62" s="857"/>
      <c r="AG62" s="857"/>
      <c r="AH62" s="857">
        <v>0</v>
      </c>
      <c r="AI62" s="857"/>
      <c r="AJ62" s="857"/>
      <c r="AK62" s="857"/>
      <c r="AL62" s="857">
        <v>0</v>
      </c>
      <c r="AM62" s="853">
        <v>0</v>
      </c>
      <c r="AN62" s="854"/>
      <c r="AO62" s="860">
        <v>234.42875082725587</v>
      </c>
      <c r="AP62" s="858"/>
      <c r="AQ62" s="861">
        <f t="shared" si="13"/>
        <v>250.12146671085156</v>
      </c>
      <c r="AS62" s="15"/>
    </row>
    <row r="63" spans="1:45" ht="12.75" customHeight="1">
      <c r="A63" s="545" t="s">
        <v>810</v>
      </c>
      <c r="B63" s="1036" t="s">
        <v>811</v>
      </c>
      <c r="C63" s="850">
        <f t="shared" si="27"/>
        <v>5.799127819548873E-2</v>
      </c>
      <c r="D63" s="1021">
        <v>5.799127819548873E-2</v>
      </c>
      <c r="E63" s="858"/>
      <c r="F63" s="858"/>
      <c r="G63" s="1040"/>
      <c r="H63" s="854">
        <f t="shared" si="28"/>
        <v>0</v>
      </c>
      <c r="I63" s="851"/>
      <c r="J63" s="1041"/>
      <c r="K63" s="851"/>
      <c r="L63" s="854">
        <f t="shared" si="29"/>
        <v>3.8680994311273493</v>
      </c>
      <c r="M63" s="862"/>
      <c r="N63" s="852"/>
      <c r="O63" s="852"/>
      <c r="P63" s="858"/>
      <c r="Q63" s="1043">
        <v>0.68400000000000005</v>
      </c>
      <c r="R63" s="858"/>
      <c r="S63" s="1043">
        <v>0</v>
      </c>
      <c r="T63" s="1043">
        <v>0.16909943112734929</v>
      </c>
      <c r="U63" s="1043">
        <v>3.0150000000000001</v>
      </c>
      <c r="V63" s="1043">
        <v>0</v>
      </c>
      <c r="W63" s="858"/>
      <c r="X63" s="858"/>
      <c r="Y63" s="852"/>
      <c r="Z63" s="851"/>
      <c r="AA63" s="1044">
        <v>11.636733155824563</v>
      </c>
      <c r="AB63" s="858">
        <f t="shared" si="30"/>
        <v>0.34769769678222129</v>
      </c>
      <c r="AC63" s="1042"/>
      <c r="AD63" s="862"/>
      <c r="AE63" s="857">
        <v>0.34769769678222129</v>
      </c>
      <c r="AF63" s="857"/>
      <c r="AG63" s="857"/>
      <c r="AH63" s="857">
        <v>0</v>
      </c>
      <c r="AI63" s="857"/>
      <c r="AJ63" s="857"/>
      <c r="AK63" s="857"/>
      <c r="AL63" s="857">
        <v>0</v>
      </c>
      <c r="AM63" s="853">
        <v>0</v>
      </c>
      <c r="AN63" s="854"/>
      <c r="AO63" s="1044">
        <v>42.659809837330151</v>
      </c>
      <c r="AP63" s="858"/>
      <c r="AQ63" s="861">
        <f t="shared" si="13"/>
        <v>58.570331399259771</v>
      </c>
      <c r="AS63" s="15"/>
    </row>
    <row r="64" spans="1:45" ht="12.75" customHeight="1">
      <c r="A64" s="546" t="s">
        <v>812</v>
      </c>
      <c r="B64" s="1045"/>
      <c r="C64" s="909">
        <f t="shared" si="27"/>
        <v>6.9989473684210534E-3</v>
      </c>
      <c r="D64" s="1021">
        <v>6.9989473684210534E-3</v>
      </c>
      <c r="E64" s="915"/>
      <c r="F64" s="915"/>
      <c r="G64" s="1046"/>
      <c r="H64" s="913">
        <f t="shared" si="28"/>
        <v>0</v>
      </c>
      <c r="I64" s="1023"/>
      <c r="J64" s="1047"/>
      <c r="K64" s="1023"/>
      <c r="L64" s="913">
        <f t="shared" si="29"/>
        <v>21.167960484132237</v>
      </c>
      <c r="M64" s="1024"/>
      <c r="N64" s="1048"/>
      <c r="O64" s="1048"/>
      <c r="P64" s="915"/>
      <c r="Q64" s="1043">
        <v>3.5760000000000001</v>
      </c>
      <c r="R64" s="915"/>
      <c r="S64" s="1043">
        <v>0</v>
      </c>
      <c r="T64" s="1043">
        <v>7.2499604841322363</v>
      </c>
      <c r="U64" s="1043">
        <v>10.342000000000001</v>
      </c>
      <c r="V64" s="1043">
        <v>0</v>
      </c>
      <c r="W64" s="915"/>
      <c r="X64" s="915"/>
      <c r="Y64" s="1048"/>
      <c r="Z64" s="1023"/>
      <c r="AA64" s="1044">
        <v>75.286411499746805</v>
      </c>
      <c r="AB64" s="915">
        <f t="shared" si="30"/>
        <v>17.961167522617405</v>
      </c>
      <c r="AC64" s="1049"/>
      <c r="AD64" s="1024"/>
      <c r="AE64" s="911">
        <v>1.3377905023848295</v>
      </c>
      <c r="AF64" s="911"/>
      <c r="AG64" s="911"/>
      <c r="AH64" s="911">
        <v>0.80443075440000011</v>
      </c>
      <c r="AI64" s="911"/>
      <c r="AJ64" s="911"/>
      <c r="AK64" s="911"/>
      <c r="AL64" s="911">
        <v>0.16649466165720572</v>
      </c>
      <c r="AM64" s="912">
        <v>15.65245160417537</v>
      </c>
      <c r="AN64" s="913"/>
      <c r="AO64" s="1044">
        <v>117.80724543035701</v>
      </c>
      <c r="AP64" s="915"/>
      <c r="AQ64" s="918">
        <f t="shared" si="13"/>
        <v>232.22978388422189</v>
      </c>
      <c r="AS64" s="15"/>
    </row>
    <row r="65" spans="1:45" ht="12.75" customHeight="1">
      <c r="A65" s="61" t="s">
        <v>813</v>
      </c>
      <c r="B65" s="1025"/>
      <c r="C65" s="909">
        <f>SUM(D65:G65)</f>
        <v>4.9992481203007515E-3</v>
      </c>
      <c r="D65" s="1032">
        <f>SUM(D66:D69)</f>
        <v>4.9992481203007515E-3</v>
      </c>
      <c r="E65" s="999"/>
      <c r="F65" s="999"/>
      <c r="G65" s="1000"/>
      <c r="H65" s="913">
        <f>SUM(I65:K65)</f>
        <v>0</v>
      </c>
      <c r="I65" s="910"/>
      <c r="J65" s="914">
        <v>0</v>
      </c>
      <c r="K65" s="911">
        <v>0</v>
      </c>
      <c r="L65" s="913">
        <f>SUM(M65:Z65)</f>
        <v>131.70414755360989</v>
      </c>
      <c r="M65" s="911"/>
      <c r="N65" s="912"/>
      <c r="O65" s="912"/>
      <c r="P65" s="999"/>
      <c r="Q65" s="1031">
        <v>46.986000000000004</v>
      </c>
      <c r="R65" s="999"/>
      <c r="S65" s="1031">
        <v>0.64284746861564912</v>
      </c>
      <c r="T65" s="1031">
        <v>29.45030008499424</v>
      </c>
      <c r="U65" s="1031">
        <v>54.625</v>
      </c>
      <c r="V65" s="1031">
        <f>SUM(V66:V69)</f>
        <v>0</v>
      </c>
      <c r="W65" s="999"/>
      <c r="X65" s="999"/>
      <c r="Y65" s="912"/>
      <c r="Z65" s="911"/>
      <c r="AA65" s="1029">
        <v>122.10424162825494</v>
      </c>
      <c r="AB65" s="915">
        <f>SUM(AC65:AM65)</f>
        <v>18.910018360553575</v>
      </c>
      <c r="AC65" s="916"/>
      <c r="AD65" s="911"/>
      <c r="AE65" s="911">
        <f>SUM(AE66:AE69)</f>
        <v>14.092704380157992</v>
      </c>
      <c r="AF65" s="911"/>
      <c r="AG65" s="911"/>
      <c r="AH65" s="911">
        <v>4.8173139803955838</v>
      </c>
      <c r="AI65" s="911"/>
      <c r="AJ65" s="911"/>
      <c r="AK65" s="911"/>
      <c r="AL65" s="911"/>
      <c r="AM65" s="912"/>
      <c r="AN65" s="913"/>
      <c r="AO65" s="1029">
        <v>249.83924335957121</v>
      </c>
      <c r="AP65" s="915"/>
      <c r="AQ65" s="1050">
        <f t="shared" si="13"/>
        <v>522.5626501501099</v>
      </c>
      <c r="AS65" s="15"/>
    </row>
    <row r="66" spans="1:45" ht="12.75" customHeight="1">
      <c r="A66" s="547" t="s">
        <v>814</v>
      </c>
      <c r="B66" s="1051" t="s">
        <v>815</v>
      </c>
      <c r="C66" s="897">
        <f t="shared" ref="C66:C69" si="34">SUM(D66:G66)</f>
        <v>2.9995488721804514E-3</v>
      </c>
      <c r="D66" s="904">
        <v>2.9995488721804514E-3</v>
      </c>
      <c r="E66" s="946"/>
      <c r="F66" s="946"/>
      <c r="G66" s="1052"/>
      <c r="H66" s="901">
        <f t="shared" ref="H66:H69" si="35">SUM(I66:K66)</f>
        <v>0</v>
      </c>
      <c r="I66" s="944"/>
      <c r="J66" s="902"/>
      <c r="K66" s="1053"/>
      <c r="L66" s="901">
        <f t="shared" ref="L66:L69" si="36">SUM(M66:Z66)</f>
        <v>4.8361472478110468</v>
      </c>
      <c r="M66" s="944"/>
      <c r="N66" s="946"/>
      <c r="O66" s="900"/>
      <c r="P66" s="946"/>
      <c r="Q66" s="946">
        <v>0.13</v>
      </c>
      <c r="R66" s="946"/>
      <c r="S66" s="946">
        <v>3.1863567217628209E-3</v>
      </c>
      <c r="T66" s="946">
        <v>1.1339608910892836</v>
      </c>
      <c r="U66" s="946">
        <v>3.569</v>
      </c>
      <c r="V66" s="946">
        <v>0</v>
      </c>
      <c r="W66" s="946"/>
      <c r="X66" s="946"/>
      <c r="Y66" s="900"/>
      <c r="Z66" s="899"/>
      <c r="AA66" s="905">
        <v>6.2855711462293291</v>
      </c>
      <c r="AB66" s="903">
        <f t="shared" ref="AB66:AB69" si="37">SUM(AC66:AM66)</f>
        <v>4.8181897932338265</v>
      </c>
      <c r="AC66" s="904"/>
      <c r="AD66" s="899"/>
      <c r="AE66" s="899">
        <v>8.7581283824237082E-4</v>
      </c>
      <c r="AF66" s="899"/>
      <c r="AG66" s="899"/>
      <c r="AH66" s="899">
        <v>4.8173139803955838</v>
      </c>
      <c r="AI66" s="899"/>
      <c r="AJ66" s="899"/>
      <c r="AK66" s="899"/>
      <c r="AL66" s="899"/>
      <c r="AM66" s="900"/>
      <c r="AN66" s="901"/>
      <c r="AO66" s="905">
        <v>62.066112125563578</v>
      </c>
      <c r="AP66" s="903"/>
      <c r="AQ66" s="930">
        <f t="shared" si="13"/>
        <v>78.009019861709959</v>
      </c>
      <c r="AS66" s="15"/>
    </row>
    <row r="67" spans="1:45" ht="12.75" customHeight="1">
      <c r="A67" s="548" t="s">
        <v>816</v>
      </c>
      <c r="B67" s="1054">
        <v>84</v>
      </c>
      <c r="C67" s="850">
        <f t="shared" si="34"/>
        <v>1.9996992481203005E-3</v>
      </c>
      <c r="D67" s="992">
        <v>1.9996992481203005E-3</v>
      </c>
      <c r="E67" s="994"/>
      <c r="F67" s="994"/>
      <c r="G67" s="995"/>
      <c r="H67" s="854">
        <f t="shared" si="35"/>
        <v>0</v>
      </c>
      <c r="I67" s="1055"/>
      <c r="J67" s="856"/>
      <c r="K67" s="1056"/>
      <c r="L67" s="854">
        <f t="shared" si="36"/>
        <v>37.49597693290648</v>
      </c>
      <c r="M67" s="1055"/>
      <c r="N67" s="994"/>
      <c r="O67" s="853"/>
      <c r="P67" s="994"/>
      <c r="Q67" s="985">
        <v>6.9249999999999998</v>
      </c>
      <c r="R67" s="994"/>
      <c r="S67" s="985">
        <v>0.36191701764689377</v>
      </c>
      <c r="T67" s="985">
        <v>7.4190599152595853</v>
      </c>
      <c r="U67" s="985">
        <v>22.79</v>
      </c>
      <c r="V67" s="985">
        <v>0</v>
      </c>
      <c r="W67" s="994"/>
      <c r="X67" s="994"/>
      <c r="Y67" s="853"/>
      <c r="Z67" s="857"/>
      <c r="AA67" s="997">
        <v>43.318633321580478</v>
      </c>
      <c r="AB67" s="858">
        <f t="shared" si="37"/>
        <v>3.0136719763919984</v>
      </c>
      <c r="AC67" s="859"/>
      <c r="AD67" s="857"/>
      <c r="AE67" s="857">
        <v>3.0136719763919984</v>
      </c>
      <c r="AF67" s="857"/>
      <c r="AG67" s="857"/>
      <c r="AH67" s="857">
        <v>0</v>
      </c>
      <c r="AI67" s="857"/>
      <c r="AJ67" s="857"/>
      <c r="AK67" s="857"/>
      <c r="AL67" s="857"/>
      <c r="AM67" s="853"/>
      <c r="AN67" s="854"/>
      <c r="AO67" s="997">
        <v>90.275166794474018</v>
      </c>
      <c r="AP67" s="858"/>
      <c r="AQ67" s="861">
        <f t="shared" si="13"/>
        <v>174.1054487246011</v>
      </c>
      <c r="AS67" s="15"/>
    </row>
    <row r="68" spans="1:45" ht="12.75" customHeight="1">
      <c r="A68" s="545" t="s">
        <v>817</v>
      </c>
      <c r="B68" s="1036">
        <v>85</v>
      </c>
      <c r="C68" s="850">
        <f t="shared" si="34"/>
        <v>0</v>
      </c>
      <c r="D68" s="992">
        <v>0</v>
      </c>
      <c r="E68" s="994"/>
      <c r="F68" s="994"/>
      <c r="G68" s="995"/>
      <c r="H68" s="854">
        <f t="shared" si="35"/>
        <v>0</v>
      </c>
      <c r="I68" s="1055"/>
      <c r="J68" s="856"/>
      <c r="K68" s="1056"/>
      <c r="L68" s="854">
        <f t="shared" si="36"/>
        <v>63.764873205839493</v>
      </c>
      <c r="M68" s="1055"/>
      <c r="N68" s="994"/>
      <c r="O68" s="853"/>
      <c r="P68" s="994"/>
      <c r="Q68" s="985">
        <v>27.067</v>
      </c>
      <c r="R68" s="994"/>
      <c r="S68" s="985">
        <v>5.416806426996796E-2</v>
      </c>
      <c r="T68" s="985">
        <v>17.705705141569517</v>
      </c>
      <c r="U68" s="985">
        <v>18.937999999999999</v>
      </c>
      <c r="V68" s="985">
        <v>0</v>
      </c>
      <c r="W68" s="994"/>
      <c r="X68" s="994"/>
      <c r="Y68" s="853"/>
      <c r="Z68" s="857"/>
      <c r="AA68" s="997">
        <v>27.252039348994288</v>
      </c>
      <c r="AB68" s="858">
        <f t="shared" si="37"/>
        <v>9.8108554139910407</v>
      </c>
      <c r="AC68" s="859"/>
      <c r="AD68" s="857"/>
      <c r="AE68" s="857">
        <v>9.8108554139910407</v>
      </c>
      <c r="AF68" s="857"/>
      <c r="AG68" s="857"/>
      <c r="AH68" s="857">
        <v>0</v>
      </c>
      <c r="AI68" s="857"/>
      <c r="AJ68" s="857"/>
      <c r="AK68" s="857"/>
      <c r="AL68" s="857"/>
      <c r="AM68" s="853"/>
      <c r="AN68" s="854"/>
      <c r="AO68" s="997">
        <v>58.093005834167748</v>
      </c>
      <c r="AP68" s="858"/>
      <c r="AQ68" s="861">
        <f t="shared" si="13"/>
        <v>158.92077380299256</v>
      </c>
      <c r="AS68" s="15"/>
    </row>
    <row r="69" spans="1:45" ht="12.75" customHeight="1">
      <c r="A69" s="546" t="s">
        <v>818</v>
      </c>
      <c r="B69" s="1045" t="s">
        <v>819</v>
      </c>
      <c r="C69" s="1015">
        <f t="shared" si="34"/>
        <v>0</v>
      </c>
      <c r="D69" s="916">
        <v>0</v>
      </c>
      <c r="E69" s="999"/>
      <c r="F69" s="999"/>
      <c r="G69" s="1000"/>
      <c r="H69" s="1017">
        <f t="shared" si="35"/>
        <v>0</v>
      </c>
      <c r="I69" s="1057"/>
      <c r="J69" s="914"/>
      <c r="K69" s="1058"/>
      <c r="L69" s="1017">
        <f t="shared" si="36"/>
        <v>25.607150167052879</v>
      </c>
      <c r="M69" s="1057"/>
      <c r="N69" s="999"/>
      <c r="O69" s="912"/>
      <c r="P69" s="999"/>
      <c r="Q69" s="999">
        <v>12.864000000000001</v>
      </c>
      <c r="R69" s="999"/>
      <c r="S69" s="999">
        <v>0.22357602997702461</v>
      </c>
      <c r="T69" s="999">
        <v>3.191574137075853</v>
      </c>
      <c r="U69" s="999">
        <v>9.3279999999999994</v>
      </c>
      <c r="V69" s="999">
        <v>0</v>
      </c>
      <c r="W69" s="999"/>
      <c r="X69" s="999"/>
      <c r="Y69" s="912"/>
      <c r="Z69" s="911"/>
      <c r="AA69" s="917">
        <v>45.247997811450865</v>
      </c>
      <c r="AB69" s="1020">
        <f t="shared" si="37"/>
        <v>1.2673011769367108</v>
      </c>
      <c r="AC69" s="1021"/>
      <c r="AD69" s="1014"/>
      <c r="AE69" s="1014">
        <v>1.2673011769367108</v>
      </c>
      <c r="AF69" s="1014"/>
      <c r="AG69" s="1014"/>
      <c r="AH69" s="1014">
        <v>0</v>
      </c>
      <c r="AI69" s="1014"/>
      <c r="AJ69" s="1014"/>
      <c r="AK69" s="1014"/>
      <c r="AL69" s="1014"/>
      <c r="AM69" s="1016"/>
      <c r="AN69" s="1017"/>
      <c r="AO69" s="917">
        <v>39.40495860536587</v>
      </c>
      <c r="AP69" s="1020"/>
      <c r="AQ69" s="1022">
        <f t="shared" si="13"/>
        <v>111.52740776080631</v>
      </c>
      <c r="AS69" s="15"/>
    </row>
    <row r="70" spans="1:45" s="5" customFormat="1" ht="12.75" customHeight="1">
      <c r="A70" s="61" t="s">
        <v>183</v>
      </c>
      <c r="B70" s="932"/>
      <c r="C70" s="933">
        <f>SUM(D70:G70)</f>
        <v>0</v>
      </c>
      <c r="D70" s="1059">
        <v>0</v>
      </c>
      <c r="E70" s="1060"/>
      <c r="F70" s="1061"/>
      <c r="G70" s="1061"/>
      <c r="H70" s="937">
        <f>SUM(I70:K70)</f>
        <v>0</v>
      </c>
      <c r="I70" s="1059"/>
      <c r="J70" s="1062"/>
      <c r="K70" s="1060"/>
      <c r="L70" s="937">
        <f>SUM(M70:Z70)</f>
        <v>175.46549158593075</v>
      </c>
      <c r="M70" s="1060"/>
      <c r="N70" s="1060"/>
      <c r="O70" s="1060"/>
      <c r="P70" s="1060">
        <v>0</v>
      </c>
      <c r="Q70" s="1060">
        <v>0</v>
      </c>
      <c r="R70" s="1060"/>
      <c r="S70" s="1060"/>
      <c r="T70" s="549">
        <v>0</v>
      </c>
      <c r="U70" s="1060">
        <v>175.46549158593075</v>
      </c>
      <c r="V70" s="899"/>
      <c r="W70" s="1061"/>
      <c r="X70" s="1061"/>
      <c r="Y70" s="1061"/>
      <c r="Z70" s="1060"/>
      <c r="AA70" s="937">
        <v>0</v>
      </c>
      <c r="AB70" s="938">
        <f>SUM(AC70:AM70)</f>
        <v>0</v>
      </c>
      <c r="AC70" s="1063"/>
      <c r="AD70" s="1060"/>
      <c r="AE70" s="1060"/>
      <c r="AF70" s="1060"/>
      <c r="AG70" s="1060"/>
      <c r="AH70" s="1060"/>
      <c r="AI70" s="1060"/>
      <c r="AJ70" s="1060"/>
      <c r="AK70" s="1059"/>
      <c r="AL70" s="1061"/>
      <c r="AM70" s="1060"/>
      <c r="AN70" s="937"/>
      <c r="AO70" s="937">
        <v>47.988</v>
      </c>
      <c r="AP70" s="938"/>
      <c r="AQ70" s="929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908"/>
      <c r="C71" s="909">
        <f>SUM(D71:G71)</f>
        <v>0</v>
      </c>
      <c r="D71" s="910"/>
      <c r="E71" s="911"/>
      <c r="F71" s="912"/>
      <c r="G71" s="912"/>
      <c r="H71" s="913">
        <f>SUM(I71:K71)</f>
        <v>0</v>
      </c>
      <c r="I71" s="910"/>
      <c r="J71" s="914"/>
      <c r="K71" s="911"/>
      <c r="L71" s="913">
        <f>SUM(M71:Z71)</f>
        <v>27.249865733664667</v>
      </c>
      <c r="M71" s="911"/>
      <c r="N71" s="911"/>
      <c r="O71" s="911"/>
      <c r="P71" s="911"/>
      <c r="Q71" s="911"/>
      <c r="R71" s="911"/>
      <c r="S71" s="911"/>
      <c r="T71" s="911"/>
      <c r="U71" s="1024">
        <v>27.249865733664667</v>
      </c>
      <c r="V71" s="911"/>
      <c r="W71" s="912"/>
      <c r="X71" s="912"/>
      <c r="Y71" s="912"/>
      <c r="Z71" s="911"/>
      <c r="AA71" s="913"/>
      <c r="AB71" s="915">
        <f>SUM(AC71:AM71)</f>
        <v>0</v>
      </c>
      <c r="AC71" s="916"/>
      <c r="AD71" s="911"/>
      <c r="AE71" s="911"/>
      <c r="AF71" s="911"/>
      <c r="AG71" s="911"/>
      <c r="AH71" s="911"/>
      <c r="AI71" s="911"/>
      <c r="AJ71" s="911"/>
      <c r="AK71" s="910"/>
      <c r="AL71" s="912"/>
      <c r="AM71" s="911"/>
      <c r="AN71" s="913"/>
      <c r="AO71" s="917"/>
      <c r="AP71" s="915"/>
      <c r="AQ71" s="1050">
        <f t="shared" si="13"/>
        <v>27.249865733664667</v>
      </c>
      <c r="AR71" s="1"/>
      <c r="AS71" s="4"/>
    </row>
    <row r="72" spans="1:45" s="5" customFormat="1" ht="12.75" customHeight="1" thickBot="1">
      <c r="A72" s="538" t="s">
        <v>185</v>
      </c>
      <c r="B72" s="960"/>
      <c r="C72" s="961">
        <f t="shared" ref="C72:AP72" si="38">C26-C27-C29</f>
        <v>-2.5795347028326319</v>
      </c>
      <c r="D72" s="962">
        <f t="shared" si="38"/>
        <v>0.17716668219679832</v>
      </c>
      <c r="E72" s="963">
        <f t="shared" si="38"/>
        <v>-3.4486883993195221</v>
      </c>
      <c r="F72" s="967">
        <f t="shared" si="38"/>
        <v>0</v>
      </c>
      <c r="G72" s="967">
        <f t="shared" si="38"/>
        <v>0.69246574229020652</v>
      </c>
      <c r="H72" s="964">
        <f t="shared" si="38"/>
        <v>1.9457250152908045</v>
      </c>
      <c r="I72" s="962">
        <f t="shared" si="38"/>
        <v>-0.45741265470912973</v>
      </c>
      <c r="J72" s="965">
        <f t="shared" si="38"/>
        <v>0</v>
      </c>
      <c r="K72" s="963">
        <f t="shared" si="38"/>
        <v>2.4031376700000067</v>
      </c>
      <c r="L72" s="964">
        <f t="shared" si="38"/>
        <v>2.3431242304332045</v>
      </c>
      <c r="M72" s="963">
        <f t="shared" si="38"/>
        <v>0</v>
      </c>
      <c r="N72" s="963">
        <f t="shared" si="38"/>
        <v>-0.14794174855289199</v>
      </c>
      <c r="O72" s="963">
        <f t="shared" si="38"/>
        <v>-5.2567080980734033</v>
      </c>
      <c r="P72" s="963">
        <f t="shared" si="38"/>
        <v>-25.023756688637718</v>
      </c>
      <c r="Q72" s="963">
        <f t="shared" si="38"/>
        <v>14.717063728640028</v>
      </c>
      <c r="R72" s="963">
        <f t="shared" si="38"/>
        <v>4.1043924247198902</v>
      </c>
      <c r="S72" s="963">
        <f t="shared" si="38"/>
        <v>8.0001198650984477</v>
      </c>
      <c r="T72" s="963">
        <f t="shared" si="38"/>
        <v>6.5570336698137908</v>
      </c>
      <c r="U72" s="963">
        <f t="shared" si="38"/>
        <v>-8.9389207362023626</v>
      </c>
      <c r="V72" s="963">
        <f t="shared" si="38"/>
        <v>0.82532907951215861</v>
      </c>
      <c r="W72" s="967">
        <f t="shared" si="38"/>
        <v>7.506512734116022</v>
      </c>
      <c r="X72" s="967">
        <f t="shared" si="38"/>
        <v>0</v>
      </c>
      <c r="Y72" s="967">
        <f t="shared" si="38"/>
        <v>0</v>
      </c>
      <c r="Z72" s="963">
        <f t="shared" si="38"/>
        <v>0</v>
      </c>
      <c r="AA72" s="964">
        <f t="shared" si="38"/>
        <v>-40.274710307198575</v>
      </c>
      <c r="AB72" s="966">
        <f t="shared" si="38"/>
        <v>-2.4161461805547901</v>
      </c>
      <c r="AC72" s="1064">
        <f t="shared" si="38"/>
        <v>0</v>
      </c>
      <c r="AD72" s="963">
        <f t="shared" si="38"/>
        <v>0</v>
      </c>
      <c r="AE72" s="963">
        <f t="shared" si="38"/>
        <v>-4.7196692573067764</v>
      </c>
      <c r="AF72" s="963">
        <f t="shared" si="38"/>
        <v>0</v>
      </c>
      <c r="AG72" s="963">
        <f t="shared" si="38"/>
        <v>0</v>
      </c>
      <c r="AH72" s="963">
        <f t="shared" si="38"/>
        <v>0</v>
      </c>
      <c r="AI72" s="963">
        <f t="shared" si="38"/>
        <v>1.6583711868479725</v>
      </c>
      <c r="AJ72" s="963">
        <f t="shared" si="38"/>
        <v>0.64515188990400674</v>
      </c>
      <c r="AK72" s="962">
        <f t="shared" si="38"/>
        <v>0</v>
      </c>
      <c r="AL72" s="967">
        <f t="shared" si="38"/>
        <v>0</v>
      </c>
      <c r="AM72" s="963">
        <f t="shared" si="38"/>
        <v>0</v>
      </c>
      <c r="AN72" s="964">
        <f t="shared" si="38"/>
        <v>0</v>
      </c>
      <c r="AO72" s="964">
        <f t="shared" si="38"/>
        <v>-35.693844343489218</v>
      </c>
      <c r="AP72" s="966">
        <f t="shared" si="38"/>
        <v>0</v>
      </c>
      <c r="AQ72" s="968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065" t="s">
        <v>971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3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066" t="s">
        <v>972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067" t="s">
        <v>186</v>
      </c>
      <c r="B76" s="55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068" t="s">
        <v>187</v>
      </c>
      <c r="B77" s="55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55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069" t="s">
        <v>189</v>
      </c>
      <c r="B79" s="8"/>
      <c r="C79" s="8"/>
      <c r="D79" s="8"/>
      <c r="E79" s="55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069" t="s">
        <v>190</v>
      </c>
      <c r="B80" s="8"/>
      <c r="C80" s="8"/>
      <c r="D80" s="8"/>
      <c r="E80" s="55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H13" sqref="H13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636" t="s">
        <v>651</v>
      </c>
      <c r="G1" s="636"/>
      <c r="H1" s="636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100" t="s">
        <v>635</v>
      </c>
      <c r="G2" s="1101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102" t="s">
        <v>494</v>
      </c>
      <c r="G3" s="1103"/>
      <c r="H3" s="637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104" t="s">
        <v>209</v>
      </c>
      <c r="G4" s="1105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106" t="s">
        <v>502</v>
      </c>
      <c r="G5" s="1107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845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846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638"/>
      <c r="F7" s="639" t="s">
        <v>219</v>
      </c>
      <c r="G7" s="640"/>
      <c r="H7" s="641"/>
      <c r="I7" s="1097" t="s">
        <v>220</v>
      </c>
      <c r="J7" s="1098"/>
      <c r="K7" s="1099"/>
      <c r="L7" s="1097" t="s">
        <v>221</v>
      </c>
      <c r="M7" s="1098"/>
      <c r="N7" s="1099"/>
      <c r="O7" s="1097" t="s">
        <v>222</v>
      </c>
      <c r="P7" s="1098"/>
      <c r="Q7" s="1099"/>
      <c r="R7" s="1095" t="s">
        <v>223</v>
      </c>
      <c r="S7" s="1097" t="s">
        <v>650</v>
      </c>
      <c r="T7" s="1098"/>
      <c r="U7" s="1098"/>
      <c r="V7" s="1098"/>
      <c r="W7" s="1098"/>
      <c r="X7" s="1099"/>
      <c r="Y7" s="1093" t="s">
        <v>713</v>
      </c>
      <c r="Z7" s="1093" t="s">
        <v>503</v>
      </c>
      <c r="AA7" s="1091" t="s">
        <v>772</v>
      </c>
      <c r="AD7" s="1089" t="s">
        <v>842</v>
      </c>
      <c r="AE7" s="1091" t="s">
        <v>843</v>
      </c>
      <c r="AI7" s="25" t="s">
        <v>719</v>
      </c>
      <c r="AN7" s="25" t="s">
        <v>847</v>
      </c>
      <c r="AO7" s="25">
        <v>1.75</v>
      </c>
      <c r="AQ7" s="25" t="s">
        <v>850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654"/>
      <c r="F8" s="655" t="s">
        <v>42</v>
      </c>
      <c r="G8" s="656" t="s">
        <v>44</v>
      </c>
      <c r="H8" s="657" t="s">
        <v>46</v>
      </c>
      <c r="I8" s="658" t="s">
        <v>42</v>
      </c>
      <c r="J8" s="659" t="s">
        <v>44</v>
      </c>
      <c r="K8" s="660" t="s">
        <v>46</v>
      </c>
      <c r="L8" s="661" t="s">
        <v>42</v>
      </c>
      <c r="M8" s="659" t="s">
        <v>44</v>
      </c>
      <c r="N8" s="660" t="s">
        <v>46</v>
      </c>
      <c r="O8" s="658" t="s">
        <v>42</v>
      </c>
      <c r="P8" s="659" t="s">
        <v>44</v>
      </c>
      <c r="Q8" s="660" t="s">
        <v>46</v>
      </c>
      <c r="R8" s="1096"/>
      <c r="S8" s="662" t="s">
        <v>224</v>
      </c>
      <c r="T8" s="662" t="s">
        <v>225</v>
      </c>
      <c r="U8" s="662" t="s">
        <v>226</v>
      </c>
      <c r="V8" s="662" t="s">
        <v>227</v>
      </c>
      <c r="W8" s="662" t="s">
        <v>229</v>
      </c>
      <c r="X8" s="663" t="s">
        <v>228</v>
      </c>
      <c r="Y8" s="1094"/>
      <c r="Z8" s="1094"/>
      <c r="AA8" s="1092" t="s">
        <v>659</v>
      </c>
      <c r="AD8" s="1090"/>
      <c r="AE8" s="1092" t="s">
        <v>659</v>
      </c>
      <c r="AI8" s="634" t="s">
        <v>851</v>
      </c>
      <c r="AJ8" s="633">
        <v>1.1516522859674401</v>
      </c>
      <c r="AN8" s="25" t="s">
        <v>848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9.0766551305573824</v>
      </c>
      <c r="D9" s="44"/>
      <c r="E9" s="642" t="s">
        <v>635</v>
      </c>
      <c r="F9" s="643">
        <f>'SHWLP-Apt'!$AC$7+'SHWLP-Apt'!AC20</f>
        <v>0</v>
      </c>
      <c r="G9" s="644">
        <f>'SHWLP-Att'!$AC$7+'SHWLP-Att'!$AC$20</f>
        <v>5.0701051172741778</v>
      </c>
      <c r="H9" s="645">
        <f>'SHWLP-Det'!$AC$7+'SHWLP-Det'!$AC$20</f>
        <v>4.4286560276585281</v>
      </c>
      <c r="I9" s="643">
        <f>'SHWLP-Apt'!$AC$33+'SHWLP-Apt'!$AC$46</f>
        <v>0</v>
      </c>
      <c r="J9" s="644">
        <f>'SHWLP-Att'!$AC$33+'SHWLP-Att'!$AC$46</f>
        <v>0.4085621664140332</v>
      </c>
      <c r="K9" s="645">
        <f>'SHWLP-Det'!$AC$33+'SHWLP-Det'!$AC$46</f>
        <v>0.10058759437750613</v>
      </c>
      <c r="L9" s="646"/>
      <c r="M9" s="647"/>
      <c r="N9" s="648"/>
      <c r="O9" s="646"/>
      <c r="P9" s="647"/>
      <c r="Q9" s="648"/>
      <c r="R9" s="649"/>
      <c r="S9" s="646"/>
      <c r="T9" s="647"/>
      <c r="U9" s="647"/>
      <c r="V9" s="647"/>
      <c r="W9" s="647"/>
      <c r="X9" s="648"/>
      <c r="Y9" s="756">
        <f>SUM(F9:X9)</f>
        <v>10.007910905724245</v>
      </c>
      <c r="Z9" s="757">
        <f>C9</f>
        <v>9.0766551305573824</v>
      </c>
      <c r="AA9" s="354">
        <f>ABS(Z9-Y9)/Z9</f>
        <v>0.10259900390306836</v>
      </c>
      <c r="AD9" s="25">
        <f>AJ9+AJ20</f>
        <v>10.269075645345431</v>
      </c>
      <c r="AE9" s="354">
        <f>ABS(AD9-Y9)/AD9</f>
        <v>2.5432156568012253E-2</v>
      </c>
      <c r="AI9" s="634" t="s">
        <v>853</v>
      </c>
      <c r="AJ9" s="633">
        <v>9.6599740335233797</v>
      </c>
      <c r="AN9" s="25" t="s">
        <v>849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3.2061498965965211E-3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0</v>
      </c>
      <c r="J10" s="439">
        <f>'SHWLP-Att'!$AC$44+'SHWLP-Att'!$AC$47</f>
        <v>0.36088383689539283</v>
      </c>
      <c r="K10" s="441">
        <f>'SHWLP-Det'!$AC$44+'SHWLP-Det'!$AC$47</f>
        <v>0.38575860936528117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758">
        <f>SUM(F10:X10)</f>
        <v>8.1133487293392896</v>
      </c>
      <c r="Z10" s="436">
        <f t="shared" ref="Z10:Z27" si="0">C10</f>
        <v>8.22868674342444</v>
      </c>
      <c r="AA10" s="354">
        <f>ABS(Z10-Y10)/Z10</f>
        <v>1.4016576117363705E-2</v>
      </c>
      <c r="AD10" s="25">
        <f>AJ14+AJ27</f>
        <v>8.1954076367650153</v>
      </c>
      <c r="AE10" s="354">
        <f t="shared" ref="AE10" si="1">ABS(AD10-Y10)/AD10</f>
        <v>1.0012791439147604E-2</v>
      </c>
      <c r="AI10" s="634" t="s">
        <v>411</v>
      </c>
      <c r="AJ10" s="633">
        <v>4.4337733997372402</v>
      </c>
      <c r="AN10" s="25" t="s">
        <v>846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42" t="s">
        <v>201</v>
      </c>
      <c r="F11" s="643">
        <f>'SHWLP-Apt'!$AC$10</f>
        <v>0</v>
      </c>
      <c r="G11" s="644">
        <f>'SHWLP-Att'!$AC$10</f>
        <v>0.33080594499020705</v>
      </c>
      <c r="H11" s="645">
        <f>'SHWLP-Det'!$AC$10</f>
        <v>1.2958225591678023</v>
      </c>
      <c r="I11" s="643">
        <f>'SHWLP-Apt'!$AC$36</f>
        <v>0</v>
      </c>
      <c r="J11" s="644">
        <f>'SHWLP-Att'!$AC$36</f>
        <v>0</v>
      </c>
      <c r="K11" s="645">
        <f>'SHWLP-Det'!$AC$36</f>
        <v>0</v>
      </c>
      <c r="L11" s="643"/>
      <c r="M11" s="644"/>
      <c r="N11" s="645"/>
      <c r="O11" s="643"/>
      <c r="P11" s="644"/>
      <c r="Q11" s="645"/>
      <c r="R11" s="650">
        <v>3.9492406345735545E-2</v>
      </c>
      <c r="S11" s="643"/>
      <c r="T11" s="644"/>
      <c r="U11" s="644"/>
      <c r="V11" s="644"/>
      <c r="W11" s="644"/>
      <c r="X11" s="645"/>
      <c r="Y11" s="756">
        <f t="shared" ref="Y11:Y25" si="2">SUM(F11:X11)</f>
        <v>1.6661209105037449</v>
      </c>
      <c r="Z11" s="757">
        <f t="shared" si="0"/>
        <v>2.2542368842613176</v>
      </c>
      <c r="AA11" s="354">
        <f>ABS(Z11-Y11)/Z11</f>
        <v>0.26089359901068704</v>
      </c>
      <c r="AD11" s="25">
        <f>AJ13+AJ26+AR8</f>
        <v>2.1294859113248128</v>
      </c>
      <c r="AE11" s="354">
        <f>ABS(AD11-Y11)/AD11</f>
        <v>0.21759477175070652</v>
      </c>
      <c r="AI11" s="634" t="s">
        <v>855</v>
      </c>
      <c r="AJ11" s="633">
        <v>16.539193232500899</v>
      </c>
      <c r="AN11" s="25" t="s">
        <v>847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651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758">
        <f t="shared" si="2"/>
        <v>0</v>
      </c>
      <c r="Z12" s="436">
        <f t="shared" si="0"/>
        <v>0</v>
      </c>
      <c r="AA12" s="354"/>
      <c r="AD12" s="37"/>
      <c r="AE12" s="354"/>
      <c r="AI12" s="634" t="s">
        <v>856</v>
      </c>
      <c r="AJ12" s="633">
        <v>33.821000958649797</v>
      </c>
      <c r="AN12" s="25" t="s">
        <v>848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42" t="s">
        <v>203</v>
      </c>
      <c r="F13" s="643">
        <f>'SHWLP-Apt'!$AC$14</f>
        <v>0.23973746740711377</v>
      </c>
      <c r="G13" s="644">
        <f>'SHWLP-Att'!$AC$14</f>
        <v>8.5556650016606195</v>
      </c>
      <c r="H13" s="645">
        <f>'SHWLP-Det'!$AC$14</f>
        <v>31.600517865997496</v>
      </c>
      <c r="I13" s="643">
        <f>'SHWLP-Apt'!$AC$40</f>
        <v>0</v>
      </c>
      <c r="J13" s="644">
        <f>'SHWLP-Att'!$AC$40</f>
        <v>3.1609218088799507</v>
      </c>
      <c r="K13" s="645">
        <f>'SHWLP-Det'!$AC$40</f>
        <v>8.4233864898363215</v>
      </c>
      <c r="L13" s="643"/>
      <c r="M13" s="644"/>
      <c r="N13" s="645"/>
      <c r="O13" s="643"/>
      <c r="P13" s="644"/>
      <c r="Q13" s="645"/>
      <c r="R13" s="650"/>
      <c r="S13" s="643"/>
      <c r="T13" s="644"/>
      <c r="U13" s="644"/>
      <c r="V13" s="644"/>
      <c r="W13" s="644"/>
      <c r="X13" s="645"/>
      <c r="Y13" s="759">
        <f>SUM(F13:X13)</f>
        <v>51.980228633781493</v>
      </c>
      <c r="Z13" s="760">
        <f t="shared" si="0"/>
        <v>36.243917659777566</v>
      </c>
      <c r="AA13" s="354">
        <f>ABS(Z13+Z14+Z16-Y13)/(Z13+Z14+Z16)</f>
        <v>3.3757692910172048E-2</v>
      </c>
      <c r="AD13" s="25">
        <f>AJ12+AJ25</f>
        <v>43.727300517765926</v>
      </c>
      <c r="AE13" s="354">
        <f>ABS(AD13-Y13)/AD13</f>
        <v>0.18873628187183641</v>
      </c>
      <c r="AI13" s="634" t="s">
        <v>857</v>
      </c>
      <c r="AJ13" s="633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51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761">
        <f t="shared" si="2"/>
        <v>0</v>
      </c>
      <c r="Z14" s="762">
        <f t="shared" si="0"/>
        <v>13.812630439383646</v>
      </c>
      <c r="AA14" s="354">
        <f>ABS(Z13+Z14+Z16-Y13)/(Z13+Z14+Z16)</f>
        <v>3.3757692910172048E-2</v>
      </c>
      <c r="AI14" s="634" t="s">
        <v>412</v>
      </c>
      <c r="AJ14" s="633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652" t="s">
        <v>205</v>
      </c>
      <c r="F15" s="643"/>
      <c r="G15" s="644"/>
      <c r="H15" s="645"/>
      <c r="I15" s="643"/>
      <c r="J15" s="644"/>
      <c r="K15" s="645"/>
      <c r="L15" s="643"/>
      <c r="M15" s="644"/>
      <c r="N15" s="645"/>
      <c r="O15" s="643"/>
      <c r="P15" s="644"/>
      <c r="Q15" s="645"/>
      <c r="R15" s="650"/>
      <c r="S15" s="643"/>
      <c r="T15" s="644"/>
      <c r="U15" s="644"/>
      <c r="V15" s="644"/>
      <c r="W15" s="644"/>
      <c r="X15" s="645"/>
      <c r="Y15" s="759">
        <f t="shared" si="2"/>
        <v>0</v>
      </c>
      <c r="Z15" s="762">
        <f t="shared" si="0"/>
        <v>0</v>
      </c>
      <c r="AA15" s="354">
        <f>ABS(Z13+Z14+Z16-Y13)/(Z13+Z14+Z16)</f>
        <v>3.3757692910172048E-2</v>
      </c>
      <c r="AI15" s="634" t="s">
        <v>859</v>
      </c>
      <c r="AJ15" s="633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51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761">
        <f t="shared" si="2"/>
        <v>0</v>
      </c>
      <c r="Z16" s="762">
        <f t="shared" si="0"/>
        <v>0.22624930131075338</v>
      </c>
      <c r="AA16" s="354">
        <f>ABS(Z13+Z14+Z16-Y13)/(Z13+Z14+Z16)</f>
        <v>3.3757692910172048E-2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42" t="s">
        <v>207</v>
      </c>
      <c r="F17" s="643">
        <f>'SHWLP-Apt'!$AC$16</f>
        <v>1.290633418103742</v>
      </c>
      <c r="G17" s="644">
        <f>'SHWLP-Att'!$AC$16</f>
        <v>11.879485989406717</v>
      </c>
      <c r="H17" s="645">
        <f>'SHWLP-Det'!$AC$16</f>
        <v>5.2345577020498419</v>
      </c>
      <c r="I17" s="643">
        <f>'SHWLP-Apt'!$AC$42</f>
        <v>0.60716401702944534</v>
      </c>
      <c r="J17" s="644">
        <f>'SHWLP-Att'!$AC$42</f>
        <v>4.1120335446691945</v>
      </c>
      <c r="K17" s="645">
        <f>'SHWLP-Det'!$AC$42</f>
        <v>1.4948266478005934</v>
      </c>
      <c r="L17" s="643"/>
      <c r="M17" s="644"/>
      <c r="N17" s="645"/>
      <c r="O17" s="643"/>
      <c r="P17" s="644"/>
      <c r="Q17" s="645"/>
      <c r="R17" s="650">
        <v>0.66992893469234771</v>
      </c>
      <c r="S17" s="643"/>
      <c r="T17" s="644"/>
      <c r="U17" s="644"/>
      <c r="V17" s="644"/>
      <c r="W17" s="644"/>
      <c r="X17" s="645"/>
      <c r="Y17" s="756">
        <f t="shared" si="2"/>
        <v>25.288630253751879</v>
      </c>
      <c r="Z17" s="757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53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758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634" t="s">
        <v>844</v>
      </c>
      <c r="AJ18" s="633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42" t="s">
        <v>209</v>
      </c>
      <c r="F19" s="643">
        <f>'SHWLP-Apt'!$AC$22+'SHWLP-Apt'!$AC$23</f>
        <v>0</v>
      </c>
      <c r="G19" s="644">
        <f>'SHWLP-Att'!$AC$22+'SHWLP-Att'!$AC$23</f>
        <v>0.15910157693805971</v>
      </c>
      <c r="H19" s="645">
        <f>'SHWLP-Det'!$AC$22+'SHWLP-Det'!$AC$23</f>
        <v>0.86316679487914505</v>
      </c>
      <c r="I19" s="643">
        <f>'SHWLP-Apt'!$AC$49+'SHWLP-Apt'!$AC$48</f>
        <v>0</v>
      </c>
      <c r="J19" s="644">
        <f>'SHWLP-Att'!$AC$49+'SHWLP-Att'!$AC$48</f>
        <v>3.0073653074616069E-2</v>
      </c>
      <c r="K19" s="645">
        <f>'SHWLP-Det'!$AC$49+'SHWLP-Det'!$AC$48</f>
        <v>3.2146550780440097E-2</v>
      </c>
      <c r="L19" s="643"/>
      <c r="M19" s="644"/>
      <c r="N19" s="645"/>
      <c r="O19" s="643"/>
      <c r="P19" s="644"/>
      <c r="Q19" s="645"/>
      <c r="R19" s="650"/>
      <c r="S19" s="643"/>
      <c r="T19" s="644"/>
      <c r="U19" s="644"/>
      <c r="V19" s="644"/>
      <c r="W19" s="644"/>
      <c r="X19" s="645"/>
      <c r="Y19" s="756">
        <f>SUM(F19:X19)</f>
        <v>1.0844885756722611</v>
      </c>
      <c r="Z19" s="757">
        <f t="shared" si="0"/>
        <v>1.2466650078070101</v>
      </c>
      <c r="AA19" s="354">
        <f>ABS(Z19-Y19)/Z19</f>
        <v>0.13008822026699146</v>
      </c>
      <c r="AD19" s="25">
        <f>AJ29+AJ15</f>
        <v>1.2689594898892349</v>
      </c>
      <c r="AE19" s="354">
        <f t="shared" si="3"/>
        <v>0.1453717913667015</v>
      </c>
      <c r="AI19" s="634" t="s">
        <v>852</v>
      </c>
      <c r="AJ19" s="633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651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758">
        <f t="shared" si="2"/>
        <v>0</v>
      </c>
      <c r="Z20" s="436">
        <f t="shared" si="0"/>
        <v>0</v>
      </c>
      <c r="AI20" s="634" t="s">
        <v>853</v>
      </c>
      <c r="AJ20" s="633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42" t="s">
        <v>211</v>
      </c>
      <c r="F21" s="643"/>
      <c r="G21" s="644"/>
      <c r="H21" s="645"/>
      <c r="I21" s="643"/>
      <c r="J21" s="644"/>
      <c r="K21" s="645"/>
      <c r="L21" s="643"/>
      <c r="M21" s="644"/>
      <c r="N21" s="645"/>
      <c r="O21" s="643"/>
      <c r="P21" s="644"/>
      <c r="Q21" s="645"/>
      <c r="R21" s="650"/>
      <c r="S21" s="643"/>
      <c r="T21" s="644"/>
      <c r="U21" s="644"/>
      <c r="V21" s="644"/>
      <c r="W21" s="644"/>
      <c r="X21" s="645"/>
      <c r="Y21" s="756">
        <f t="shared" si="2"/>
        <v>0</v>
      </c>
      <c r="Z21" s="757">
        <f t="shared" si="0"/>
        <v>0</v>
      </c>
      <c r="AI21" s="634" t="s">
        <v>411</v>
      </c>
      <c r="AJ21" s="633">
        <v>2.3626993757787398</v>
      </c>
    </row>
    <row r="22" spans="1:44" ht="12" customHeight="1">
      <c r="A22" s="248" t="s">
        <v>827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53" t="s">
        <v>834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0.21442628392933846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0.1328039621482244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0.14941040324491844</v>
      </c>
      <c r="I22" s="440">
        <f>('SHWLP-Apt'!$AC$38/('SHWLP-Apt'!$AC$12+'SHWLP-Att'!$AC$12+'SHWLP-Det'!$AC$12+'SHWLP-Apt'!$AC$38+'SHWLP-Att'!$AC$38+'SHWLP-Det'!$AC$38+'SHWLP-Apt'!AC50))</f>
        <v>0.34644334075781774</v>
      </c>
      <c r="J22" s="439">
        <f>('SHWLP-Att'!$AC$38/('SHWLP-Apt'!$AC$12+'SHWLP-Att'!$AC$12+'SHWLP-Det'!$AC$12+'SHWLP-Apt'!$AC$38+'SHWLP-Att'!$AC$38+'SHWLP-Det'!$AC$38+'SHWLP-Att'!AC50))</f>
        <v>0.15691600991970089</v>
      </c>
      <c r="K22" s="441">
        <f>('SHWLP-Det'!$AC$38/('SHWLP-Apt'!$AC$12+'SHWLP-Att'!$AC$12+'SHWLP-Det'!$AC$12+'SHWLP-Apt'!$AC$38+'SHWLP-Att'!$AC$38+'SHWLP-Det'!$AC$38+'SHWLP-Det'!AC50))</f>
        <v>0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763">
        <f>SUM(F22:X22)</f>
        <v>1</v>
      </c>
      <c r="Z22" s="764">
        <f t="shared" si="0"/>
        <v>1.1669028796434333</v>
      </c>
      <c r="AA22" s="616">
        <f>ABS(Z22+Z27-Y22-Y27)/(Z22+Z27)</f>
        <v>0.14303065195488529</v>
      </c>
      <c r="AD22" s="25">
        <f>AJ8+AJ18+AJ24</f>
        <v>2.2054176010201956</v>
      </c>
      <c r="AE22" s="354">
        <f>ABS(AD22-Y22)/SUM(AD22+AD27)</f>
        <v>0.5465711348556328</v>
      </c>
      <c r="AI22" s="634" t="s">
        <v>854</v>
      </c>
      <c r="AJ22" s="633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642" t="s">
        <v>212</v>
      </c>
      <c r="F23" s="643">
        <f>'SHWLP-Apt'!$AC$9</f>
        <v>0</v>
      </c>
      <c r="G23" s="644">
        <f>'SHWLP-Att'!$AC$9</f>
        <v>0</v>
      </c>
      <c r="H23" s="645">
        <f>'SHWLP-Det'!$AC$9</f>
        <v>0</v>
      </c>
      <c r="I23" s="643">
        <f>'SHWLP-Apt'!$AC$35</f>
        <v>0</v>
      </c>
      <c r="J23" s="644">
        <f>'SHWLP-Att'!$AC$35</f>
        <v>0</v>
      </c>
      <c r="K23" s="645">
        <f>'SHWLP-Det'!$AC$35</f>
        <v>0</v>
      </c>
      <c r="L23" s="643"/>
      <c r="M23" s="644"/>
      <c r="N23" s="645"/>
      <c r="O23" s="643"/>
      <c r="P23" s="644"/>
      <c r="Q23" s="645"/>
      <c r="R23" s="650"/>
      <c r="S23" s="643"/>
      <c r="T23" s="644"/>
      <c r="U23" s="644"/>
      <c r="V23" s="644"/>
      <c r="W23" s="644"/>
      <c r="X23" s="645"/>
      <c r="Y23" s="756">
        <f t="shared" si="2"/>
        <v>0</v>
      </c>
      <c r="Z23" s="757">
        <f t="shared" si="0"/>
        <v>0</v>
      </c>
      <c r="AA23" s="37"/>
      <c r="AI23" s="634" t="s">
        <v>855</v>
      </c>
      <c r="AJ23" s="633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651" t="s">
        <v>214</v>
      </c>
      <c r="F24" s="440">
        <f>'SHWLP-Apt'!$AC$8</f>
        <v>0</v>
      </c>
      <c r="G24" s="439">
        <f>'SHWLP-Att'!$AC$8</f>
        <v>0</v>
      </c>
      <c r="H24" s="441">
        <f>'SHWLP-Det'!$AC$8</f>
        <v>0</v>
      </c>
      <c r="I24" s="440">
        <f>'SHWLP-Apt'!$AC$34</f>
        <v>0</v>
      </c>
      <c r="J24" s="439">
        <f>'SHWLP-Att'!$AC$34</f>
        <v>0</v>
      </c>
      <c r="K24" s="441">
        <f>'SHWLP-Det'!$AC$34</f>
        <v>0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758">
        <f t="shared" si="2"/>
        <v>0</v>
      </c>
      <c r="Z24" s="436">
        <f t="shared" si="0"/>
        <v>0</v>
      </c>
      <c r="AA24" s="37"/>
      <c r="AI24" s="634" t="s">
        <v>409</v>
      </c>
      <c r="AJ24" s="633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52" t="s">
        <v>216</v>
      </c>
      <c r="F25" s="643"/>
      <c r="G25" s="644"/>
      <c r="H25" s="645"/>
      <c r="I25" s="643"/>
      <c r="J25" s="644"/>
      <c r="K25" s="645"/>
      <c r="L25" s="643"/>
      <c r="M25" s="644"/>
      <c r="N25" s="645"/>
      <c r="O25" s="643"/>
      <c r="P25" s="644"/>
      <c r="Q25" s="645"/>
      <c r="R25" s="650"/>
      <c r="S25" s="643"/>
      <c r="T25" s="644"/>
      <c r="U25" s="644"/>
      <c r="V25" s="644"/>
      <c r="W25" s="644"/>
      <c r="X25" s="645"/>
      <c r="Y25" s="756">
        <f t="shared" si="2"/>
        <v>0</v>
      </c>
      <c r="Z25" s="757">
        <f t="shared" si="0"/>
        <v>0</v>
      </c>
      <c r="AA25" s="37"/>
      <c r="AI25" s="634" t="s">
        <v>856</v>
      </c>
      <c r="AJ25" s="633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0.66757192323568215</v>
      </c>
      <c r="G26" s="439">
        <f>'SHWLP-Att'!$AC$11+'SHWLP-Att'!$AC$13</f>
        <v>1.0838903110495035</v>
      </c>
      <c r="H26" s="441">
        <f>'SHWLP-Det'!$AC$11+'SHWLP-Det'!$AC$13</f>
        <v>1.5894259504513475</v>
      </c>
      <c r="I26" s="440">
        <f>'SHWLP-Apt'!$AC$37+'SHWLP-Apt'!$AC$39</f>
        <v>0.69372778462180618</v>
      </c>
      <c r="J26" s="439">
        <f>'SHWLP-Att'!$AC$37+'SHWLP-Att'!$AC$39</f>
        <v>0.56457083746435377</v>
      </c>
      <c r="K26" s="441">
        <f>'SHWLP-Det'!$AC$37+'SHWLP-Det'!$AC$39</f>
        <v>0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758">
        <f>SUM(F26:X26)</f>
        <v>29.103697648805749</v>
      </c>
      <c r="Z26" s="436">
        <f t="shared" si="0"/>
        <v>29.430890206847998</v>
      </c>
      <c r="AA26" s="354">
        <f>ABS(Z26-Y26)/Z26</f>
        <v>1.1117317748211286E-2</v>
      </c>
      <c r="AD26" s="37">
        <f>AJ10+AJ21+AO6+AO7+AO8+AO10+AO11+AO12+AR6+AR15+AR16+AR17+AR18+AR19</f>
        <v>31.036472775515985</v>
      </c>
      <c r="AE26" s="354">
        <f t="shared" si="3"/>
        <v>6.227431643698126E-2</v>
      </c>
      <c r="AI26" s="634" t="s">
        <v>857</v>
      </c>
      <c r="AJ26" s="633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642" t="s">
        <v>217</v>
      </c>
      <c r="F27" s="643">
        <f>'SHWLP-Apt'!$AC$24</f>
        <v>0</v>
      </c>
      <c r="G27" s="644">
        <f>'SHWLP-Att'!$AC$24</f>
        <v>0</v>
      </c>
      <c r="H27" s="645">
        <f>'SHWLP-Det'!$AC$24</f>
        <v>0</v>
      </c>
      <c r="I27" s="643">
        <f>'SHWLP-Apt'!$AC$50</f>
        <v>0</v>
      </c>
      <c r="J27" s="644">
        <f>'SHWLP-Att'!$AC$50</f>
        <v>0</v>
      </c>
      <c r="K27" s="645">
        <f>'SHWLP-Det'!$AC$50</f>
        <v>0</v>
      </c>
      <c r="L27" s="643"/>
      <c r="M27" s="644"/>
      <c r="N27" s="645"/>
      <c r="O27" s="643"/>
      <c r="P27" s="644"/>
      <c r="Q27" s="645"/>
      <c r="R27" s="650"/>
      <c r="S27" s="643"/>
      <c r="T27" s="644"/>
      <c r="U27" s="644"/>
      <c r="V27" s="644"/>
      <c r="W27" s="644"/>
      <c r="X27" s="645"/>
      <c r="Y27" s="765">
        <f>SUM(F27:X27)</f>
        <v>0</v>
      </c>
      <c r="Z27" s="766">
        <f t="shared" si="0"/>
        <v>0</v>
      </c>
      <c r="AA27" s="616">
        <f>ABS(Z22+Z27-Y22-Y27)/(Z22+Z27)</f>
        <v>0.14303065195488529</v>
      </c>
      <c r="AI27" s="634" t="s">
        <v>412</v>
      </c>
      <c r="AJ27" s="633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127.53920844574029</v>
      </c>
      <c r="D28" s="44"/>
      <c r="E28" s="518" t="s">
        <v>502</v>
      </c>
      <c r="F28" s="518">
        <f>SUM('SHWLP-Apt'!AC20:AC22)</f>
        <v>0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0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10.263814104900304</v>
      </c>
      <c r="Z28" s="519"/>
      <c r="AA28" s="354"/>
      <c r="AD28" s="37"/>
      <c r="AI28" s="634" t="s">
        <v>858</v>
      </c>
      <c r="AJ28" s="633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2.4155752425724728</v>
      </c>
      <c r="G29" s="411">
        <f t="shared" ref="G29:K29" si="4">SUM(G9:G27)</f>
        <v>29.219025525881932</v>
      </c>
      <c r="H29" s="411">
        <f t="shared" si="4"/>
        <v>50.51788981421668</v>
      </c>
      <c r="I29" s="411">
        <f t="shared" si="4"/>
        <v>1.6753439780870696</v>
      </c>
      <c r="J29" s="411">
        <f t="shared" si="4"/>
        <v>9.0600457962582457</v>
      </c>
      <c r="K29" s="411">
        <f t="shared" si="4"/>
        <v>10.702789831101146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597">
        <f>SUM(Y9:Y27)</f>
        <v>128.80460237113869</v>
      </c>
      <c r="Z29" s="596">
        <f>SUM(Z9:Z27)</f>
        <v>127.53920844574029</v>
      </c>
      <c r="AA29" s="354">
        <f>ABS(Z29-Y29)/Z29</f>
        <v>9.9216071733481299E-3</v>
      </c>
      <c r="AD29" s="596">
        <f>SUM(AD9:AD27)</f>
        <v>122.9150304745302</v>
      </c>
      <c r="AI29" s="634" t="s">
        <v>859</v>
      </c>
      <c r="AJ29" s="633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82.152490582671078</v>
      </c>
      <c r="G30" s="412">
        <f>F30/$Y$29</f>
        <v>0.63780710526131812</v>
      </c>
      <c r="H30" s="302"/>
      <c r="I30" s="413">
        <f>SUM(I29:K29)</f>
        <v>21.438179605446461</v>
      </c>
      <c r="J30" s="412">
        <f>I30/$Y$29</f>
        <v>0.16643954649752582</v>
      </c>
      <c r="K30" s="302"/>
      <c r="L30" s="413">
        <f>SUM(L29:N29)</f>
        <v>4.9252824777426403</v>
      </c>
      <c r="M30" s="412">
        <f>L30/$Y$29</f>
        <v>3.8238404428677861E-2</v>
      </c>
      <c r="N30" s="302"/>
      <c r="O30" s="413">
        <f>SUM(O29:Q29)</f>
        <v>1.1487968357609819</v>
      </c>
      <c r="P30" s="412">
        <f>O30/$Y$29</f>
        <v>8.9189113945698055E-3</v>
      </c>
      <c r="Q30" s="302"/>
      <c r="R30" s="412">
        <f>R29/$Y$29</f>
        <v>2.143677633049126E-2</v>
      </c>
      <c r="S30" s="413">
        <f>SUM(S29:X29)</f>
        <v>16.378697418149557</v>
      </c>
      <c r="T30" s="412">
        <f>S30/$Y$29</f>
        <v>0.1271592560874171</v>
      </c>
      <c r="U30" s="302"/>
      <c r="V30" s="302"/>
      <c r="W30" s="302"/>
      <c r="X30" s="302"/>
      <c r="Y30" s="414">
        <f>T30+R30+P30++M30+J30+G30</f>
        <v>1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31"/>
      <c r="Z31" s="631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32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82.152490582671078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21.438179605446461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64"/>
      <c r="S35" s="665" t="s">
        <v>505</v>
      </c>
      <c r="T35" s="665" t="s">
        <v>504</v>
      </c>
      <c r="U35" s="666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085" t="s">
        <v>225</v>
      </c>
      <c r="S36" s="1086"/>
      <c r="T36" s="41">
        <v>185</v>
      </c>
      <c r="U36" s="667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085" t="s">
        <v>226</v>
      </c>
      <c r="S37" s="1086"/>
      <c r="T37" s="37">
        <v>433</v>
      </c>
      <c r="U37" s="667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085" t="s">
        <v>224</v>
      </c>
      <c r="S38" s="1086"/>
      <c r="T38" s="37">
        <v>231</v>
      </c>
      <c r="U38" s="667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087" t="s">
        <v>227</v>
      </c>
      <c r="S39" s="1088"/>
      <c r="T39" s="668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669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875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workbookViewId="0">
      <selection activeCell="H28" sqref="H28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825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825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H7" s="25" t="s">
        <v>825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825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H8" s="25" t="s">
        <v>825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825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H9" s="25" t="s">
        <v>825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H10" s="25" t="s">
        <v>825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H11" s="25" t="s">
        <v>825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H12" s="25" t="s">
        <v>825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H13" s="25" t="s">
        <v>825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H14" s="25" t="s">
        <v>825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H15" s="25" t="s">
        <v>825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H16" s="25" t="s">
        <v>825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H17" s="25" t="s">
        <v>825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H18" s="25" t="s">
        <v>825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H19" s="25" t="s">
        <v>825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H20" s="25" t="s">
        <v>825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H21" s="25" t="s">
        <v>825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H22" s="25" t="s">
        <v>825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H23" s="25" t="s">
        <v>825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H24" s="25" t="s">
        <v>825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H25" s="25" t="s">
        <v>825</v>
      </c>
      <c r="I25" s="25" t="s">
        <v>249</v>
      </c>
      <c r="K25" s="25" t="s">
        <v>826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>
      <selection activeCell="I8" sqref="I8"/>
    </sheetView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675" t="s">
        <v>252</v>
      </c>
      <c r="E6" s="675" t="s">
        <v>252</v>
      </c>
      <c r="F6" s="675" t="s">
        <v>252</v>
      </c>
      <c r="G6" s="675" t="s">
        <v>252</v>
      </c>
      <c r="H6" s="675" t="s">
        <v>252</v>
      </c>
      <c r="I6" s="675" t="s">
        <v>252</v>
      </c>
      <c r="J6" s="675" t="s">
        <v>252</v>
      </c>
      <c r="K6" s="675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670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0</v>
      </c>
      <c r="J7" s="287">
        <v>0</v>
      </c>
      <c r="K7" s="676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671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77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672" t="str">
        <f>COMM!E28</f>
        <v>RSDN2O</v>
      </c>
      <c r="D9" s="678">
        <v>0</v>
      </c>
      <c r="E9" s="679"/>
      <c r="F9" s="680"/>
      <c r="G9" s="680"/>
      <c r="H9" s="679"/>
      <c r="I9" s="679"/>
      <c r="J9" s="679"/>
      <c r="K9" s="681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673" t="str">
        <f>COMM!E29</f>
        <v>RSDSO2N</v>
      </c>
      <c r="D10" s="682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683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672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84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674" t="str">
        <f>COMM!E31</f>
        <v>RSDPM25</v>
      </c>
      <c r="D12" s="685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686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O6" sqref="O6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821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834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820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860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822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860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895</v>
      </c>
      <c r="E18" t="s">
        <v>894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915</v>
      </c>
      <c r="C24" s="432"/>
    </row>
    <row r="25" spans="1:15">
      <c r="A25" s="433"/>
      <c r="B25" s="433"/>
      <c r="C25" s="432"/>
    </row>
    <row r="26" spans="1:15" ht="15.75" thickBot="1">
      <c r="A26" s="433"/>
      <c r="B26" s="750" t="s">
        <v>766</v>
      </c>
      <c r="C26" s="750" t="s">
        <v>255</v>
      </c>
      <c r="D26" s="750" t="s">
        <v>257</v>
      </c>
      <c r="E26" s="750" t="s">
        <v>258</v>
      </c>
      <c r="F26" s="750" t="s">
        <v>259</v>
      </c>
      <c r="G26" s="750" t="s">
        <v>909</v>
      </c>
      <c r="H26" s="750" t="s">
        <v>910</v>
      </c>
    </row>
    <row r="27" spans="1:15" ht="38.25">
      <c r="B27" s="751" t="s">
        <v>911</v>
      </c>
      <c r="C27" s="751" t="s">
        <v>911</v>
      </c>
      <c r="D27" s="751" t="s">
        <v>912</v>
      </c>
      <c r="E27" s="751" t="s">
        <v>913</v>
      </c>
      <c r="F27" s="752" t="s">
        <v>697</v>
      </c>
      <c r="G27" s="752" t="s">
        <v>914</v>
      </c>
      <c r="H27" s="752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754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895</v>
      </c>
      <c r="F29" s="433">
        <v>1</v>
      </c>
      <c r="G29" s="753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topLeftCell="X63" zoomScaleNormal="100" workbookViewId="0">
      <selection activeCell="AA74" sqref="AA74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729" t="s">
        <v>770</v>
      </c>
      <c r="G3" s="729"/>
      <c r="H3" s="729"/>
      <c r="I3" s="729"/>
      <c r="J3" s="729"/>
      <c r="K3" s="729"/>
      <c r="L3" s="729"/>
      <c r="N3" s="1114" t="s">
        <v>964</v>
      </c>
      <c r="O3" s="1115"/>
      <c r="P3" s="1114" t="s">
        <v>965</v>
      </c>
      <c r="Q3" s="1115"/>
      <c r="R3" s="1114" t="s">
        <v>966</v>
      </c>
      <c r="S3" s="1115"/>
      <c r="T3" s="1114" t="s">
        <v>967</v>
      </c>
      <c r="U3" s="1116"/>
      <c r="W3" s="19" t="s">
        <v>769</v>
      </c>
      <c r="X3" s="19"/>
      <c r="Y3" s="19"/>
      <c r="Z3" s="19"/>
      <c r="AA3" s="19"/>
      <c r="AB3" s="19"/>
      <c r="AC3" s="19"/>
      <c r="AD3" s="19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970</v>
      </c>
      <c r="H4" s="27" t="s">
        <v>774</v>
      </c>
      <c r="I4" s="27" t="s">
        <v>823</v>
      </c>
      <c r="J4" s="27" t="s">
        <v>269</v>
      </c>
      <c r="K4" s="27" t="s">
        <v>270</v>
      </c>
      <c r="L4" s="27" t="s">
        <v>714</v>
      </c>
      <c r="N4" s="818"/>
      <c r="O4" s="819"/>
      <c r="P4" s="820"/>
      <c r="Q4" s="820"/>
      <c r="R4" s="820"/>
      <c r="S4" s="820"/>
      <c r="T4" s="820"/>
      <c r="U4" s="821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618" t="s">
        <v>773</v>
      </c>
      <c r="C5" s="618" t="s">
        <v>271</v>
      </c>
      <c r="D5" s="618" t="s">
        <v>272</v>
      </c>
      <c r="E5" s="618" t="s">
        <v>273</v>
      </c>
      <c r="F5" s="618" t="s">
        <v>274</v>
      </c>
      <c r="G5" s="619" t="s">
        <v>275</v>
      </c>
      <c r="H5" s="619" t="s">
        <v>275</v>
      </c>
      <c r="I5" s="619"/>
      <c r="J5" s="620"/>
      <c r="K5" s="620"/>
      <c r="L5" s="620" t="s">
        <v>715</v>
      </c>
      <c r="N5" s="822" t="s">
        <v>958</v>
      </c>
      <c r="O5" s="823" t="s">
        <v>218</v>
      </c>
      <c r="P5" s="822" t="s">
        <v>958</v>
      </c>
      <c r="Q5" s="824" t="s">
        <v>218</v>
      </c>
      <c r="R5" s="823" t="s">
        <v>958</v>
      </c>
      <c r="S5" s="824" t="s">
        <v>218</v>
      </c>
      <c r="T5" s="823" t="s">
        <v>958</v>
      </c>
      <c r="U5" s="824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621" t="str">
        <f>_xlfn.TEXTJOIN(",",TRUE,IF(LEFT(Regions!$C$3,1)&lt;&gt;"*",Regions!$C$3,""),IF(LEFT(Regions!$D$3,1)&lt;&gt;"*",Regions!$D$3,""))</f>
        <v>IE,National</v>
      </c>
      <c r="C6" s="622" t="str">
        <f>Y6</f>
        <v>R-BLD_Att_A</v>
      </c>
      <c r="D6" s="623" t="str">
        <f>Z6</f>
        <v>Residential Building Attached _ A</v>
      </c>
      <c r="E6" s="623" t="str">
        <f>COMM!$O$10</f>
        <v>RSDSH_Att-AB</v>
      </c>
      <c r="F6" s="623" t="str">
        <f>COMM!$O$7</f>
        <v>RSD_Att</v>
      </c>
      <c r="G6" s="625">
        <f>AH8/1000</f>
        <v>37.185073727176743</v>
      </c>
      <c r="H6" s="625">
        <f>G6*$AH$26</f>
        <v>30.986321936856381</v>
      </c>
      <c r="I6" s="625">
        <v>1</v>
      </c>
      <c r="J6" s="623">
        <v>100</v>
      </c>
      <c r="K6" s="623">
        <v>1</v>
      </c>
      <c r="L6" s="731">
        <f>N6</f>
        <v>1.638635162947696E-3</v>
      </c>
      <c r="N6" s="825">
        <f>AR48*DwellingStocks!P18*(1+O53)</f>
        <v>1.638635162947696E-3</v>
      </c>
      <c r="O6" s="826">
        <f>N6*G6</f>
        <v>6.0932769346154353E-2</v>
      </c>
      <c r="P6" s="827"/>
      <c r="Q6" s="828"/>
      <c r="R6" s="827"/>
      <c r="S6" s="828"/>
      <c r="T6" s="826"/>
      <c r="U6" s="828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732" t="s">
        <v>275</v>
      </c>
      <c r="AC6" s="379"/>
      <c r="AD6" s="379"/>
      <c r="AE6" s="25"/>
      <c r="AF6" s="799" t="s">
        <v>572</v>
      </c>
      <c r="AG6" s="799"/>
      <c r="AH6" s="799"/>
      <c r="AI6" s="799"/>
      <c r="AJ6" s="799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626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733"/>
      <c r="H7" s="733"/>
      <c r="I7" s="733"/>
      <c r="J7" s="448"/>
      <c r="K7" s="448"/>
      <c r="L7" s="734"/>
      <c r="N7" s="807"/>
      <c r="O7" s="800"/>
      <c r="P7" s="811"/>
      <c r="Q7" s="808"/>
      <c r="R7" s="811"/>
      <c r="S7" s="808"/>
      <c r="T7" s="800"/>
      <c r="U7" s="808"/>
      <c r="W7" s="735" t="s">
        <v>276</v>
      </c>
      <c r="X7" s="735" t="str">
        <f>_xlfn.TEXTJOIN(",",TRUE,IF(LEFT(Regions!$C$3,1)&lt;&gt;"*",Regions!$C$3,""),IF(LEFT(Regions!$D$3,1)&lt;&gt;"*",Regions!$D$3,""))</f>
        <v>IE,National</v>
      </c>
      <c r="Y7" s="735" t="str">
        <f>_xlfn.TEXTJOIN("",TRUE,LEFT(SETUP!B$3,1),"-",SETUP!B$85,"_",SETUP!B$37,"_",SETUP!B41)</f>
        <v>R-BLD_Att_B1</v>
      </c>
      <c r="Z7" s="735" t="str">
        <f>_xlfn.TEXTJOIN(" ",TRUE,SETUP!C$3,SETUP!C$85,SETUP!C$37,"_",SETUP!B41)</f>
        <v>Residential Building Attached _ B1</v>
      </c>
      <c r="AA7" s="736" t="s">
        <v>275</v>
      </c>
      <c r="AB7" s="735" t="s">
        <v>275</v>
      </c>
      <c r="AC7" s="736"/>
      <c r="AD7" s="735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627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737"/>
      <c r="H8" s="737"/>
      <c r="I8" s="737"/>
      <c r="J8" s="293"/>
      <c r="K8" s="293"/>
      <c r="L8" s="738">
        <f>P8</f>
        <v>5.6727378666555717E-3</v>
      </c>
      <c r="N8" s="807"/>
      <c r="O8" s="800"/>
      <c r="P8" s="811">
        <f>AS48*(1+Q53)</f>
        <v>5.6727378666555717E-3</v>
      </c>
      <c r="Q8" s="808">
        <f>P8*G6</f>
        <v>0.21094117580653474</v>
      </c>
      <c r="R8" s="811"/>
      <c r="S8" s="808"/>
      <c r="T8" s="800"/>
      <c r="U8" s="808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732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793">
        <v>31355.706337556119</v>
      </c>
      <c r="AJ8" s="798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626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733"/>
      <c r="H9" s="733"/>
      <c r="I9" s="733"/>
      <c r="J9" s="448"/>
      <c r="K9" s="448"/>
      <c r="L9" s="734">
        <f>R9</f>
        <v>7.4241698715176612E-4</v>
      </c>
      <c r="N9" s="807"/>
      <c r="O9" s="800"/>
      <c r="P9" s="811"/>
      <c r="Q9" s="808"/>
      <c r="R9" s="811">
        <f>AT48*(1+S53)</f>
        <v>7.4241698715176612E-4</v>
      </c>
      <c r="S9" s="808">
        <f>R9*G6</f>
        <v>2.7606830403546851E-2</v>
      </c>
      <c r="T9" s="832"/>
      <c r="U9" s="808"/>
      <c r="W9" s="735" t="s">
        <v>276</v>
      </c>
      <c r="X9" s="735" t="str">
        <f>_xlfn.TEXTJOIN(",",TRUE,IF(LEFT(Regions!$C$3,1)&lt;&gt;"*",Regions!$C$3,""),IF(LEFT(Regions!$D$3,1)&lt;&gt;"*",Regions!$D$3,""))</f>
        <v>IE,National</v>
      </c>
      <c r="Y9" s="735" t="str">
        <f>_xlfn.TEXTJOIN("",TRUE,LEFT(SETUP!B$3,1),"-",SETUP!B$85,"_",SETUP!B$37,"_",SETUP!B43)</f>
        <v>R-BLD_Att_B3</v>
      </c>
      <c r="Z9" s="735" t="str">
        <f>_xlfn.TEXTJOIN(" ",TRUE,SETUP!C$3,SETUP!C$85,SETUP!C$37,"_",SETUP!B43)</f>
        <v>Residential Building Attached _ B3</v>
      </c>
      <c r="AA9" s="736" t="s">
        <v>275</v>
      </c>
      <c r="AB9" s="735" t="s">
        <v>275</v>
      </c>
      <c r="AC9" s="736"/>
      <c r="AD9" s="735"/>
      <c r="AE9" s="25"/>
      <c r="AF9" s="210" t="s">
        <v>50</v>
      </c>
      <c r="AG9" s="312">
        <v>7459.2913438514906</v>
      </c>
      <c r="AH9" s="312">
        <v>9537.7783975583752</v>
      </c>
      <c r="AI9" s="794">
        <v>9433.9012004747347</v>
      </c>
      <c r="AJ9" s="798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628" t="str">
        <f>_xlfn.TEXTJOIN(",",TRUE,IF(LEFT(Regions!$C$3,1)&lt;&gt;"*",Regions!$C$3,""),IF(LEFT(Regions!$D$3,1)&lt;&gt;"*",Regions!$D$3,""))</f>
        <v>IE,National</v>
      </c>
      <c r="C10" s="629"/>
      <c r="D10" s="629"/>
      <c r="E10" s="629" t="str">
        <f>COMM!$O$37</f>
        <v>RSDPF_Att</v>
      </c>
      <c r="F10" s="629"/>
      <c r="G10" s="630"/>
      <c r="H10" s="630"/>
      <c r="I10" s="630"/>
      <c r="J10" s="629"/>
      <c r="K10" s="629"/>
      <c r="L10" s="741">
        <f>T10</f>
        <v>6.9732301417353216E-4</v>
      </c>
      <c r="N10" s="829"/>
      <c r="O10" s="809"/>
      <c r="P10" s="830"/>
      <c r="Q10" s="810"/>
      <c r="R10" s="830"/>
      <c r="S10" s="810"/>
      <c r="T10" s="831">
        <f>AU48*(1+$U$53)</f>
        <v>6.9732301417353216E-4</v>
      </c>
      <c r="U10" s="810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732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795">
        <v>20090.949195825138</v>
      </c>
      <c r="AJ10" s="798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621" t="str">
        <f>_xlfn.TEXTJOIN(",",TRUE,IF(LEFT(Regions!$C$3,1)&lt;&gt;"*",Regions!$C$3,""),IF(LEFT(Regions!$D$3,1)&lt;&gt;"*",Regions!$D$3,""))</f>
        <v>IE,National</v>
      </c>
      <c r="C11" s="622" t="str">
        <f>Y7</f>
        <v>R-BLD_Att_B1</v>
      </c>
      <c r="D11" s="623" t="str">
        <f>Z7</f>
        <v>Residential Building Attached _ B1</v>
      </c>
      <c r="E11" s="623" t="str">
        <f>COMM!$O$10</f>
        <v>RSDSH_Att-AB</v>
      </c>
      <c r="F11" s="623" t="str">
        <f>COMM!$O$7</f>
        <v>RSD_Att</v>
      </c>
      <c r="G11" s="625">
        <f>AH9/1000</f>
        <v>9.537778397558375</v>
      </c>
      <c r="H11" s="625">
        <f>G11*$AH$26</f>
        <v>7.9478307386853944</v>
      </c>
      <c r="I11" s="625">
        <v>1</v>
      </c>
      <c r="J11" s="623">
        <v>100</v>
      </c>
      <c r="K11" s="623">
        <v>1</v>
      </c>
      <c r="L11" s="731">
        <f>N11</f>
        <v>1.2834435545833994E-2</v>
      </c>
      <c r="N11" s="807">
        <f>AR49*DwellingStocks!P19*(1+O53)</f>
        <v>1.2834435545833994E-2</v>
      </c>
      <c r="O11" s="800">
        <f>N11*G11</f>
        <v>0.1224120020939108</v>
      </c>
      <c r="P11" s="811"/>
      <c r="Q11" s="808"/>
      <c r="R11" s="800"/>
      <c r="S11" s="808"/>
      <c r="T11" s="832"/>
      <c r="U11" s="808"/>
      <c r="W11" s="735" t="s">
        <v>276</v>
      </c>
      <c r="X11" s="735" t="str">
        <f>_xlfn.TEXTJOIN(",",TRUE,IF(LEFT(Regions!$C$3,1)&lt;&gt;"*",Regions!$C$3,""),IF(LEFT(Regions!$D$3,1)&lt;&gt;"*",Regions!$D$3,""))</f>
        <v>IE,National</v>
      </c>
      <c r="Y11" s="735" t="str">
        <f>_xlfn.TEXTJOIN("",TRUE,LEFT(SETUP!B$3,1),"-",SETUP!B$85,"_",SETUP!B$37,"_",SETUP!B45)</f>
        <v>R-BLD_Att_D</v>
      </c>
      <c r="Z11" s="735" t="str">
        <f>_xlfn.TEXTJOIN(" ",TRUE,SETUP!C$3,SETUP!C$85,SETUP!C$37,"_",SETUP!B45)</f>
        <v>Residential Building Attached _ D</v>
      </c>
      <c r="AA11" s="736" t="s">
        <v>275</v>
      </c>
      <c r="AB11" s="735" t="s">
        <v>275</v>
      </c>
      <c r="AC11" s="736"/>
      <c r="AD11" s="735"/>
      <c r="AE11" s="25"/>
      <c r="AF11" s="210" t="s">
        <v>54</v>
      </c>
      <c r="AG11" s="312">
        <v>19924.480375055824</v>
      </c>
      <c r="AH11" s="312">
        <v>49768.849685929476</v>
      </c>
      <c r="AI11" s="794">
        <v>53466.210043981671</v>
      </c>
      <c r="AJ11" s="798">
        <f t="shared" si="0"/>
        <v>123159.54010496697</v>
      </c>
      <c r="AK11" s="25"/>
      <c r="AL11" s="25"/>
      <c r="AM11" s="25"/>
      <c r="AN11" s="25"/>
      <c r="AO11" s="25"/>
      <c r="AP11" s="599"/>
      <c r="AQ11" s="599"/>
      <c r="AR11" s="599"/>
      <c r="AS11" s="599"/>
      <c r="AT11" s="599"/>
      <c r="AU11" s="599"/>
      <c r="AV11" s="599"/>
      <c r="AW11" s="599"/>
      <c r="AX11" s="599"/>
      <c r="AY11" s="599"/>
      <c r="AZ11" s="599"/>
      <c r="BA11" s="599"/>
      <c r="BB11" s="599"/>
      <c r="BC11" s="599"/>
      <c r="BD11" s="599"/>
      <c r="BE11" s="599"/>
      <c r="BF11" s="599"/>
      <c r="BG11" s="599"/>
      <c r="BH11" s="599"/>
      <c r="BI11" s="599"/>
      <c r="BJ11" s="599"/>
      <c r="BK11" s="599"/>
      <c r="BL11" s="599"/>
      <c r="BM11" s="599"/>
      <c r="BN11" s="599"/>
      <c r="BO11" s="599"/>
      <c r="BP11" s="599"/>
      <c r="BQ11" s="599"/>
      <c r="BR11" s="599"/>
      <c r="BS11" s="599"/>
      <c r="BT11" s="599"/>
      <c r="BU11" s="599"/>
      <c r="BV11" s="599"/>
      <c r="BW11" s="599"/>
      <c r="BX11" s="599"/>
      <c r="BY11" s="599"/>
      <c r="BZ11" s="599"/>
      <c r="CA11" s="599"/>
      <c r="CB11" s="599"/>
      <c r="CC11" s="599"/>
      <c r="CD11" s="599"/>
      <c r="CE11" s="599"/>
      <c r="CF11" s="599"/>
      <c r="CG11" s="599"/>
      <c r="CH11" s="599"/>
      <c r="CI11" s="599"/>
      <c r="CJ11" s="599"/>
    </row>
    <row r="12" spans="2:88" ht="12" customHeight="1">
      <c r="B12" s="626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733"/>
      <c r="H12" s="733"/>
      <c r="I12" s="733"/>
      <c r="J12" s="448"/>
      <c r="K12" s="448"/>
      <c r="L12" s="734"/>
      <c r="N12" s="807"/>
      <c r="O12" s="800"/>
      <c r="P12" s="811"/>
      <c r="Q12" s="808"/>
      <c r="R12" s="800"/>
      <c r="S12" s="808"/>
      <c r="T12" s="832"/>
      <c r="U12" s="808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732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795">
        <v>251318.93361374349</v>
      </c>
      <c r="AJ12" s="798">
        <f t="shared" si="0"/>
        <v>592375.26452582516</v>
      </c>
      <c r="AK12" s="25"/>
      <c r="AL12" s="25"/>
      <c r="AM12" s="25"/>
      <c r="AN12" s="25"/>
      <c r="AO12" s="25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</row>
    <row r="13" spans="2:88" ht="12" customHeight="1">
      <c r="B13" s="627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737"/>
      <c r="H13" s="737"/>
      <c r="I13" s="737"/>
      <c r="J13" s="293"/>
      <c r="K13" s="293"/>
      <c r="L13" s="738">
        <f>P13</f>
        <v>5.2959994722577555E-3</v>
      </c>
      <c r="N13" s="807"/>
      <c r="O13" s="800"/>
      <c r="P13" s="811">
        <f>AS49*(1+Q53)</f>
        <v>5.2959994722577555E-3</v>
      </c>
      <c r="Q13" s="808">
        <f>P13*G11</f>
        <v>5.0512069359980573E-2</v>
      </c>
      <c r="R13" s="800"/>
      <c r="S13" s="808"/>
      <c r="T13" s="832"/>
      <c r="U13" s="808"/>
      <c r="W13" s="735" t="s">
        <v>276</v>
      </c>
      <c r="X13" s="735" t="str">
        <f>_xlfn.TEXTJOIN(",",TRUE,IF(LEFT(Regions!$C$3,1)&lt;&gt;"*",Regions!$C$3,""),IF(LEFT(Regions!$D$3,1)&lt;&gt;"*",Regions!$D$3,""))</f>
        <v>IE,National</v>
      </c>
      <c r="Y13" s="735" t="str">
        <f>_xlfn.TEXTJOIN("",TRUE,LEFT(SETUP!B$3,1),"-",SETUP!B$85,"_",SETUP!B$37,"_",SETUP!B47)</f>
        <v>R-BLD_Att_F</v>
      </c>
      <c r="Z13" s="735" t="str">
        <f>_xlfn.TEXTJOIN(" ",TRUE,SETUP!C$3,SETUP!C$85,SETUP!C$37,"_",SETUP!B47)</f>
        <v>Residential Building Attached _ F</v>
      </c>
      <c r="AA13" s="736" t="s">
        <v>275</v>
      </c>
      <c r="AB13" s="735" t="s">
        <v>275</v>
      </c>
      <c r="AC13" s="736"/>
      <c r="AD13" s="735"/>
      <c r="AF13" s="210" t="s">
        <v>58</v>
      </c>
      <c r="AG13" s="312">
        <v>43739.341649106158</v>
      </c>
      <c r="AH13" s="312">
        <v>187627.02237661046</v>
      </c>
      <c r="AI13" s="794">
        <v>166667.79141279124</v>
      </c>
      <c r="AJ13" s="798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626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733"/>
      <c r="H14" s="733"/>
      <c r="I14" s="733"/>
      <c r="J14" s="448"/>
      <c r="K14" s="448"/>
      <c r="L14" s="734">
        <f>R14</f>
        <v>7.7940560081568968E-4</v>
      </c>
      <c r="N14" s="807"/>
      <c r="O14" s="800"/>
      <c r="P14" s="811"/>
      <c r="Q14" s="808"/>
      <c r="R14" s="800">
        <f>AT49*(1+S53)</f>
        <v>7.7940560081568968E-4</v>
      </c>
      <c r="S14" s="808">
        <f>R14*G11</f>
        <v>7.4337979023958913E-3</v>
      </c>
      <c r="T14" s="832"/>
      <c r="U14" s="808"/>
      <c r="W14" s="743" t="s">
        <v>276</v>
      </c>
      <c r="X14" s="743" t="str">
        <f>_xlfn.TEXTJOIN(",",TRUE,IF(LEFT(Regions!$C$3,1)&lt;&gt;"*",Regions!$C$3,""),IF(LEFT(Regions!$D$3,1)&lt;&gt;"*",Regions!$D$3,""))</f>
        <v>IE,National</v>
      </c>
      <c r="Y14" s="743" t="str">
        <f>_xlfn.TEXTJOIN("",TRUE,LEFT(SETUP!B$3,1),"-",SETUP!B$85,"_",SETUP!B$37,"_",SETUP!B48)</f>
        <v>R-BLD_Att_G</v>
      </c>
      <c r="Z14" s="743" t="str">
        <f>_xlfn.TEXTJOIN(" ",TRUE,SETUP!C$3,SETUP!C$85,SETUP!C$37,"_",SETUP!B48)</f>
        <v>Residential Building Attached _ G</v>
      </c>
      <c r="AA14" s="743" t="s">
        <v>275</v>
      </c>
      <c r="AB14" s="744" t="s">
        <v>275</v>
      </c>
      <c r="AC14" s="743"/>
      <c r="AD14" s="743"/>
      <c r="AE14" s="25"/>
      <c r="AF14" s="214" t="s">
        <v>60</v>
      </c>
      <c r="AG14" s="314">
        <v>25767.876472761334</v>
      </c>
      <c r="AH14" s="314">
        <v>101418.89596184672</v>
      </c>
      <c r="AI14" s="795">
        <v>81396.697989555512</v>
      </c>
      <c r="AJ14" s="798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628" t="str">
        <f>_xlfn.TEXTJOIN(",",TRUE,IF(LEFT(Regions!$C$3,1)&lt;&gt;"*",Regions!$C$3,""),IF(LEFT(Regions!$D$3,1)&lt;&gt;"*",Regions!$D$3,""))</f>
        <v>IE,National</v>
      </c>
      <c r="C15" s="629"/>
      <c r="D15" s="629"/>
      <c r="E15" s="629" t="str">
        <f>COMM!$O$37</f>
        <v>RSDPF_Att</v>
      </c>
      <c r="F15" s="629"/>
      <c r="G15" s="630"/>
      <c r="H15" s="630"/>
      <c r="I15" s="630"/>
      <c r="J15" s="629"/>
      <c r="K15" s="629"/>
      <c r="L15" s="741">
        <f>T15</f>
        <v>4.2616393393932905E-4</v>
      </c>
      <c r="N15" s="807"/>
      <c r="O15" s="800"/>
      <c r="P15" s="811"/>
      <c r="Q15" s="808"/>
      <c r="R15" s="800"/>
      <c r="S15" s="808"/>
      <c r="T15" s="832">
        <f>AU49*(1+$U$53)</f>
        <v>4.2616393393932905E-4</v>
      </c>
      <c r="U15" s="808">
        <f>T15*G11</f>
        <v>4.0646571629450274E-3</v>
      </c>
      <c r="W15" s="735" t="s">
        <v>276</v>
      </c>
      <c r="X15" s="735" t="str">
        <f>_xlfn.TEXTJOIN(",",TRUE,IF(LEFT(Regions!$C$3,1)&lt;&gt;"*",Regions!$C$3,""),IF(LEFT(Regions!$D$3,1)&lt;&gt;"*",Regions!$D$3,""))</f>
        <v>IE,National</v>
      </c>
      <c r="Y15" s="735" t="str">
        <f>_xlfn.TEXTJOIN("",TRUE,LEFT(SETUP!B$3,1),"-",SETUP!B$85,"_",SETUP!B$36,"_",SETUP!B40)</f>
        <v>R-BLD_Apt_A</v>
      </c>
      <c r="Z15" s="735" t="str">
        <f>_xlfn.TEXTJOIN(" ",TRUE,SETUP!C$3,SETUP!C$85,SETUP!C$36,"_",SETUP!B40)</f>
        <v>Residential Building Apartment _ A</v>
      </c>
      <c r="AA15" s="736" t="s">
        <v>275</v>
      </c>
      <c r="AB15" s="735" t="s">
        <v>275</v>
      </c>
      <c r="AC15" s="736"/>
      <c r="AD15" s="735"/>
      <c r="AE15" s="25"/>
      <c r="AF15" s="210" t="s">
        <v>62</v>
      </c>
      <c r="AG15" s="312">
        <v>12331.173226884033</v>
      </c>
      <c r="AH15" s="312">
        <v>50123.806027321167</v>
      </c>
      <c r="AI15" s="794">
        <v>43241.005762967114</v>
      </c>
      <c r="AJ15" s="798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621" t="str">
        <f>_xlfn.TEXTJOIN(",",TRUE,IF(LEFT(Regions!$C$3,1)&lt;&gt;"*",Regions!$C$3,""),IF(LEFT(Regions!$D$3,1)&lt;&gt;"*",Regions!$D$3,""))</f>
        <v>IE,National</v>
      </c>
      <c r="C16" s="622" t="str">
        <f>Y8</f>
        <v>R-BLD_Att_B2</v>
      </c>
      <c r="D16" s="623" t="str">
        <f>Z8</f>
        <v>Residential Building Attached _ B2</v>
      </c>
      <c r="E16" s="623" t="str">
        <f>COMM!$O$10</f>
        <v>RSDSH_Att-AB</v>
      </c>
      <c r="F16" s="623" t="str">
        <f>COMM!$O$7</f>
        <v>RSD_Att</v>
      </c>
      <c r="G16" s="625">
        <f>AH10/1000</f>
        <v>17.54509295382088</v>
      </c>
      <c r="H16" s="625">
        <f>G16*$AH$26</f>
        <v>14.62032595841894</v>
      </c>
      <c r="I16" s="625">
        <v>1</v>
      </c>
      <c r="J16" s="623">
        <v>100</v>
      </c>
      <c r="K16" s="623">
        <v>1</v>
      </c>
      <c r="L16" s="731">
        <f>N16</f>
        <v>2.0328430457162861E-2</v>
      </c>
      <c r="N16" s="825">
        <f>AR50*DwellingStocks!P20*(1+O53)</f>
        <v>2.0328430457162861E-2</v>
      </c>
      <c r="O16" s="826">
        <f>N16*G16</f>
        <v>0.35666420197620591</v>
      </c>
      <c r="P16" s="827"/>
      <c r="Q16" s="828"/>
      <c r="R16" s="826"/>
      <c r="S16" s="828"/>
      <c r="T16" s="833"/>
      <c r="U16" s="828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732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796">
        <v>78435.533443104825</v>
      </c>
      <c r="AJ16" s="798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626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733"/>
      <c r="H17" s="733"/>
      <c r="I17" s="733"/>
      <c r="J17" s="448"/>
      <c r="K17" s="448"/>
      <c r="L17" s="734"/>
      <c r="N17" s="807"/>
      <c r="O17" s="800"/>
      <c r="P17" s="811"/>
      <c r="Q17" s="808"/>
      <c r="R17" s="800"/>
      <c r="S17" s="808"/>
      <c r="T17" s="832"/>
      <c r="U17" s="808"/>
      <c r="W17" s="735" t="s">
        <v>276</v>
      </c>
      <c r="X17" s="735" t="str">
        <f>_xlfn.TEXTJOIN(",",TRUE,IF(LEFT(Regions!$C$3,1)&lt;&gt;"*",Regions!$C$3,""),IF(LEFT(Regions!$D$3,1)&lt;&gt;"*",Regions!$D$3,""))</f>
        <v>IE,National</v>
      </c>
      <c r="Y17" s="735" t="str">
        <f>_xlfn.TEXTJOIN("",TRUE,LEFT(SETUP!B$3,1),"-",SETUP!B$85,"_",SETUP!B$36,"_",SETUP!B42)</f>
        <v>R-BLD_Apt_B2</v>
      </c>
      <c r="Z17" s="735" t="str">
        <f>_xlfn.TEXTJOIN(" ",TRUE,SETUP!C$3,SETUP!C$85,SETUP!C$36,"_",SETUP!B42)</f>
        <v>Residential Building Apartment _ B2</v>
      </c>
      <c r="AA17" s="736" t="s">
        <v>275</v>
      </c>
      <c r="AB17" s="735" t="s">
        <v>275</v>
      </c>
      <c r="AC17" s="736"/>
      <c r="AD17" s="735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797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627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737"/>
      <c r="H18" s="737"/>
      <c r="I18" s="737"/>
      <c r="J18" s="293"/>
      <c r="K18" s="293"/>
      <c r="L18" s="738">
        <f>P18</f>
        <v>7.8456317634966466E-3</v>
      </c>
      <c r="N18" s="807"/>
      <c r="O18" s="800"/>
      <c r="P18" s="811">
        <f>AS50*(1+Q53)</f>
        <v>7.8456317634966466E-3</v>
      </c>
      <c r="Q18" s="808">
        <f>P18*G16</f>
        <v>0.1376523385719983</v>
      </c>
      <c r="R18" s="800"/>
      <c r="S18" s="808"/>
      <c r="T18" s="832"/>
      <c r="U18" s="808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732" t="s">
        <v>275</v>
      </c>
      <c r="AC18" s="379"/>
      <c r="AD18" s="379"/>
      <c r="AE18" s="25"/>
      <c r="AF18" s="747" t="s">
        <v>896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626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733"/>
      <c r="H19" s="733"/>
      <c r="I19" s="733"/>
      <c r="J19" s="448"/>
      <c r="K19" s="448"/>
      <c r="L19" s="734">
        <f>R19</f>
        <v>9.3488148228942762E-4</v>
      </c>
      <c r="N19" s="807"/>
      <c r="O19" s="800"/>
      <c r="P19" s="811"/>
      <c r="Q19" s="808"/>
      <c r="R19" s="800">
        <f>AT50*(1+S53)</f>
        <v>9.3488148228942762E-4</v>
      </c>
      <c r="S19" s="808">
        <f>R19*G16</f>
        <v>1.6402582507573857E-2</v>
      </c>
      <c r="T19" s="832"/>
      <c r="U19" s="808"/>
      <c r="W19" s="735" t="s">
        <v>276</v>
      </c>
      <c r="X19" s="735" t="str">
        <f>_xlfn.TEXTJOIN(",",TRUE,IF(LEFT(Regions!$C$3,1)&lt;&gt;"*",Regions!$C$3,""),IF(LEFT(Regions!$D$3,1)&lt;&gt;"*",Regions!$D$3,""))</f>
        <v>IE,National</v>
      </c>
      <c r="Y19" s="735" t="str">
        <f>_xlfn.TEXTJOIN("",TRUE,LEFT(SETUP!B$3,1),"-",SETUP!B$85,"_",SETUP!B$36,"_",SETUP!B44)</f>
        <v>R-BLD_Apt_C</v>
      </c>
      <c r="Z19" s="735" t="str">
        <f>_xlfn.TEXTJOIN(" ",TRUE,SETUP!C$3,SETUP!C$85,SETUP!C$36,"_",SETUP!B44)</f>
        <v>Residential Building Apartment _ C</v>
      </c>
      <c r="AA19" s="736" t="s">
        <v>275</v>
      </c>
      <c r="AB19" s="735" t="s">
        <v>275</v>
      </c>
      <c r="AC19" s="736"/>
      <c r="AD19" s="735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628" t="str">
        <f>_xlfn.TEXTJOIN(",",TRUE,IF(LEFT(Regions!$C$3,1)&lt;&gt;"*",Regions!$C$3,""),IF(LEFT(Regions!$D$3,1)&lt;&gt;"*",Regions!$D$3,""))</f>
        <v>IE,National</v>
      </c>
      <c r="C20" s="629"/>
      <c r="D20" s="629"/>
      <c r="E20" s="629" t="str">
        <f>COMM!$O$37</f>
        <v>RSDPF_Att</v>
      </c>
      <c r="F20" s="629"/>
      <c r="G20" s="630"/>
      <c r="H20" s="630"/>
      <c r="I20" s="630"/>
      <c r="J20" s="629"/>
      <c r="K20" s="629"/>
      <c r="L20" s="741">
        <f>T20</f>
        <v>4.0670311858187171E-4</v>
      </c>
      <c r="N20" s="829"/>
      <c r="O20" s="809"/>
      <c r="P20" s="830"/>
      <c r="Q20" s="810"/>
      <c r="R20" s="809"/>
      <c r="S20" s="810"/>
      <c r="T20" s="831">
        <f>AU50*(1+$U$53)</f>
        <v>4.0670311858187171E-4</v>
      </c>
      <c r="U20" s="810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732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621" t="str">
        <f>_xlfn.TEXTJOIN(",",TRUE,IF(LEFT(Regions!$C$3,1)&lt;&gt;"*",Regions!$C$3,""),IF(LEFT(Regions!$D$3,1)&lt;&gt;"*",Regions!$D$3,""))</f>
        <v>IE,National</v>
      </c>
      <c r="C21" s="622" t="str">
        <f>Y9</f>
        <v>R-BLD_Att_B3</v>
      </c>
      <c r="D21" s="623" t="str">
        <f>Z9</f>
        <v>Residential Building Attached _ B3</v>
      </c>
      <c r="E21" s="623" t="str">
        <f>COMM!$O$10</f>
        <v>RSDSH_Att-AB</v>
      </c>
      <c r="F21" s="623" t="str">
        <f>COMM!$O$7</f>
        <v>RSD_Att</v>
      </c>
      <c r="G21" s="625">
        <f>AH11/1000</f>
        <v>49.768849685929474</v>
      </c>
      <c r="H21" s="625">
        <f>G21*$AH$26</f>
        <v>41.472382443285035</v>
      </c>
      <c r="I21" s="625">
        <v>1</v>
      </c>
      <c r="J21" s="623">
        <v>100</v>
      </c>
      <c r="K21" s="623">
        <v>1</v>
      </c>
      <c r="L21" s="731">
        <f>N21</f>
        <v>2.4317446066434045E-2</v>
      </c>
      <c r="N21" s="807">
        <f>AR51*DwellingStocks!P21*(1+O53)</f>
        <v>2.4317446066434045E-2</v>
      </c>
      <c r="O21" s="800">
        <f>N21*G21</f>
        <v>1.210251318026053</v>
      </c>
      <c r="P21" s="811"/>
      <c r="Q21" s="808"/>
      <c r="R21" s="800"/>
      <c r="S21" s="808"/>
      <c r="T21" s="832"/>
      <c r="U21" s="808"/>
      <c r="W21" s="735" t="s">
        <v>276</v>
      </c>
      <c r="X21" s="735" t="str">
        <f>_xlfn.TEXTJOIN(",",TRUE,IF(LEFT(Regions!$C$3,1)&lt;&gt;"*",Regions!$C$3,""),IF(LEFT(Regions!$D$3,1)&lt;&gt;"*",Regions!$D$3,""))</f>
        <v>IE,National</v>
      </c>
      <c r="Y21" s="735" t="str">
        <f>_xlfn.TEXTJOIN("",TRUE,LEFT(SETUP!B$3,1),"-",SETUP!B$85,"_",SETUP!B$36,"_",SETUP!B46)</f>
        <v>R-BLD_Apt_E</v>
      </c>
      <c r="Z21" s="735" t="str">
        <f>_xlfn.TEXTJOIN(" ",TRUE,SETUP!C$3,SETUP!C$85,SETUP!C$36,"_",SETUP!B46)</f>
        <v>Residential Building Apartment _ E</v>
      </c>
      <c r="AA21" s="736" t="s">
        <v>275</v>
      </c>
      <c r="AB21" s="735" t="s">
        <v>275</v>
      </c>
      <c r="AC21" s="736"/>
      <c r="AD21" s="735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626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733"/>
      <c r="H22" s="733"/>
      <c r="I22" s="733"/>
      <c r="J22" s="448"/>
      <c r="K22" s="448"/>
      <c r="L22" s="734"/>
      <c r="N22" s="807"/>
      <c r="O22" s="800"/>
      <c r="P22" s="811"/>
      <c r="Q22" s="808"/>
      <c r="R22" s="800"/>
      <c r="S22" s="808"/>
      <c r="T22" s="832"/>
      <c r="U22" s="808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732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627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737"/>
      <c r="H23" s="737"/>
      <c r="I23" s="737"/>
      <c r="J23" s="293"/>
      <c r="K23" s="293"/>
      <c r="L23" s="738">
        <f>P23</f>
        <v>8.7381919789022919E-3</v>
      </c>
      <c r="N23" s="807"/>
      <c r="O23" s="800"/>
      <c r="P23" s="811">
        <f>AS51*(1+Q53)</f>
        <v>8.7381919789022919E-3</v>
      </c>
      <c r="Q23" s="808">
        <f>P23*G21</f>
        <v>0.43488976312478278</v>
      </c>
      <c r="R23" s="800"/>
      <c r="S23" s="808"/>
      <c r="T23" s="832"/>
      <c r="U23" s="808"/>
      <c r="W23" s="748" t="s">
        <v>276</v>
      </c>
      <c r="X23" s="748" t="str">
        <f>_xlfn.TEXTJOIN(",",TRUE,IF(LEFT(Regions!$C$3,1)&lt;&gt;"*",Regions!$C$3,""),IF(LEFT(Regions!$D$3,1)&lt;&gt;"*",Regions!$D$3,""))</f>
        <v>IE,National</v>
      </c>
      <c r="Y23" s="748" t="str">
        <f>_xlfn.TEXTJOIN("",TRUE,LEFT(SETUP!B$3,1),"-",SETUP!B$85,"_",SETUP!B$36,"_",SETUP!B48)</f>
        <v>R-BLD_Apt_G</v>
      </c>
      <c r="Z23" s="748" t="str">
        <f>_xlfn.TEXTJOIN(" ",TRUE,SETUP!C$3,SETUP!C$85,SETUP!C$36,"_",SETUP!B48)</f>
        <v>Residential Building Apartment _ G</v>
      </c>
      <c r="AA23" s="749" t="s">
        <v>275</v>
      </c>
      <c r="AB23" s="748" t="s">
        <v>275</v>
      </c>
      <c r="AC23" s="749"/>
      <c r="AD23" s="748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626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733"/>
      <c r="H24" s="733"/>
      <c r="I24" s="733"/>
      <c r="J24" s="448"/>
      <c r="K24" s="448"/>
      <c r="L24" s="734">
        <f>R24</f>
        <v>9.5937840089950586E-4</v>
      </c>
      <c r="N24" s="807"/>
      <c r="O24" s="800"/>
      <c r="P24" s="811"/>
      <c r="Q24" s="808"/>
      <c r="R24" s="800">
        <f>AT51*(1+S53)</f>
        <v>9.5937840089950586E-4</v>
      </c>
      <c r="S24" s="808">
        <f>R24*G21</f>
        <v>4.7747159426294893E-2</v>
      </c>
      <c r="T24" s="832"/>
      <c r="U24" s="808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732" t="s">
        <v>275</v>
      </c>
      <c r="AC24" s="379"/>
      <c r="AD24" s="379"/>
      <c r="AE24" s="25"/>
      <c r="AF24" s="1121" t="s">
        <v>897</v>
      </c>
      <c r="AG24" s="1122"/>
      <c r="AH24" s="1122"/>
      <c r="AI24" s="1122"/>
      <c r="AJ24" s="1123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628" t="str">
        <f>_xlfn.TEXTJOIN(",",TRUE,IF(LEFT(Regions!$C$3,1)&lt;&gt;"*",Regions!$C$3,""),IF(LEFT(Regions!$D$3,1)&lt;&gt;"*",Regions!$D$3,""))</f>
        <v>IE,National</v>
      </c>
      <c r="C25" s="629"/>
      <c r="D25" s="629"/>
      <c r="E25" s="629" t="str">
        <f>COMM!$O$37</f>
        <v>RSDPF_Att</v>
      </c>
      <c r="F25" s="629"/>
      <c r="G25" s="630"/>
      <c r="H25" s="630"/>
      <c r="I25" s="630"/>
      <c r="J25" s="629"/>
      <c r="K25" s="629"/>
      <c r="L25" s="741">
        <f>T25</f>
        <v>3.9745734872240234E-4</v>
      </c>
      <c r="N25" s="807"/>
      <c r="O25" s="800"/>
      <c r="P25" s="811"/>
      <c r="Q25" s="808"/>
      <c r="R25" s="800"/>
      <c r="S25" s="808"/>
      <c r="T25" s="832">
        <f>AU51*(1+$U$53)</f>
        <v>3.9745734872240234E-4</v>
      </c>
      <c r="U25" s="808">
        <f>T25*G21</f>
        <v>1.9780995045133296E-2</v>
      </c>
      <c r="W25" s="735" t="s">
        <v>276</v>
      </c>
      <c r="X25" s="735" t="str">
        <f>_xlfn.TEXTJOIN(",",TRUE,IF(LEFT(Regions!$C$3,1)&lt;&gt;"*",Regions!$C$3,""),IF(LEFT(Regions!$D$3,1)&lt;&gt;"*",Regions!$D$3,""))</f>
        <v>IE,National</v>
      </c>
      <c r="Y25" s="735" t="str">
        <f>_xlfn.TEXTJOIN("",TRUE,LEFT(SETUP!B$3,1),"-",SETUP!B$85,"_",SETUP!B$38,"_",SETUP!B41)</f>
        <v>R-BLD_Det_B1</v>
      </c>
      <c r="Z25" s="735" t="str">
        <f>_xlfn.TEXTJOIN(" ",TRUE,SETUP!C$3,SETUP!C$85,SETUP!C$38,"_",SETUP!B41)</f>
        <v>Residential Building Detached _ B1</v>
      </c>
      <c r="AA25" s="736" t="s">
        <v>275</v>
      </c>
      <c r="AB25" s="735" t="s">
        <v>275</v>
      </c>
      <c r="AC25" s="736"/>
      <c r="AD25" s="735"/>
      <c r="AE25" s="25"/>
      <c r="AF25" s="1124" t="s">
        <v>898</v>
      </c>
      <c r="AG25" s="1125"/>
      <c r="AH25" s="1124" t="s">
        <v>899</v>
      </c>
      <c r="AI25" s="1125"/>
      <c r="AJ25" s="1126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621" t="str">
        <f>_xlfn.TEXTJOIN(",",TRUE,IF(LEFT(Regions!$C$3,1)&lt;&gt;"*",Regions!$C$3,""),IF(LEFT(Regions!$D$3,1)&lt;&gt;"*",Regions!$D$3,""))</f>
        <v>IE,National</v>
      </c>
      <c r="C26" s="622" t="str">
        <f>Y10</f>
        <v>R-BLD_Att_C</v>
      </c>
      <c r="D26" s="623" t="str">
        <f>Z10</f>
        <v>Residential Building Attached _ C</v>
      </c>
      <c r="E26" s="623" t="str">
        <f>COMM!$O$13</f>
        <v>RSDSH_Att-C</v>
      </c>
      <c r="F26" s="623" t="str">
        <f>COMM!$O$7</f>
        <v>RSD_Att</v>
      </c>
      <c r="G26" s="625">
        <f>AH12/1000</f>
        <v>282.15152747564798</v>
      </c>
      <c r="H26" s="625">
        <f>G26*$AH$26</f>
        <v>235.11686784545748</v>
      </c>
      <c r="I26" s="625">
        <v>1</v>
      </c>
      <c r="J26" s="623">
        <v>100</v>
      </c>
      <c r="K26" s="623">
        <v>1</v>
      </c>
      <c r="L26" s="731">
        <f>N26</f>
        <v>2.0696518720334969E-2</v>
      </c>
      <c r="N26" s="825">
        <f>AR52*DwellingStocks!P22*(1+O53)</f>
        <v>2.0696518720334969E-2</v>
      </c>
      <c r="O26" s="826">
        <f>N26*G26</f>
        <v>5.8395543703708546</v>
      </c>
      <c r="P26" s="827"/>
      <c r="Q26" s="828"/>
      <c r="R26" s="826"/>
      <c r="S26" s="828"/>
      <c r="T26" s="833"/>
      <c r="U26" s="828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732" t="s">
        <v>275</v>
      </c>
      <c r="AC26" s="379"/>
      <c r="AD26" s="379"/>
      <c r="AF26" s="1127">
        <v>3.5000000000000001E-3</v>
      </c>
      <c r="AG26" s="1128"/>
      <c r="AH26" s="1127">
        <v>0.83330000000000004</v>
      </c>
      <c r="AI26" s="1129"/>
      <c r="AJ26" s="1130"/>
    </row>
    <row r="27" spans="2:88">
      <c r="B27" s="626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733"/>
      <c r="H27" s="733"/>
      <c r="I27" s="733"/>
      <c r="J27" s="448"/>
      <c r="K27" s="448"/>
      <c r="L27" s="734"/>
      <c r="N27" s="807"/>
      <c r="O27" s="800"/>
      <c r="P27" s="811"/>
      <c r="Q27" s="808"/>
      <c r="R27" s="800"/>
      <c r="S27" s="808"/>
      <c r="T27" s="832"/>
      <c r="U27" s="808"/>
      <c r="W27" s="735" t="s">
        <v>276</v>
      </c>
      <c r="X27" s="735" t="str">
        <f>_xlfn.TEXTJOIN(",",TRUE,IF(LEFT(Regions!$C$3,1)&lt;&gt;"*",Regions!$C$3,""),IF(LEFT(Regions!$D$3,1)&lt;&gt;"*",Regions!$D$3,""))</f>
        <v>IE,National</v>
      </c>
      <c r="Y27" s="735" t="str">
        <f>_xlfn.TEXTJOIN("",TRUE,LEFT(SETUP!B$3,1),"-",SETUP!B$85,"_",SETUP!B$38,"_",SETUP!B43)</f>
        <v>R-BLD_Det_B3</v>
      </c>
      <c r="Z27" s="735" t="str">
        <f>_xlfn.TEXTJOIN(" ",TRUE,SETUP!C$3,SETUP!C$85,SETUP!C$38,"_",SETUP!B43)</f>
        <v>Residential Building Detached _ B3</v>
      </c>
      <c r="AA27" s="736" t="s">
        <v>275</v>
      </c>
      <c r="AB27" s="735" t="s">
        <v>275</v>
      </c>
      <c r="AC27" s="736"/>
      <c r="AD27" s="735"/>
    </row>
    <row r="28" spans="2:88">
      <c r="B28" s="627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737"/>
      <c r="H28" s="737"/>
      <c r="I28" s="737"/>
      <c r="J28" s="293"/>
      <c r="K28" s="293"/>
      <c r="L28" s="738">
        <f>P28</f>
        <v>9.8139877211277943E-3</v>
      </c>
      <c r="N28" s="807"/>
      <c r="O28" s="800"/>
      <c r="P28" s="811">
        <f>AS52*(1+Q53)</f>
        <v>9.8139877211277943E-3</v>
      </c>
      <c r="Q28" s="808">
        <f>P28*G26</f>
        <v>2.7690316261434607</v>
      </c>
      <c r="R28" s="800"/>
      <c r="S28" s="808"/>
      <c r="T28" s="832"/>
      <c r="U28" s="808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732" t="s">
        <v>275</v>
      </c>
      <c r="AC28" s="379"/>
      <c r="AD28" s="379"/>
    </row>
    <row r="29" spans="2:88">
      <c r="B29" s="626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733"/>
      <c r="H29" s="733"/>
      <c r="I29" s="733"/>
      <c r="J29" s="448"/>
      <c r="K29" s="448"/>
      <c r="L29" s="734">
        <f>R29</f>
        <v>9.4983104774723146E-4</v>
      </c>
      <c r="N29" s="807"/>
      <c r="O29" s="800"/>
      <c r="P29" s="811"/>
      <c r="Q29" s="808"/>
      <c r="R29" s="800">
        <f>AT52*(1+S53)</f>
        <v>9.4983104774723146E-4</v>
      </c>
      <c r="S29" s="808">
        <f>R29*G26</f>
        <v>0.26799628096567646</v>
      </c>
      <c r="T29" s="832"/>
      <c r="U29" s="808"/>
      <c r="W29" s="735" t="s">
        <v>276</v>
      </c>
      <c r="X29" s="735" t="str">
        <f>_xlfn.TEXTJOIN(",",TRUE,IF(LEFT(Regions!$C$3,1)&lt;&gt;"*",Regions!$C$3,""),IF(LEFT(Regions!$D$3,1)&lt;&gt;"*",Regions!$D$3,""))</f>
        <v>IE,National</v>
      </c>
      <c r="Y29" s="735" t="str">
        <f>_xlfn.TEXTJOIN("",TRUE,LEFT(SETUP!B$3,1),"-",SETUP!B$85,"_",SETUP!B$38,"_",SETUP!B45)</f>
        <v>R-BLD_Det_D</v>
      </c>
      <c r="Z29" s="735" t="str">
        <f>_xlfn.TEXTJOIN(" ",TRUE,SETUP!C$3,SETUP!C$85,SETUP!C$38,"_",SETUP!B45)</f>
        <v>Residential Building Detached _ D</v>
      </c>
      <c r="AA29" s="736" t="s">
        <v>275</v>
      </c>
      <c r="AB29" s="735" t="s">
        <v>275</v>
      </c>
      <c r="AC29" s="736"/>
      <c r="AD29" s="735"/>
    </row>
    <row r="30" spans="2:88" ht="13.5" thickBot="1">
      <c r="B30" s="628" t="str">
        <f>_xlfn.TEXTJOIN(",",TRUE,IF(LEFT(Regions!$C$3,1)&lt;&gt;"*",Regions!$C$3,""),IF(LEFT(Regions!$D$3,1)&lt;&gt;"*",Regions!$D$3,""))</f>
        <v>IE,National</v>
      </c>
      <c r="C30" s="629"/>
      <c r="D30" s="629"/>
      <c r="E30" s="629" t="str">
        <f>COMM!$O$37</f>
        <v>RSDPF_Att</v>
      </c>
      <c r="F30" s="629"/>
      <c r="G30" s="630"/>
      <c r="H30" s="630"/>
      <c r="I30" s="630"/>
      <c r="J30" s="629"/>
      <c r="K30" s="629"/>
      <c r="L30" s="741">
        <f>T30</f>
        <v>3.9487301870630437E-4</v>
      </c>
      <c r="N30" s="829"/>
      <c r="O30" s="809"/>
      <c r="P30" s="830"/>
      <c r="Q30" s="810"/>
      <c r="R30" s="809"/>
      <c r="S30" s="810"/>
      <c r="T30" s="831">
        <f>AU52*(1+$U$53)</f>
        <v>3.9487301870630437E-4</v>
      </c>
      <c r="U30" s="810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732" t="s">
        <v>275</v>
      </c>
      <c r="AC30" s="379"/>
      <c r="AD30" s="379"/>
    </row>
    <row r="31" spans="2:88">
      <c r="B31" s="621" t="str">
        <f>_xlfn.TEXTJOIN(",",TRUE,IF(LEFT(Regions!$C$3,1)&lt;&gt;"*",Regions!$C$3,""),IF(LEFT(Regions!$D$3,1)&lt;&gt;"*",Regions!$D$3,""))</f>
        <v>IE,National</v>
      </c>
      <c r="C31" s="622" t="str">
        <f>Y11</f>
        <v>R-BLD_Att_D</v>
      </c>
      <c r="D31" s="623" t="str">
        <f>Z11</f>
        <v>Residential Building Attached _ D</v>
      </c>
      <c r="E31" s="623" t="str">
        <f>COMM!$O$16</f>
        <v>RSDSH_Att-D</v>
      </c>
      <c r="F31" s="623" t="str">
        <f>COMM!$O$7</f>
        <v>RSD_Att</v>
      </c>
      <c r="G31" s="625">
        <f>AH13/1000</f>
        <v>187.62702237661046</v>
      </c>
      <c r="H31" s="625">
        <f>G31*$AH$26</f>
        <v>156.34959774642951</v>
      </c>
      <c r="I31" s="625">
        <v>1</v>
      </c>
      <c r="J31" s="623">
        <v>100</v>
      </c>
      <c r="K31" s="623">
        <v>1</v>
      </c>
      <c r="L31" s="731">
        <f>N31</f>
        <v>2.9521518119855227E-2</v>
      </c>
      <c r="N31" s="807">
        <f>AR53*DwellingStocks!P23*(1+O53)</f>
        <v>2.9521518119855227E-2</v>
      </c>
      <c r="O31" s="800">
        <f>N31*G31</f>
        <v>5.5390345408655879</v>
      </c>
      <c r="P31" s="811"/>
      <c r="Q31" s="808"/>
      <c r="R31" s="800"/>
      <c r="S31" s="808"/>
      <c r="T31" s="832"/>
      <c r="U31" s="808"/>
      <c r="W31" s="735" t="s">
        <v>276</v>
      </c>
      <c r="X31" s="735" t="str">
        <f>_xlfn.TEXTJOIN(",",TRUE,IF(LEFT(Regions!$C$3,1)&lt;&gt;"*",Regions!$C$3,""),IF(LEFT(Regions!$D$3,1)&lt;&gt;"*",Regions!$D$3,""))</f>
        <v>IE,National</v>
      </c>
      <c r="Y31" s="735" t="str">
        <f>_xlfn.TEXTJOIN("",TRUE,LEFT(SETUP!B$3,1),"-",SETUP!B$85,"_",SETUP!B$38,"_",SETUP!B47)</f>
        <v>R-BLD_Det_F</v>
      </c>
      <c r="Z31" s="735" t="str">
        <f>_xlfn.TEXTJOIN(" ",TRUE,SETUP!C$3,SETUP!C$85,SETUP!C$38,"_",SETUP!B47)</f>
        <v>Residential Building Detached _ F</v>
      </c>
      <c r="AA31" s="736" t="s">
        <v>275</v>
      </c>
      <c r="AB31" s="735" t="s">
        <v>275</v>
      </c>
      <c r="AC31" s="736"/>
      <c r="AD31" s="735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900</v>
      </c>
      <c r="AT31" s="58" t="s">
        <v>221</v>
      </c>
      <c r="AU31" t="s">
        <v>901</v>
      </c>
      <c r="AV31" t="s">
        <v>902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626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733"/>
      <c r="H32" s="733"/>
      <c r="I32" s="733"/>
      <c r="J32" s="448"/>
      <c r="K32" s="448"/>
      <c r="L32" s="734"/>
      <c r="N32" s="807"/>
      <c r="O32" s="800"/>
      <c r="P32" s="811"/>
      <c r="Q32" s="808"/>
      <c r="R32" s="800"/>
      <c r="S32" s="808"/>
      <c r="T32" s="832"/>
      <c r="U32" s="808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732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903</v>
      </c>
      <c r="AJ32" t="s">
        <v>904</v>
      </c>
      <c r="AK32" t="s">
        <v>905</v>
      </c>
      <c r="AL32" s="58" t="s">
        <v>417</v>
      </c>
      <c r="AM32" s="58" t="s">
        <v>901</v>
      </c>
      <c r="AN32" t="s">
        <v>906</v>
      </c>
      <c r="AO32" t="s">
        <v>907</v>
      </c>
      <c r="AP32" t="s">
        <v>218</v>
      </c>
      <c r="AR32" t="s">
        <v>908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627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737"/>
      <c r="H33" s="737"/>
      <c r="I33" s="737"/>
      <c r="J33" s="293"/>
      <c r="K33" s="293"/>
      <c r="L33" s="738">
        <f>P33</f>
        <v>1.0415362640149816E-2</v>
      </c>
      <c r="N33" s="807"/>
      <c r="O33" s="800"/>
      <c r="P33" s="811">
        <f>AS53*(1+Q53)</f>
        <v>1.0415362640149816E-2</v>
      </c>
      <c r="Q33" s="808">
        <f>P33*G31</f>
        <v>1.954203479143902</v>
      </c>
      <c r="R33" s="800"/>
      <c r="S33" s="808"/>
      <c r="T33" s="832"/>
      <c r="U33" s="808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739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626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733"/>
      <c r="H34" s="733"/>
      <c r="I34" s="733"/>
      <c r="J34" s="448"/>
      <c r="K34" s="448"/>
      <c r="L34" s="734">
        <f>R34</f>
        <v>9.2710745268607129E-4</v>
      </c>
      <c r="N34" s="807"/>
      <c r="O34" s="800"/>
      <c r="P34" s="811"/>
      <c r="Q34" s="808"/>
      <c r="R34" s="800">
        <f>AT53*(1+S53)</f>
        <v>9.2710745268607129E-4</v>
      </c>
      <c r="S34" s="808">
        <f>R34*G31</f>
        <v>0.17395041077065182</v>
      </c>
      <c r="T34" s="832"/>
      <c r="U34" s="808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740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628" t="str">
        <f>_xlfn.TEXTJOIN(",",TRUE,IF(LEFT(Regions!$C$3,1)&lt;&gt;"*",Regions!$C$3,""),IF(LEFT(Regions!$D$3,1)&lt;&gt;"*",Regions!$D$3,""))</f>
        <v>IE,National</v>
      </c>
      <c r="C35" s="629"/>
      <c r="D35" s="629"/>
      <c r="E35" s="629" t="str">
        <f>COMM!$O$37</f>
        <v>RSDPF_Att</v>
      </c>
      <c r="F35" s="629"/>
      <c r="G35" s="630"/>
      <c r="H35" s="630"/>
      <c r="I35" s="630"/>
      <c r="J35" s="629"/>
      <c r="K35" s="629"/>
      <c r="L35" s="741">
        <f>T35</f>
        <v>3.68293949598222E-4</v>
      </c>
      <c r="N35" s="807"/>
      <c r="O35" s="800"/>
      <c r="P35" s="811"/>
      <c r="Q35" s="808"/>
      <c r="R35" s="800"/>
      <c r="S35" s="808"/>
      <c r="T35" s="832">
        <f>AU53*(1+$U$53)</f>
        <v>3.68293949598222E-4</v>
      </c>
      <c r="U35" s="808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742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621" t="str">
        <f>_xlfn.TEXTJOIN(",",TRUE,IF(LEFT(Regions!$C$3,1)&lt;&gt;"*",Regions!$C$3,""),IF(LEFT(Regions!$D$3,1)&lt;&gt;"*",Regions!$D$3,""))</f>
        <v>IE,National</v>
      </c>
      <c r="C36" s="622" t="str">
        <f>Y12</f>
        <v>R-BLD_Att_E</v>
      </c>
      <c r="D36" s="623" t="str">
        <f>Z12</f>
        <v>Residential Building Attached _ E</v>
      </c>
      <c r="E36" s="623" t="str">
        <f>COMM!$O$19</f>
        <v>RSDSH_Att-E</v>
      </c>
      <c r="F36" s="623" t="str">
        <f>COMM!$O$7</f>
        <v>RSD_Att</v>
      </c>
      <c r="G36" s="625">
        <f>AH14/1000</f>
        <v>101.41889596184672</v>
      </c>
      <c r="H36" s="625">
        <f>G36*$AH$26</f>
        <v>84.512366005006868</v>
      </c>
      <c r="I36" s="625">
        <v>1</v>
      </c>
      <c r="J36" s="623">
        <v>100</v>
      </c>
      <c r="K36" s="623">
        <v>1</v>
      </c>
      <c r="L36" s="731">
        <f>N36</f>
        <v>4.0253356197756204E-2</v>
      </c>
      <c r="N36" s="825">
        <f>AR54*DwellingStocks!P24*(1+O53)</f>
        <v>4.0253356197756204E-2</v>
      </c>
      <c r="O36" s="826">
        <f>N36*G36</f>
        <v>4.0824509443353945</v>
      </c>
      <c r="P36" s="827"/>
      <c r="Q36" s="828"/>
      <c r="R36" s="826"/>
      <c r="S36" s="828"/>
      <c r="T36" s="833"/>
      <c r="U36" s="828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740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626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733"/>
      <c r="H37" s="733"/>
      <c r="I37" s="733"/>
      <c r="J37" s="448"/>
      <c r="K37" s="448"/>
      <c r="L37" s="734"/>
      <c r="N37" s="807"/>
      <c r="O37" s="800"/>
      <c r="P37" s="811"/>
      <c r="Q37" s="808"/>
      <c r="R37" s="800"/>
      <c r="S37" s="808"/>
      <c r="T37" s="832"/>
      <c r="U37" s="808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742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627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737"/>
      <c r="H38" s="737"/>
      <c r="I38" s="737"/>
      <c r="J38" s="293"/>
      <c r="K38" s="293"/>
      <c r="L38" s="738">
        <f>P38</f>
        <v>1.0862420705216563E-2</v>
      </c>
      <c r="N38" s="807"/>
      <c r="O38" s="800"/>
      <c r="P38" s="811">
        <f>AS54*(1+Q53)</f>
        <v>1.0862420705216563E-2</v>
      </c>
      <c r="Q38" s="808">
        <f>P38*G36</f>
        <v>1.1016547153961682</v>
      </c>
      <c r="R38" s="800"/>
      <c r="S38" s="808"/>
      <c r="T38" s="832"/>
      <c r="U38" s="808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740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626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733"/>
      <c r="H39" s="733"/>
      <c r="I39" s="733"/>
      <c r="J39" s="448"/>
      <c r="K39" s="448"/>
      <c r="L39" s="734">
        <f>R39</f>
        <v>8.9871332337915612E-4</v>
      </c>
      <c r="N39" s="807"/>
      <c r="O39" s="800"/>
      <c r="P39" s="811"/>
      <c r="Q39" s="808"/>
      <c r="R39" s="800">
        <f>AT54*(1+S53)</f>
        <v>8.9871332337915612E-4</v>
      </c>
      <c r="S39" s="808">
        <f>R39*G36</f>
        <v>9.1146513043316141E-2</v>
      </c>
      <c r="T39" s="832"/>
      <c r="U39" s="808"/>
      <c r="X39" s="1117" t="s">
        <v>607</v>
      </c>
      <c r="Y39" s="1118"/>
      <c r="Z39" s="1118"/>
      <c r="AA39" s="1118"/>
      <c r="AB39" s="1119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742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628" t="str">
        <f>_xlfn.TEXTJOIN(",",TRUE,IF(LEFT(Regions!$C$3,1)&lt;&gt;"*",Regions!$C$3,""),IF(LEFT(Regions!$D$3,1)&lt;&gt;"*",Regions!$D$3,""))</f>
        <v>IE,National</v>
      </c>
      <c r="C40" s="629"/>
      <c r="D40" s="629"/>
      <c r="E40" s="629" t="str">
        <f>COMM!$O$37</f>
        <v>RSDPF_Att</v>
      </c>
      <c r="F40" s="629"/>
      <c r="G40" s="630"/>
      <c r="H40" s="630"/>
      <c r="I40" s="630"/>
      <c r="J40" s="629"/>
      <c r="K40" s="629"/>
      <c r="L40" s="741">
        <f>T40</f>
        <v>3.3519631170326824E-4</v>
      </c>
      <c r="N40" s="829"/>
      <c r="O40" s="809"/>
      <c r="P40" s="830"/>
      <c r="Q40" s="810"/>
      <c r="R40" s="809"/>
      <c r="S40" s="810"/>
      <c r="T40" s="831">
        <f>AU54*(1+$U$53)</f>
        <v>3.3519631170326824E-4</v>
      </c>
      <c r="U40" s="810">
        <f>T40*G36</f>
        <v>3.3995239863428506E-2</v>
      </c>
      <c r="X40" s="600"/>
      <c r="Y40" s="601" t="s">
        <v>838</v>
      </c>
      <c r="Z40" s="601" t="s">
        <v>837</v>
      </c>
      <c r="AA40" s="602" t="s">
        <v>839</v>
      </c>
      <c r="AB40" s="600" t="s">
        <v>840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740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621" t="str">
        <f>_xlfn.TEXTJOIN(",",TRUE,IF(LEFT(Regions!$C$3,1)&lt;&gt;"*",Regions!$C$3,""),IF(LEFT(Regions!$D$3,1)&lt;&gt;"*",Regions!$D$3,""))</f>
        <v>IE,National</v>
      </c>
      <c r="C41" s="622" t="str">
        <f>Y13</f>
        <v>R-BLD_Att_F</v>
      </c>
      <c r="D41" s="623" t="str">
        <f>Z13</f>
        <v>Residential Building Attached _ F</v>
      </c>
      <c r="E41" s="623" t="str">
        <f>COMM!$O$22</f>
        <v>RSDSH_Att-F</v>
      </c>
      <c r="F41" s="623" t="str">
        <f>COMM!$O$7</f>
        <v>RSD_Att</v>
      </c>
      <c r="G41" s="625">
        <f>AH15/1000</f>
        <v>50.123806027321166</v>
      </c>
      <c r="H41" s="625">
        <f>G41*$AH$26</f>
        <v>41.768167562566731</v>
      </c>
      <c r="I41" s="625">
        <v>1</v>
      </c>
      <c r="J41" s="623">
        <v>100</v>
      </c>
      <c r="K41" s="623">
        <v>1</v>
      </c>
      <c r="L41" s="731">
        <f>N41</f>
        <v>5.141803678796826E-2</v>
      </c>
      <c r="N41" s="807">
        <f>AR55*DwellingStocks!P25*(1+O53)</f>
        <v>5.141803678796826E-2</v>
      </c>
      <c r="O41" s="800">
        <f>N41*G41</f>
        <v>2.5772677022657851</v>
      </c>
      <c r="P41" s="811"/>
      <c r="Q41" s="808"/>
      <c r="R41" s="800"/>
      <c r="S41" s="808"/>
      <c r="T41" s="832"/>
      <c r="U41" s="808"/>
      <c r="X41" s="603" t="s">
        <v>42</v>
      </c>
      <c r="Y41" s="612">
        <f>'SHWLP-Apt'!E25</f>
        <v>37772</v>
      </c>
      <c r="Z41" s="604">
        <f>Y41/SUM(Y41+AA41)</f>
        <v>0.58696834548025667</v>
      </c>
      <c r="AA41" s="612">
        <f>'SHWLP-Apt'!E12</f>
        <v>26579</v>
      </c>
      <c r="AB41" s="605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745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626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733"/>
      <c r="H42" s="733"/>
      <c r="I42" s="733"/>
      <c r="J42" s="448"/>
      <c r="K42" s="448"/>
      <c r="L42" s="734"/>
      <c r="N42" s="807"/>
      <c r="O42" s="800"/>
      <c r="P42" s="811"/>
      <c r="Q42" s="808"/>
      <c r="R42" s="800"/>
      <c r="S42" s="808"/>
      <c r="T42" s="832"/>
      <c r="U42" s="808"/>
      <c r="X42" s="606" t="s">
        <v>44</v>
      </c>
      <c r="Y42" s="613">
        <f>'SHWLP-Att'!E25</f>
        <v>12745</v>
      </c>
      <c r="Z42" s="607">
        <f t="shared" ref="Z42:Z43" si="7">Y42/SUM(Y42+AA42)</f>
        <v>0.36680481206469812</v>
      </c>
      <c r="AA42" s="613">
        <f>'SHWLP-Att'!E12</f>
        <v>22001</v>
      </c>
      <c r="AB42" s="608">
        <f t="shared" ref="AB42:AB43" si="8">AA42/SUM(Y42+AA42)</f>
        <v>0.63319518793530194</v>
      </c>
      <c r="AC42" s="25"/>
      <c r="AD42" s="25"/>
      <c r="AE42" s="25"/>
      <c r="AQ42" s="746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627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737"/>
      <c r="H43" s="737"/>
      <c r="I43" s="737"/>
      <c r="J43" s="293"/>
      <c r="K43" s="293"/>
      <c r="L43" s="738">
        <f>P43</f>
        <v>1.1276981488473822E-2</v>
      </c>
      <c r="N43" s="807"/>
      <c r="O43" s="800"/>
      <c r="P43" s="811">
        <f>AS55*(1+Q53)</f>
        <v>1.1276981488473822E-2</v>
      </c>
      <c r="Q43" s="808">
        <f>P43*G41</f>
        <v>0.56524523270195337</v>
      </c>
      <c r="R43" s="800"/>
      <c r="S43" s="808"/>
      <c r="T43" s="832"/>
      <c r="U43" s="808"/>
      <c r="X43" s="609" t="s">
        <v>46</v>
      </c>
      <c r="Y43" s="614">
        <f>'SHWLP-Det'!E25</f>
        <v>6299</v>
      </c>
      <c r="Z43" s="610">
        <f t="shared" si="7"/>
        <v>0.35199776473875383</v>
      </c>
      <c r="AA43" s="614">
        <f>'SHWLP-Det'!E12</f>
        <v>11596</v>
      </c>
      <c r="AB43" s="611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626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733"/>
      <c r="H44" s="733"/>
      <c r="I44" s="733"/>
      <c r="J44" s="448"/>
      <c r="K44" s="448"/>
      <c r="L44" s="734">
        <f>R44</f>
        <v>8.9917332740457607E-4</v>
      </c>
      <c r="N44" s="807"/>
      <c r="O44" s="800"/>
      <c r="P44" s="811"/>
      <c r="Q44" s="808"/>
      <c r="R44" s="800">
        <f>AT55*(1+S53)</f>
        <v>8.9917332740457607E-4</v>
      </c>
      <c r="S44" s="808">
        <f>R44*G41</f>
        <v>4.5069989447767918E-2</v>
      </c>
      <c r="T44" s="832"/>
      <c r="U44" s="808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628" t="str">
        <f>_xlfn.TEXTJOIN(",",TRUE,IF(LEFT(Regions!$C$3,1)&lt;&gt;"*",Regions!$C$3,""),IF(LEFT(Regions!$D$3,1)&lt;&gt;"*",Regions!$D$3,""))</f>
        <v>IE,National</v>
      </c>
      <c r="C45" s="629"/>
      <c r="D45" s="629"/>
      <c r="E45" s="629" t="str">
        <f>COMM!$O$37</f>
        <v>RSDPF_Att</v>
      </c>
      <c r="F45" s="629"/>
      <c r="G45" s="630"/>
      <c r="H45" s="630"/>
      <c r="I45" s="630"/>
      <c r="J45" s="629"/>
      <c r="K45" s="629"/>
      <c r="L45" s="741">
        <f>T45</f>
        <v>3.3086537242422515E-4</v>
      </c>
      <c r="N45" s="807"/>
      <c r="O45" s="800"/>
      <c r="P45" s="811"/>
      <c r="Q45" s="808"/>
      <c r="R45" s="800"/>
      <c r="S45" s="808"/>
      <c r="T45" s="832">
        <f>AU55*(1+$U$53)</f>
        <v>3.3086537242422515E-4</v>
      </c>
      <c r="U45" s="808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621" t="str">
        <f>_xlfn.TEXTJOIN(",",TRUE,IF(LEFT(Regions!$C$3,1)&lt;&gt;"*",Regions!$C$3,""),IF(LEFT(Regions!$D$3,1)&lt;&gt;"*",Regions!$D$3,""))</f>
        <v>IE,National</v>
      </c>
      <c r="C46" s="622" t="str">
        <f>Y14</f>
        <v>R-BLD_Att_G</v>
      </c>
      <c r="D46" s="623" t="str">
        <f>Z14</f>
        <v>Residential Building Attached _ G</v>
      </c>
      <c r="E46" s="623" t="str">
        <f>COMM!$O$25</f>
        <v>RSDSH_Att-G</v>
      </c>
      <c r="F46" s="623" t="str">
        <f>COMM!$O$7</f>
        <v>RSD_Att</v>
      </c>
      <c r="G46" s="625">
        <f>AH16/1000</f>
        <v>52.706674394088104</v>
      </c>
      <c r="H46" s="625">
        <f>G46*$AH$26</f>
        <v>43.920471772593622</v>
      </c>
      <c r="I46" s="625">
        <v>1</v>
      </c>
      <c r="J46" s="623">
        <v>100</v>
      </c>
      <c r="K46" s="623">
        <v>1</v>
      </c>
      <c r="L46" s="731">
        <f>N46</f>
        <v>5.3151836936342553E-2</v>
      </c>
      <c r="N46" s="825">
        <f>AR56*DwellingStocks!P26*(1+O53)</f>
        <v>5.3151836936342553E-2</v>
      </c>
      <c r="O46" s="826">
        <f>N46*G46</f>
        <v>2.8014565628514725</v>
      </c>
      <c r="P46" s="827"/>
      <c r="Q46" s="828"/>
      <c r="R46" s="826"/>
      <c r="S46" s="828"/>
      <c r="T46" s="833"/>
      <c r="U46" s="828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900</v>
      </c>
      <c r="AT46" s="58" t="s">
        <v>221</v>
      </c>
      <c r="AU46" t="s">
        <v>901</v>
      </c>
      <c r="AV46" t="s">
        <v>902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626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733"/>
      <c r="H47" s="733"/>
      <c r="I47" s="733"/>
      <c r="J47" s="448"/>
      <c r="K47" s="448"/>
      <c r="L47" s="734"/>
      <c r="N47" s="320"/>
      <c r="P47" s="320"/>
      <c r="Q47" s="339"/>
      <c r="R47" s="800"/>
      <c r="S47" s="808"/>
      <c r="T47" s="832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903</v>
      </c>
      <c r="AJ47" t="s">
        <v>904</v>
      </c>
      <c r="AK47" t="s">
        <v>905</v>
      </c>
      <c r="AL47" s="58" t="s">
        <v>417</v>
      </c>
      <c r="AM47" s="58" t="s">
        <v>901</v>
      </c>
      <c r="AN47" t="s">
        <v>906</v>
      </c>
      <c r="AO47" t="s">
        <v>907</v>
      </c>
      <c r="AP47" t="s">
        <v>218</v>
      </c>
      <c r="AR47" t="s">
        <v>908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627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737"/>
      <c r="H48" s="737"/>
      <c r="I48" s="737"/>
      <c r="J48" s="293"/>
      <c r="K48" s="293"/>
      <c r="L48" s="738">
        <f>P48</f>
        <v>1.0244752299870721E-2</v>
      </c>
      <c r="N48" s="320"/>
      <c r="P48" s="811">
        <f>AS56*(1+Q53)</f>
        <v>1.0244752299870721E-2</v>
      </c>
      <c r="Q48" s="808">
        <f>P48*G46</f>
        <v>0.53996682371737137</v>
      </c>
      <c r="R48" s="800"/>
      <c r="S48" s="808"/>
      <c r="T48" s="832"/>
      <c r="U48" s="339"/>
      <c r="W48" s="25"/>
      <c r="X48" s="25" t="s">
        <v>841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739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626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733"/>
      <c r="H49" s="733"/>
      <c r="I49" s="733"/>
      <c r="J49" s="448"/>
      <c r="K49" s="448"/>
      <c r="L49" s="734">
        <f>R49</f>
        <v>8.7038647541608054E-4</v>
      </c>
      <c r="N49" s="320"/>
      <c r="P49" s="812"/>
      <c r="Q49" s="813"/>
      <c r="R49" s="800">
        <f>AT56*(1+S53)</f>
        <v>8.7038647541608054E-4</v>
      </c>
      <c r="S49" s="808">
        <f>R49*G46</f>
        <v>4.5875176556773326E-2</v>
      </c>
      <c r="T49" s="832"/>
      <c r="U49" s="339"/>
      <c r="W49" s="25"/>
      <c r="X49" s="25"/>
      <c r="Y49" s="601" t="s">
        <v>837</v>
      </c>
      <c r="Z49" s="601" t="s">
        <v>840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740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.75" thickBot="1">
      <c r="B50" s="628" t="str">
        <f>_xlfn.TEXTJOIN(",",TRUE,IF(LEFT(Regions!$C$3,1)&lt;&gt;"*",Regions!$C$3,""),IF(LEFT(Regions!$D$3,1)&lt;&gt;"*",Regions!$D$3,""))</f>
        <v>IE,National</v>
      </c>
      <c r="C50" s="629"/>
      <c r="D50" s="629"/>
      <c r="E50" s="629" t="str">
        <f>COMM!$O$37</f>
        <v>RSDPF_Att</v>
      </c>
      <c r="F50" s="629"/>
      <c r="G50" s="630"/>
      <c r="H50" s="630"/>
      <c r="I50" s="630"/>
      <c r="J50" s="629"/>
      <c r="K50" s="629"/>
      <c r="L50" s="741">
        <f>T50</f>
        <v>2.3534708508606342E-4</v>
      </c>
      <c r="N50" s="331"/>
      <c r="O50" s="801"/>
      <c r="P50" s="814"/>
      <c r="Q50" s="815"/>
      <c r="R50" s="809"/>
      <c r="S50" s="810"/>
      <c r="T50" s="831">
        <f>AU56*(1+$U$53)</f>
        <v>2.3534708508606342E-4</v>
      </c>
      <c r="U50" s="810">
        <f>T50*G46</f>
        <v>1.2404362183228893E-2</v>
      </c>
      <c r="W50" s="25"/>
      <c r="X50" s="603" t="s">
        <v>42</v>
      </c>
      <c r="Y50" s="604">
        <f>1-Z50</f>
        <v>0.67999999999999994</v>
      </c>
      <c r="Z50" s="604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742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737"/>
      <c r="H51" s="737"/>
      <c r="I51" s="737"/>
      <c r="J51" s="293"/>
      <c r="K51" s="293"/>
      <c r="L51" s="738"/>
      <c r="N51" s="329" t="s">
        <v>959</v>
      </c>
      <c r="O51" s="319">
        <f>'SHWLP-Att'!AB27</f>
        <v>22.590024412131413</v>
      </c>
      <c r="P51" s="323"/>
      <c r="Q51" s="324">
        <f>'SHWLP-Att'!AB54</f>
        <v>7.7640972239661528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606" t="s">
        <v>44</v>
      </c>
      <c r="Y51" s="607">
        <f t="shared" ref="Y51:Y52" si="15">1-Z51</f>
        <v>0.65</v>
      </c>
      <c r="Z51" s="607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740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737"/>
      <c r="H52" s="737"/>
      <c r="I52" s="737"/>
      <c r="J52" s="293"/>
      <c r="K52" s="293"/>
      <c r="L52" s="738"/>
      <c r="N52" s="802" t="s">
        <v>960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609" t="s">
        <v>46</v>
      </c>
      <c r="Y52" s="604">
        <f t="shared" si="15"/>
        <v>0.7</v>
      </c>
      <c r="Z52" s="610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742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737"/>
      <c r="H53" s="737"/>
      <c r="I53" s="737"/>
      <c r="J53" s="293"/>
      <c r="K53" s="293"/>
      <c r="L53" s="738"/>
      <c r="N53" s="803" t="s">
        <v>961</v>
      </c>
      <c r="O53" s="804">
        <f>((O51-O52)/O52)</f>
        <v>0.25310371941227178</v>
      </c>
      <c r="P53" s="320"/>
      <c r="Q53" s="816">
        <f>((Q51-Q52)/Q52)</f>
        <v>-0.37413515154117277</v>
      </c>
      <c r="R53" s="320"/>
      <c r="S53" s="816">
        <f>((S51-S52)/S52)</f>
        <v>-0.64039592537603574</v>
      </c>
      <c r="T53" s="320"/>
      <c r="U53" s="816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740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737"/>
      <c r="H54" s="737"/>
      <c r="I54" s="737"/>
      <c r="J54" s="293"/>
      <c r="K54" s="293"/>
      <c r="L54" s="738"/>
      <c r="N54" s="802" t="s">
        <v>962</v>
      </c>
      <c r="O54" s="800">
        <f>SUM(O6:O46)</f>
        <v>22.59002441213142</v>
      </c>
      <c r="P54" s="320"/>
      <c r="Q54" s="808">
        <f>SUM(Q6:Q50)</f>
        <v>7.7640972239661519</v>
      </c>
      <c r="R54" s="320"/>
      <c r="S54" s="808">
        <f>SUM(S6:S50)</f>
        <v>0.72322874102399715</v>
      </c>
      <c r="T54" s="320"/>
      <c r="U54" s="808">
        <f>SUM(U6:U50)</f>
        <v>0.30041106022645236</v>
      </c>
      <c r="V54" s="800">
        <f>SUM(O54:U54)</f>
        <v>31.377761437348024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742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737"/>
      <c r="H55" s="737"/>
      <c r="I55" s="737"/>
      <c r="J55" s="293"/>
      <c r="K55" s="293"/>
      <c r="L55" s="738"/>
      <c r="N55" s="805" t="s">
        <v>963</v>
      </c>
      <c r="O55" s="806">
        <f>((O51-O54)/O54)</f>
        <v>-3.1453827707176828E-16</v>
      </c>
      <c r="P55" s="331"/>
      <c r="Q55" s="817">
        <f t="shared" ref="Q55" si="17">((Q51-Q54)/Q54)</f>
        <v>1.1439558187892126E-16</v>
      </c>
      <c r="R55" s="331"/>
      <c r="S55" s="817">
        <f t="shared" ref="S55" si="18">((S51-S54)/S54)</f>
        <v>0</v>
      </c>
      <c r="T55" s="331"/>
      <c r="U55" s="817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740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.5" thickBot="1">
      <c r="B56" s="621" t="str">
        <f>_xlfn.TEXTJOIN(",",TRUE,IF(LEFT(Regions!$C$3,1)&lt;&gt;"*",Regions!$C$3,""),IF(LEFT(Regions!$D$3,1)&lt;&gt;"*",Regions!$D$3,""))</f>
        <v>IE,National</v>
      </c>
      <c r="C56" s="622" t="str">
        <f>Y15</f>
        <v>R-BLD_Apt_A</v>
      </c>
      <c r="D56" s="623" t="str">
        <f>Z15</f>
        <v>Residential Building Apartment _ A</v>
      </c>
      <c r="E56" s="624" t="str">
        <f>COMM!$O$9</f>
        <v>RSDSH_Apt-AB</v>
      </c>
      <c r="F56" s="623" t="str">
        <f>COMM!$O$6</f>
        <v>RSD_Apt</v>
      </c>
      <c r="G56" s="625">
        <f>AG8/1000</f>
        <v>14.439898856806733</v>
      </c>
      <c r="H56" s="625">
        <f>G56*$AH$26</f>
        <v>12.032767717377052</v>
      </c>
      <c r="I56" s="625">
        <v>1</v>
      </c>
      <c r="J56" s="623">
        <v>100</v>
      </c>
      <c r="K56" s="623">
        <v>1</v>
      </c>
      <c r="L56" s="731">
        <f>N56</f>
        <v>3.9543947865259952E-4</v>
      </c>
      <c r="N56" s="825">
        <f>ABS(AR33*DwellingStocks!O18*(1+O103))</f>
        <v>3.9543947865259952E-4</v>
      </c>
      <c r="O56" s="826">
        <f>N56*G56</f>
        <v>5.7101060757319229E-3</v>
      </c>
      <c r="P56" s="827"/>
      <c r="Q56" s="828"/>
      <c r="R56" s="827"/>
      <c r="S56" s="828"/>
      <c r="T56" s="826"/>
      <c r="U56" s="828"/>
      <c r="W56" s="25"/>
      <c r="X56" s="1117" t="s">
        <v>836</v>
      </c>
      <c r="Y56" s="1118"/>
      <c r="Z56" s="1118"/>
      <c r="AA56" s="1118"/>
      <c r="AB56" s="1119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745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.75" thickBot="1">
      <c r="B57" s="626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733"/>
      <c r="H57" s="733"/>
      <c r="I57" s="733"/>
      <c r="J57" s="448"/>
      <c r="K57" s="448"/>
      <c r="L57" s="734"/>
      <c r="N57" s="807"/>
      <c r="O57" s="800"/>
      <c r="P57" s="811"/>
      <c r="Q57" s="808"/>
      <c r="R57" s="811"/>
      <c r="S57" s="808"/>
      <c r="T57" s="800"/>
      <c r="U57" s="808"/>
      <c r="W57" s="25"/>
      <c r="X57" s="600"/>
      <c r="Y57" s="601" t="s">
        <v>838</v>
      </c>
      <c r="Z57" s="601" t="s">
        <v>837</v>
      </c>
      <c r="AA57" s="602" t="s">
        <v>839</v>
      </c>
      <c r="AB57" s="600" t="s">
        <v>840</v>
      </c>
      <c r="AC57" s="25"/>
      <c r="AD57" s="25"/>
      <c r="AQ57" s="746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627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737"/>
      <c r="H58" s="737"/>
      <c r="I58" s="737"/>
      <c r="J58" s="293"/>
      <c r="K58" s="293"/>
      <c r="L58" s="738">
        <f>P58</f>
        <v>3.8470258473177572E-3</v>
      </c>
      <c r="N58" s="807"/>
      <c r="O58" s="800"/>
      <c r="P58" s="811">
        <f>AS33*(1+Q103)</f>
        <v>3.8470258473177572E-3</v>
      </c>
      <c r="Q58" s="808">
        <f>P58*G56</f>
        <v>5.5550664134789637E-2</v>
      </c>
      <c r="R58" s="811"/>
      <c r="S58" s="808"/>
      <c r="T58" s="800"/>
      <c r="U58" s="808"/>
      <c r="W58" s="25"/>
      <c r="X58" s="603" t="s">
        <v>42</v>
      </c>
      <c r="Y58" s="612">
        <f>'SHWLP-Apt'!S11*1000</f>
        <v>68762.860658712409</v>
      </c>
      <c r="Z58" s="604">
        <v>0.7</v>
      </c>
      <c r="AA58" s="612">
        <f>'SHWLP-Apt'!S12*1000</f>
        <v>32358.993251158787</v>
      </c>
      <c r="AB58" s="605">
        <v>0.3</v>
      </c>
      <c r="AC58" s="25"/>
      <c r="AD58" s="25"/>
    </row>
    <row r="59" spans="2:48" ht="13.5" thickBot="1">
      <c r="B59" s="626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733"/>
      <c r="H59" s="733"/>
      <c r="I59" s="733"/>
      <c r="J59" s="448"/>
      <c r="K59" s="448"/>
      <c r="L59" s="734">
        <f>R59</f>
        <v>5.0614283922448679E-4</v>
      </c>
      <c r="N59" s="807"/>
      <c r="O59" s="800"/>
      <c r="P59" s="811"/>
      <c r="Q59" s="808"/>
      <c r="R59" s="811">
        <f>AT33*(1+S103)</f>
        <v>5.0614283922448679E-4</v>
      </c>
      <c r="S59" s="808">
        <f>R59*G56</f>
        <v>7.3086514054985811E-3</v>
      </c>
      <c r="T59" s="800"/>
      <c r="U59" s="808"/>
      <c r="W59" s="25"/>
      <c r="X59" s="606" t="s">
        <v>44</v>
      </c>
      <c r="Y59" s="613">
        <f>'SHWLP-Att'!S11*1000</f>
        <v>42892.272456803505</v>
      </c>
      <c r="Z59" s="604">
        <f>Y59/SUM(Y59+AA59)</f>
        <v>0.65</v>
      </c>
      <c r="AA59" s="613">
        <f>'SHWLP-Att'!S12*1000</f>
        <v>23095.83901520188</v>
      </c>
      <c r="AB59" s="605">
        <f>AA59/SUM(Y59+AA59)</f>
        <v>0.34999999999999992</v>
      </c>
      <c r="AC59" s="25"/>
      <c r="AD59" s="25"/>
    </row>
    <row r="60" spans="2:48" ht="13.5" thickBot="1">
      <c r="B60" s="628" t="str">
        <f>_xlfn.TEXTJOIN(",",TRUE,IF(LEFT(Regions!$C$3,1)&lt;&gt;"*",Regions!$C$3,""),IF(LEFT(Regions!$D$3,1)&lt;&gt;"*",Regions!$D$3,""))</f>
        <v>IE,National</v>
      </c>
      <c r="C60" s="629"/>
      <c r="D60" s="629"/>
      <c r="E60" s="629" t="str">
        <f>COMM!$O$36</f>
        <v>RSDPF_Apt</v>
      </c>
      <c r="F60" s="629"/>
      <c r="G60" s="630"/>
      <c r="H60" s="630"/>
      <c r="I60" s="630"/>
      <c r="J60" s="629"/>
      <c r="K60" s="629"/>
      <c r="L60" s="741">
        <f>T60</f>
        <v>5.5272693120035036E-4</v>
      </c>
      <c r="N60" s="829"/>
      <c r="O60" s="809"/>
      <c r="P60" s="830"/>
      <c r="Q60" s="810"/>
      <c r="R60" s="830"/>
      <c r="S60" s="810"/>
      <c r="T60" s="831">
        <f>AU33*(1+U103)</f>
        <v>5.5272693120035036E-4</v>
      </c>
      <c r="U60" s="810">
        <f>T60*G56</f>
        <v>7.9813209819662324E-3</v>
      </c>
      <c r="W60" s="25"/>
      <c r="X60" s="609" t="s">
        <v>46</v>
      </c>
      <c r="Y60" s="614">
        <f>'SHWLP-Det'!S11*1000</f>
        <v>34699.946476990561</v>
      </c>
      <c r="Z60" s="604">
        <f>Y60/SUM(Y60+AA60)</f>
        <v>0.7</v>
      </c>
      <c r="AA60" s="614">
        <f>'SHWLP-Det'!S12*1000</f>
        <v>14871.405632995953</v>
      </c>
      <c r="AB60" s="605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900</v>
      </c>
      <c r="AT60" s="58" t="s">
        <v>221</v>
      </c>
      <c r="AU60" t="s">
        <v>901</v>
      </c>
      <c r="AV60" t="s">
        <v>902</v>
      </c>
    </row>
    <row r="61" spans="2:48" ht="13.5" thickBot="1">
      <c r="B61" s="621" t="str">
        <f>_xlfn.TEXTJOIN(",",TRUE,IF(LEFT(Regions!$C$3,1)&lt;&gt;"*",Regions!$C$3,""),IF(LEFT(Regions!$D$3,1)&lt;&gt;"*",Regions!$D$3,""))</f>
        <v>IE,National</v>
      </c>
      <c r="C61" s="622" t="str">
        <f>Y16</f>
        <v>R-BLD_Apt_B1</v>
      </c>
      <c r="D61" s="623" t="str">
        <f>Z16</f>
        <v>Residential Building Apartment _ B1</v>
      </c>
      <c r="E61" s="622" t="str">
        <f>COMM!$O$9</f>
        <v>RSDSH_Apt-AB</v>
      </c>
      <c r="F61" s="623" t="str">
        <f>COMM!$O$6</f>
        <v>RSD_Apt</v>
      </c>
      <c r="G61" s="625">
        <f>AG9/1000</f>
        <v>7.4592913438514907</v>
      </c>
      <c r="H61" s="625">
        <f>G61*$AH$26</f>
        <v>6.2158274768314472</v>
      </c>
      <c r="I61" s="625">
        <v>1</v>
      </c>
      <c r="J61" s="623">
        <v>100</v>
      </c>
      <c r="K61" s="623">
        <v>1</v>
      </c>
      <c r="L61" s="731">
        <f>N61</f>
        <v>5.9418416173866E-3</v>
      </c>
      <c r="N61" s="825">
        <f>ABS(AR34*DwellingStocks!O19*(1+$O$103))</f>
        <v>5.9418416173866E-3</v>
      </c>
      <c r="O61" s="826">
        <f>N61*G61</f>
        <v>4.4321927743108405E-2</v>
      </c>
      <c r="P61" s="811"/>
      <c r="Q61" s="808"/>
      <c r="R61" s="800"/>
      <c r="S61" s="808"/>
      <c r="T61" s="832"/>
      <c r="U61" s="808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903</v>
      </c>
      <c r="AJ61" t="s">
        <v>904</v>
      </c>
      <c r="AK61" t="s">
        <v>905</v>
      </c>
      <c r="AL61" s="58" t="s">
        <v>417</v>
      </c>
      <c r="AM61" s="58" t="s">
        <v>901</v>
      </c>
      <c r="AN61" t="s">
        <v>906</v>
      </c>
      <c r="AO61" t="s">
        <v>907</v>
      </c>
      <c r="AP61" t="s">
        <v>218</v>
      </c>
      <c r="AR61" t="s">
        <v>908</v>
      </c>
    </row>
    <row r="62" spans="2:48" ht="15">
      <c r="B62" s="626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733"/>
      <c r="H62" s="733"/>
      <c r="I62" s="733"/>
      <c r="J62" s="448"/>
      <c r="K62" s="448"/>
      <c r="L62" s="734"/>
      <c r="N62" s="807"/>
      <c r="O62" s="800"/>
      <c r="P62" s="811"/>
      <c r="Q62" s="808"/>
      <c r="R62" s="800"/>
      <c r="S62" s="808"/>
      <c r="T62" s="832"/>
      <c r="U62" s="808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739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5">
      <c r="B63" s="627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737"/>
      <c r="H63" s="737"/>
      <c r="I63" s="737"/>
      <c r="J63" s="293"/>
      <c r="K63" s="293"/>
      <c r="L63" s="738">
        <f>P63</f>
        <v>9.3148232054232182E-3</v>
      </c>
      <c r="N63" s="807"/>
      <c r="O63" s="800"/>
      <c r="P63" s="811">
        <f>AS34*(1+Q103)</f>
        <v>9.3148232054232182E-3</v>
      </c>
      <c r="Q63" s="808">
        <f>P63*G61</f>
        <v>6.9481980105720403E-2</v>
      </c>
      <c r="R63" s="800"/>
      <c r="S63" s="808"/>
      <c r="T63" s="832"/>
      <c r="U63" s="808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740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5">
      <c r="B64" s="626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733"/>
      <c r="H64" s="733"/>
      <c r="I64" s="733"/>
      <c r="J64" s="448"/>
      <c r="K64" s="448"/>
      <c r="L64" s="734">
        <f>R64</f>
        <v>6.8361932513071467E-4</v>
      </c>
      <c r="N64" s="807"/>
      <c r="O64" s="800"/>
      <c r="P64" s="811"/>
      <c r="Q64" s="808"/>
      <c r="R64" s="800">
        <f>AT34*(1+S103)</f>
        <v>6.8361932513071467E-4</v>
      </c>
      <c r="S64" s="808">
        <f>R64*G61</f>
        <v>5.099315714437138E-3</v>
      </c>
      <c r="T64" s="832"/>
      <c r="U64" s="808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742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4:AT70" si="25">((AQ64/AG64)*(AL64)*0.0000000036)/(AQ64/1000)</f>
        <v>5.3360356778218935E-3</v>
      </c>
      <c r="AU64">
        <f t="shared" si="24"/>
        <v>1.0397190017016448E-3</v>
      </c>
    </row>
    <row r="65" spans="2:47" ht="19.5" thickBot="1">
      <c r="B65" s="628" t="str">
        <f>_xlfn.TEXTJOIN(",",TRUE,IF(LEFT(Regions!$C$3,1)&lt;&gt;"*",Regions!$C$3,""),IF(LEFT(Regions!$D$3,1)&lt;&gt;"*",Regions!$D$3,""))</f>
        <v>IE,National</v>
      </c>
      <c r="C65" s="629"/>
      <c r="D65" s="629"/>
      <c r="E65" s="629" t="str">
        <f>COMM!$O$36</f>
        <v>RSDPF_Apt</v>
      </c>
      <c r="F65" s="629"/>
      <c r="G65" s="630"/>
      <c r="H65" s="630"/>
      <c r="I65" s="630"/>
      <c r="J65" s="629"/>
      <c r="K65" s="629"/>
      <c r="L65" s="741">
        <f>T65</f>
        <v>3.7301650664773618E-4</v>
      </c>
      <c r="N65" s="807"/>
      <c r="O65" s="800"/>
      <c r="P65" s="811"/>
      <c r="Q65" s="808"/>
      <c r="R65" s="800"/>
      <c r="S65" s="808"/>
      <c r="T65" s="832">
        <f>AU34*(1+U103)</f>
        <v>3.7301650664773618E-4</v>
      </c>
      <c r="U65" s="808">
        <f>T65*G61</f>
        <v>2.7824387991511805E-3</v>
      </c>
      <c r="X65" s="1120" t="s">
        <v>619</v>
      </c>
      <c r="Y65" s="1120"/>
      <c r="Z65" s="1120"/>
      <c r="AA65" s="1120"/>
      <c r="AB65" s="1120"/>
      <c r="AC65" s="1120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740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5">
      <c r="B66" s="621" t="str">
        <f>_xlfn.TEXTJOIN(",",TRUE,IF(LEFT(Regions!$C$3,1)&lt;&gt;"*",Regions!$C$3,""),IF(LEFT(Regions!$D$3,1)&lt;&gt;"*",Regions!$D$3,""))</f>
        <v>IE,National</v>
      </c>
      <c r="C66" s="622" t="str">
        <f>Y17</f>
        <v>R-BLD_Apt_B2</v>
      </c>
      <c r="D66" s="623" t="str">
        <f>Z17</f>
        <v>Residential Building Apartment _ B2</v>
      </c>
      <c r="E66" s="622" t="str">
        <f>COMM!$O$9</f>
        <v>RSDSH_Apt-AB</v>
      </c>
      <c r="F66" s="623" t="str">
        <f>COMM!$O$6</f>
        <v>RSD_Apt</v>
      </c>
      <c r="G66" s="625">
        <f>AG10/1000</f>
        <v>14.041847426430094</v>
      </c>
      <c r="H66" s="625">
        <f>G66*$AH$26</f>
        <v>11.701071460444197</v>
      </c>
      <c r="I66" s="625">
        <v>1</v>
      </c>
      <c r="J66" s="623">
        <v>100</v>
      </c>
      <c r="K66" s="623">
        <v>1</v>
      </c>
      <c r="L66" s="731">
        <f>N66</f>
        <v>1.0593731076693745E-2</v>
      </c>
      <c r="N66" s="825">
        <f>ABS(AR35*DwellingStocks!O20*(1+$O$103))</f>
        <v>1.0593731076693745E-2</v>
      </c>
      <c r="O66" s="826">
        <f>N66*G66</f>
        <v>0.14875555545556457</v>
      </c>
      <c r="P66" s="827"/>
      <c r="Q66" s="828"/>
      <c r="R66" s="826"/>
      <c r="S66" s="828"/>
      <c r="T66" s="833"/>
      <c r="U66" s="828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742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626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733"/>
      <c r="H67" s="733"/>
      <c r="I67" s="733"/>
      <c r="J67" s="448"/>
      <c r="K67" s="448"/>
      <c r="L67" s="734"/>
      <c r="N67" s="807"/>
      <c r="O67" s="800"/>
      <c r="P67" s="811"/>
      <c r="Q67" s="808"/>
      <c r="R67" s="800"/>
      <c r="S67" s="808"/>
      <c r="T67" s="832"/>
      <c r="U67" s="808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740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5">
      <c r="B68" s="627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737"/>
      <c r="H68" s="737"/>
      <c r="I68" s="737"/>
      <c r="J68" s="293"/>
      <c r="K68" s="293"/>
      <c r="L68" s="738">
        <f>P68</f>
        <v>1.1787502717994804E-2</v>
      </c>
      <c r="N68" s="807"/>
      <c r="O68" s="800"/>
      <c r="P68" s="811">
        <f>AS35*(1+Q103)</f>
        <v>1.1787502717994804E-2</v>
      </c>
      <c r="Q68" s="808">
        <f>P68*G66</f>
        <v>0.16551831470471307</v>
      </c>
      <c r="R68" s="800"/>
      <c r="S68" s="808"/>
      <c r="T68" s="832"/>
      <c r="U68" s="808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742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5">
      <c r="B69" s="626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733"/>
      <c r="H69" s="733"/>
      <c r="I69" s="733"/>
      <c r="J69" s="448"/>
      <c r="K69" s="448"/>
      <c r="L69" s="734">
        <f>R69</f>
        <v>7.572359550616889E-4</v>
      </c>
      <c r="N69" s="807"/>
      <c r="O69" s="800"/>
      <c r="P69" s="811"/>
      <c r="Q69" s="808"/>
      <c r="R69" s="800">
        <f>AT35*(1+S103)</f>
        <v>7.572359550616889E-4</v>
      </c>
      <c r="S69" s="808">
        <f>R69*G66</f>
        <v>1.063299174678331E-2</v>
      </c>
      <c r="T69" s="832"/>
      <c r="U69" s="808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740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.75" thickBot="1">
      <c r="B70" s="628" t="str">
        <f>_xlfn.TEXTJOIN(",",TRUE,IF(LEFT(Regions!$C$3,1)&lt;&gt;"*",Regions!$C$3,""),IF(LEFT(Regions!$D$3,1)&lt;&gt;"*",Regions!$D$3,""))</f>
        <v>IE,National</v>
      </c>
      <c r="C70" s="629"/>
      <c r="D70" s="629"/>
      <c r="E70" s="629" t="str">
        <f>COMM!$O$36</f>
        <v>RSDPF_Apt</v>
      </c>
      <c r="F70" s="629"/>
      <c r="G70" s="630"/>
      <c r="H70" s="630"/>
      <c r="I70" s="630"/>
      <c r="J70" s="629"/>
      <c r="K70" s="629"/>
      <c r="L70" s="741">
        <f>T70</f>
        <v>3.4372825288541932E-4</v>
      </c>
      <c r="N70" s="829"/>
      <c r="O70" s="809"/>
      <c r="P70" s="830"/>
      <c r="Q70" s="810"/>
      <c r="R70" s="809"/>
      <c r="S70" s="810"/>
      <c r="T70" s="831">
        <f>AU35*(1+U103)</f>
        <v>3.4372825288541932E-4</v>
      </c>
      <c r="U70" s="810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745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.75" thickBot="1">
      <c r="B71" s="621" t="str">
        <f>_xlfn.TEXTJOIN(",",TRUE,IF(LEFT(Regions!$C$3,1)&lt;&gt;"*",Regions!$C$3,""),IF(LEFT(Regions!$D$3,1)&lt;&gt;"*",Regions!$D$3,""))</f>
        <v>IE,National</v>
      </c>
      <c r="C71" s="622" t="str">
        <f>Y18</f>
        <v>R-BLD_Apt_B3</v>
      </c>
      <c r="D71" s="623" t="str">
        <f>Z18</f>
        <v>Residential Building Apartment _ B3</v>
      </c>
      <c r="E71" s="622" t="str">
        <f>COMM!$O$9</f>
        <v>RSDSH_Apt-AB</v>
      </c>
      <c r="F71" s="623" t="str">
        <f>COMM!$O$6</f>
        <v>RSD_Apt</v>
      </c>
      <c r="G71" s="625">
        <f>AG11/1000</f>
        <v>19.924480375055825</v>
      </c>
      <c r="H71" s="625">
        <f>G71*$AH$26</f>
        <v>16.603069496534019</v>
      </c>
      <c r="I71" s="625">
        <v>1</v>
      </c>
      <c r="J71" s="623">
        <v>100</v>
      </c>
      <c r="K71" s="623">
        <v>1</v>
      </c>
      <c r="L71" s="731">
        <f>N71</f>
        <v>1.4295440841259926E-2</v>
      </c>
      <c r="N71" s="825">
        <f>ABS(AR36*DwellingStocks!O21*(1+$O$103))</f>
        <v>1.4295440841259926E-2</v>
      </c>
      <c r="O71" s="826">
        <f>N71*G71</f>
        <v>0.28482923049445491</v>
      </c>
      <c r="P71" s="811"/>
      <c r="Q71" s="808"/>
      <c r="R71" s="800"/>
      <c r="S71" s="808"/>
      <c r="T71" s="832"/>
      <c r="U71" s="808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746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5">
      <c r="B72" s="626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733"/>
      <c r="H72" s="733"/>
      <c r="I72" s="733"/>
      <c r="J72" s="448"/>
      <c r="K72" s="448"/>
      <c r="L72" s="734"/>
      <c r="N72" s="807"/>
      <c r="O72" s="800"/>
      <c r="P72" s="811"/>
      <c r="Q72" s="808"/>
      <c r="R72" s="800"/>
      <c r="S72" s="808"/>
      <c r="T72" s="832"/>
      <c r="U72" s="808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627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737"/>
      <c r="H73" s="737"/>
      <c r="I73" s="737"/>
      <c r="J73" s="293"/>
      <c r="K73" s="293"/>
      <c r="L73" s="738">
        <f>P73</f>
        <v>1.3151363752192521E-2</v>
      </c>
      <c r="N73" s="807"/>
      <c r="O73" s="800"/>
      <c r="P73" s="811">
        <f>AS36*(1+Q103)</f>
        <v>1.3151363752192521E-2</v>
      </c>
      <c r="Q73" s="808">
        <f>P73*G71</f>
        <v>0.26203408898578046</v>
      </c>
      <c r="R73" s="800"/>
      <c r="S73" s="808"/>
      <c r="T73" s="832"/>
      <c r="U73" s="808"/>
      <c r="X73" s="365" t="s">
        <v>614</v>
      </c>
      <c r="Y73" s="365" t="s">
        <v>254</v>
      </c>
      <c r="Z73" s="365" t="s">
        <v>254</v>
      </c>
      <c r="AA73" s="365" t="s">
        <v>254</v>
      </c>
      <c r="AB73" s="524">
        <f>SUM(AB69:AB71)</f>
        <v>1735.2913349999997</v>
      </c>
      <c r="AC73" s="365"/>
      <c r="AD73" s="25"/>
    </row>
    <row r="74" spans="2:47">
      <c r="B74" s="626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733"/>
      <c r="H74" s="733"/>
      <c r="I74" s="733"/>
      <c r="J74" s="448"/>
      <c r="K74" s="448"/>
      <c r="L74" s="734">
        <f>R74</f>
        <v>7.5793685463835169E-4</v>
      </c>
      <c r="N74" s="807"/>
      <c r="O74" s="800"/>
      <c r="P74" s="811"/>
      <c r="Q74" s="808"/>
      <c r="R74" s="800">
        <f>AT36*(1+S103)</f>
        <v>7.5793685463835169E-4</v>
      </c>
      <c r="S74" s="808">
        <f>R74*G71</f>
        <v>1.5101497985773378E-2</v>
      </c>
      <c r="T74" s="832"/>
      <c r="U74" s="808"/>
      <c r="AC74" s="25"/>
      <c r="AD74" s="25"/>
    </row>
    <row r="75" spans="2:47" ht="13.5" thickBot="1">
      <c r="B75" s="628" t="str">
        <f>_xlfn.TEXTJOIN(",",TRUE,IF(LEFT(Regions!$C$3,1)&lt;&gt;"*",Regions!$C$3,""),IF(LEFT(Regions!$D$3,1)&lt;&gt;"*",Regions!$D$3,""))</f>
        <v>IE,National</v>
      </c>
      <c r="C75" s="629"/>
      <c r="D75" s="629"/>
      <c r="E75" s="629" t="str">
        <f>COMM!$O$36</f>
        <v>RSDPF_Apt</v>
      </c>
      <c r="F75" s="629"/>
      <c r="G75" s="630"/>
      <c r="H75" s="630"/>
      <c r="I75" s="630"/>
      <c r="J75" s="629"/>
      <c r="K75" s="629"/>
      <c r="L75" s="741">
        <f>T75</f>
        <v>3.1842733929099036E-4</v>
      </c>
      <c r="N75" s="807"/>
      <c r="O75" s="800"/>
      <c r="P75" s="811"/>
      <c r="Q75" s="808"/>
      <c r="R75" s="800"/>
      <c r="S75" s="808"/>
      <c r="T75" s="832">
        <f>AU36*(1+U103)</f>
        <v>3.1842733929099036E-4</v>
      </c>
      <c r="U75" s="808">
        <f>T75*G71</f>
        <v>6.3444992725845799E-3</v>
      </c>
      <c r="AC75" s="25"/>
      <c r="AD75" s="25"/>
    </row>
    <row r="76" spans="2:47">
      <c r="B76" s="621" t="str">
        <f>_xlfn.TEXTJOIN(",",TRUE,IF(LEFT(Regions!$C$3,1)&lt;&gt;"*",Regions!$C$3,""),IF(LEFT(Regions!$D$3,1)&lt;&gt;"*",Regions!$D$3,""))</f>
        <v>IE,National</v>
      </c>
      <c r="C76" s="622" t="str">
        <f>Y19</f>
        <v>R-BLD_Apt_C</v>
      </c>
      <c r="D76" s="623" t="str">
        <f>Z19</f>
        <v>Residential Building Apartment _ C</v>
      </c>
      <c r="E76" s="622" t="str">
        <f>COMM!$O$12</f>
        <v>RSDSH_Apt-C</v>
      </c>
      <c r="F76" s="623" t="str">
        <f>COMM!$O$6</f>
        <v>RSD_Apt</v>
      </c>
      <c r="G76" s="625">
        <f>AG12/1000</f>
        <v>58.904803436433703</v>
      </c>
      <c r="H76" s="625">
        <f>G76*$AH$26</f>
        <v>49.085372703580205</v>
      </c>
      <c r="I76" s="625">
        <v>1</v>
      </c>
      <c r="J76" s="623">
        <v>100</v>
      </c>
      <c r="K76" s="623">
        <v>1</v>
      </c>
      <c r="L76" s="731">
        <f>N76</f>
        <v>1.0401607873771696E-2</v>
      </c>
      <c r="N76" s="825">
        <f>ABS(AR37*DwellingStocks!O22*(1+$O$103))</f>
        <v>1.0401607873771696E-2</v>
      </c>
      <c r="O76" s="826">
        <f>N76*G76</f>
        <v>0.61270466722738282</v>
      </c>
      <c r="P76" s="827"/>
      <c r="Q76" s="828"/>
      <c r="R76" s="826"/>
      <c r="S76" s="828"/>
      <c r="T76" s="833"/>
      <c r="U76" s="828"/>
      <c r="AC76" s="25"/>
      <c r="AD76" s="25"/>
    </row>
    <row r="77" spans="2:47">
      <c r="B77" s="626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733"/>
      <c r="H77" s="733"/>
      <c r="I77" s="733"/>
      <c r="J77" s="448"/>
      <c r="K77" s="448"/>
      <c r="L77" s="734"/>
      <c r="N77" s="807"/>
      <c r="O77" s="800"/>
      <c r="P77" s="811"/>
      <c r="Q77" s="808"/>
      <c r="R77" s="800"/>
      <c r="S77" s="808"/>
      <c r="T77" s="832"/>
      <c r="U77" s="808"/>
      <c r="AC77" s="25"/>
      <c r="AD77" s="25"/>
    </row>
    <row r="78" spans="2:47">
      <c r="B78" s="627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737"/>
      <c r="H78" s="737"/>
      <c r="I78" s="737"/>
      <c r="J78" s="293"/>
      <c r="K78" s="293"/>
      <c r="L78" s="738">
        <f>P78</f>
        <v>1.3063018896681352E-2</v>
      </c>
      <c r="N78" s="807"/>
      <c r="O78" s="800"/>
      <c r="P78" s="811">
        <f>AS37*(1+Q103)</f>
        <v>1.3063018896681352E-2</v>
      </c>
      <c r="Q78" s="808">
        <f>P78*G76</f>
        <v>0.76947456039543405</v>
      </c>
      <c r="R78" s="800"/>
      <c r="S78" s="808"/>
      <c r="T78" s="832"/>
      <c r="U78" s="808"/>
      <c r="AC78" s="25"/>
      <c r="AD78" s="25"/>
    </row>
    <row r="79" spans="2:47">
      <c r="B79" s="626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733"/>
      <c r="H79" s="733"/>
      <c r="I79" s="733"/>
      <c r="J79" s="448"/>
      <c r="K79" s="448"/>
      <c r="L79" s="734">
        <f>R79</f>
        <v>7.0490984619025869E-4</v>
      </c>
      <c r="N79" s="807"/>
      <c r="O79" s="800"/>
      <c r="P79" s="811"/>
      <c r="Q79" s="808"/>
      <c r="R79" s="800">
        <f>AT37*(1+S103)</f>
        <v>7.0490984619025869E-4</v>
      </c>
      <c r="S79" s="808">
        <f>R79*G76</f>
        <v>4.1522575930243902E-2</v>
      </c>
      <c r="T79" s="832"/>
      <c r="U79" s="808"/>
      <c r="AC79" s="25"/>
      <c r="AD79" s="25"/>
    </row>
    <row r="80" spans="2:47" ht="13.5" thickBot="1">
      <c r="B80" s="628" t="str">
        <f>_xlfn.TEXTJOIN(",",TRUE,IF(LEFT(Regions!$C$3,1)&lt;&gt;"*",Regions!$C$3,""),IF(LEFT(Regions!$D$3,1)&lt;&gt;"*",Regions!$D$3,""))</f>
        <v>IE,National</v>
      </c>
      <c r="C80" s="629"/>
      <c r="D80" s="629"/>
      <c r="E80" s="629" t="str">
        <f>COMM!$O$36</f>
        <v>RSDPF_Apt</v>
      </c>
      <c r="F80" s="629"/>
      <c r="G80" s="630"/>
      <c r="H80" s="630"/>
      <c r="I80" s="630"/>
      <c r="J80" s="629"/>
      <c r="K80" s="629"/>
      <c r="L80" s="741">
        <f>T80</f>
        <v>2.1330643979402045E-4</v>
      </c>
      <c r="N80" s="829"/>
      <c r="O80" s="809"/>
      <c r="P80" s="830"/>
      <c r="Q80" s="810"/>
      <c r="R80" s="809"/>
      <c r="S80" s="810"/>
      <c r="T80" s="831">
        <f>AU37*(1+U103)</f>
        <v>2.1330643979402045E-4</v>
      </c>
      <c r="U80" s="810">
        <f>T80*G76</f>
        <v>1.2564773907792254E-2</v>
      </c>
      <c r="AC80" s="25"/>
      <c r="AD80" s="25"/>
    </row>
    <row r="81" spans="2:21">
      <c r="B81" s="621" t="str">
        <f>_xlfn.TEXTJOIN(",",TRUE,IF(LEFT(Regions!$C$3,1)&lt;&gt;"*",Regions!$C$3,""),IF(LEFT(Regions!$D$3,1)&lt;&gt;"*",Regions!$D$3,""))</f>
        <v>IE,National</v>
      </c>
      <c r="C81" s="622" t="str">
        <f>Y20</f>
        <v>R-BLD_Apt_D</v>
      </c>
      <c r="D81" s="623" t="str">
        <f>Z20</f>
        <v>Residential Building Apartment _ D</v>
      </c>
      <c r="E81" s="622" t="str">
        <f>COMM!$O$15</f>
        <v>RSDSH_Apt-D</v>
      </c>
      <c r="F81" s="623" t="str">
        <f>COMM!$O$6</f>
        <v>RSD_Apt</v>
      </c>
      <c r="G81" s="625">
        <f>AG13/1000</f>
        <v>43.739341649106159</v>
      </c>
      <c r="H81" s="625">
        <f>G81*$AH$26</f>
        <v>36.447993396200161</v>
      </c>
      <c r="I81" s="625">
        <v>1</v>
      </c>
      <c r="J81" s="623">
        <v>100</v>
      </c>
      <c r="K81" s="623">
        <v>1</v>
      </c>
      <c r="L81" s="731">
        <f>N81</f>
        <v>1.1378212682464769E-2</v>
      </c>
      <c r="N81" s="825">
        <f>ABS(AR38*DwellingStocks!O23*(1+$O$103))</f>
        <v>1.1378212682464769E-2</v>
      </c>
      <c r="O81" s="826">
        <f>N81*G81</f>
        <v>0.49767553187451918</v>
      </c>
      <c r="P81" s="811"/>
      <c r="Q81" s="808"/>
      <c r="R81" s="800"/>
      <c r="S81" s="808"/>
      <c r="T81" s="832"/>
      <c r="U81" s="808"/>
    </row>
    <row r="82" spans="2:21">
      <c r="B82" s="626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733"/>
      <c r="H82" s="733"/>
      <c r="I82" s="733"/>
      <c r="J82" s="448"/>
      <c r="K82" s="448"/>
      <c r="L82" s="734"/>
      <c r="N82" s="807"/>
      <c r="O82" s="800"/>
      <c r="P82" s="811"/>
      <c r="Q82" s="808"/>
      <c r="R82" s="800"/>
      <c r="S82" s="808"/>
      <c r="T82" s="832"/>
      <c r="U82" s="808"/>
    </row>
    <row r="83" spans="2:21">
      <c r="B83" s="627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737"/>
      <c r="H83" s="737"/>
      <c r="I83" s="737"/>
      <c r="J83" s="293"/>
      <c r="K83" s="293"/>
      <c r="L83" s="738">
        <f>P83</f>
        <v>1.1108166967290377E-2</v>
      </c>
      <c r="N83" s="807"/>
      <c r="O83" s="800"/>
      <c r="P83" s="811">
        <f>AS38*(1+Q103)</f>
        <v>1.1108166967290377E-2</v>
      </c>
      <c r="Q83" s="808">
        <f>P83*G81</f>
        <v>0.48586391007762925</v>
      </c>
      <c r="R83" s="800"/>
      <c r="S83" s="808"/>
      <c r="T83" s="832"/>
      <c r="U83" s="808"/>
    </row>
    <row r="84" spans="2:21">
      <c r="B84" s="626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733"/>
      <c r="H84" s="733"/>
      <c r="I84" s="733"/>
      <c r="J84" s="448"/>
      <c r="K84" s="448"/>
      <c r="L84" s="734">
        <f>R84</f>
        <v>6.3201440609991007E-4</v>
      </c>
      <c r="N84" s="807"/>
      <c r="O84" s="800"/>
      <c r="P84" s="811"/>
      <c r="Q84" s="808"/>
      <c r="R84" s="800">
        <f>AT38*(1+S103)</f>
        <v>6.3201440609991007E-4</v>
      </c>
      <c r="S84" s="808">
        <f>R84*G81</f>
        <v>2.764389403556089E-2</v>
      </c>
      <c r="T84" s="832"/>
      <c r="U84" s="808"/>
    </row>
    <row r="85" spans="2:21" ht="13.5" thickBot="1">
      <c r="B85" s="628" t="str">
        <f>_xlfn.TEXTJOIN(",",TRUE,IF(LEFT(Regions!$C$3,1)&lt;&gt;"*",Regions!$C$3,""),IF(LEFT(Regions!$D$3,1)&lt;&gt;"*",Regions!$D$3,""))</f>
        <v>IE,National</v>
      </c>
      <c r="C85" s="629"/>
      <c r="D85" s="629"/>
      <c r="E85" s="629" t="str">
        <f>COMM!$O$36</f>
        <v>RSDPF_Apt</v>
      </c>
      <c r="F85" s="629"/>
      <c r="G85" s="630"/>
      <c r="H85" s="630"/>
      <c r="I85" s="630"/>
      <c r="J85" s="629"/>
      <c r="K85" s="629"/>
      <c r="L85" s="741">
        <f>T85</f>
        <v>9.2802973696255687E-5</v>
      </c>
      <c r="N85" s="807"/>
      <c r="O85" s="800"/>
      <c r="P85" s="811"/>
      <c r="Q85" s="808"/>
      <c r="R85" s="800"/>
      <c r="S85" s="808"/>
      <c r="T85" s="832">
        <f>AU38*(1+U103)</f>
        <v>9.2802973696255687E-5</v>
      </c>
      <c r="U85" s="808">
        <f>T85*G81</f>
        <v>4.0591409725535396E-3</v>
      </c>
    </row>
    <row r="86" spans="2:21">
      <c r="B86" s="621" t="str">
        <f>_xlfn.TEXTJOIN(",",TRUE,IF(LEFT(Regions!$C$3,1)&lt;&gt;"*",Regions!$C$3,""),IF(LEFT(Regions!$D$3,1)&lt;&gt;"*",Regions!$D$3,""))</f>
        <v>IE,National</v>
      </c>
      <c r="C86" s="622" t="str">
        <f>Y21</f>
        <v>R-BLD_Apt_E</v>
      </c>
      <c r="D86" s="623" t="str">
        <f>Z21</f>
        <v>Residential Building Apartment _ E</v>
      </c>
      <c r="E86" s="622" t="str">
        <f>COMM!$O$18</f>
        <v>RSDSH_Apt-E</v>
      </c>
      <c r="F86" s="623" t="str">
        <f>COMM!$O$6</f>
        <v>RSD_Apt</v>
      </c>
      <c r="G86" s="625">
        <f>AG14/1000</f>
        <v>25.767876472761333</v>
      </c>
      <c r="H86" s="625">
        <f>G86*$AH$26</f>
        <v>21.472371464752019</v>
      </c>
      <c r="I86" s="625">
        <v>1</v>
      </c>
      <c r="J86" s="623">
        <v>100</v>
      </c>
      <c r="K86" s="623">
        <v>1</v>
      </c>
      <c r="L86" s="731">
        <f>N86</f>
        <v>1.5195699309000117E-2</v>
      </c>
      <c r="N86" s="825">
        <f>ABS(AR39*DwellingStocks!O24*(1+$O$103))</f>
        <v>1.5195699309000117E-2</v>
      </c>
      <c r="O86" s="826">
        <f>N86*G86</f>
        <v>0.39156090271153976</v>
      </c>
      <c r="P86" s="827"/>
      <c r="Q86" s="828"/>
      <c r="R86" s="826"/>
      <c r="S86" s="828"/>
      <c r="T86" s="833"/>
      <c r="U86" s="828"/>
    </row>
    <row r="87" spans="2:21">
      <c r="B87" s="626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733"/>
      <c r="H87" s="733"/>
      <c r="I87" s="733"/>
      <c r="J87" s="448"/>
      <c r="K87" s="448"/>
      <c r="L87" s="734"/>
      <c r="N87" s="807"/>
      <c r="O87" s="800"/>
      <c r="P87" s="811"/>
      <c r="Q87" s="808"/>
      <c r="R87" s="800"/>
      <c r="S87" s="808"/>
      <c r="T87" s="832"/>
      <c r="U87" s="808"/>
    </row>
    <row r="88" spans="2:21">
      <c r="B88" s="627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737"/>
      <c r="H88" s="737"/>
      <c r="I88" s="737"/>
      <c r="J88" s="293"/>
      <c r="K88" s="293"/>
      <c r="L88" s="738">
        <f>P88</f>
        <v>1.0457841158055054E-2</v>
      </c>
      <c r="N88" s="807"/>
      <c r="O88" s="800"/>
      <c r="P88" s="811">
        <f>AS39*(1+Q103)</f>
        <v>1.0457841158055054E-2</v>
      </c>
      <c r="Q88" s="808">
        <f>P88*G86</f>
        <v>0.26947635913252199</v>
      </c>
      <c r="R88" s="800"/>
      <c r="S88" s="808"/>
      <c r="T88" s="832"/>
      <c r="U88" s="808"/>
    </row>
    <row r="89" spans="2:21">
      <c r="B89" s="626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733"/>
      <c r="H89" s="733"/>
      <c r="I89" s="733"/>
      <c r="J89" s="448"/>
      <c r="K89" s="448"/>
      <c r="L89" s="734">
        <f>R89</f>
        <v>5.8833522338227453E-4</v>
      </c>
      <c r="N89" s="807"/>
      <c r="O89" s="800"/>
      <c r="P89" s="811"/>
      <c r="Q89" s="808"/>
      <c r="R89" s="800">
        <f>AT39*(1+S103)</f>
        <v>5.8833522338227453E-4</v>
      </c>
      <c r="S89" s="808">
        <f>R89*G86</f>
        <v>1.5160149360688895E-2</v>
      </c>
      <c r="T89" s="832"/>
      <c r="U89" s="808"/>
    </row>
    <row r="90" spans="2:21" ht="13.5" thickBot="1">
      <c r="B90" s="628" t="str">
        <f>_xlfn.TEXTJOIN(",",TRUE,IF(LEFT(Regions!$C$3,1)&lt;&gt;"*",Regions!$C$3,""),IF(LEFT(Regions!$D$3,1)&lt;&gt;"*",Regions!$D$3,""))</f>
        <v>IE,National</v>
      </c>
      <c r="C90" s="629"/>
      <c r="D90" s="629"/>
      <c r="E90" s="629" t="str">
        <f>COMM!$O$36</f>
        <v>RSDPF_Apt</v>
      </c>
      <c r="F90" s="629"/>
      <c r="G90" s="630"/>
      <c r="H90" s="630"/>
      <c r="I90" s="630"/>
      <c r="J90" s="629"/>
      <c r="K90" s="629"/>
      <c r="L90" s="741">
        <f>T90</f>
        <v>6.912755617635896E-5</v>
      </c>
      <c r="N90" s="829"/>
      <c r="O90" s="809"/>
      <c r="P90" s="830"/>
      <c r="Q90" s="810"/>
      <c r="R90" s="809"/>
      <c r="S90" s="810"/>
      <c r="T90" s="831">
        <f>AU39*(1+U103)</f>
        <v>6.912755617635896E-5</v>
      </c>
      <c r="U90" s="810">
        <f>T90*G86</f>
        <v>1.7812703284162874E-3</v>
      </c>
    </row>
    <row r="91" spans="2:21">
      <c r="B91" s="621" t="str">
        <f>_xlfn.TEXTJOIN(",",TRUE,IF(LEFT(Regions!$C$3,1)&lt;&gt;"*",Regions!$C$3,""),IF(LEFT(Regions!$D$3,1)&lt;&gt;"*",Regions!$D$3,""))</f>
        <v>IE,National</v>
      </c>
      <c r="C91" s="622" t="str">
        <f>Y22</f>
        <v>R-BLD_Apt_F</v>
      </c>
      <c r="D91" s="623" t="str">
        <f>Z22</f>
        <v>Residential Building Apartment _ F</v>
      </c>
      <c r="E91" s="622" t="str">
        <f>COMM!$O$21</f>
        <v>RSDSH_Apt-F</v>
      </c>
      <c r="F91" s="623" t="str">
        <f>COMM!$O$6</f>
        <v>RSD_Apt</v>
      </c>
      <c r="G91" s="625">
        <f>AG15/1000</f>
        <v>12.331173226884033</v>
      </c>
      <c r="H91" s="625">
        <f>G91*$AH$26</f>
        <v>10.275566649962466</v>
      </c>
      <c r="I91" s="625">
        <v>1</v>
      </c>
      <c r="J91" s="623">
        <v>100</v>
      </c>
      <c r="K91" s="623">
        <v>1</v>
      </c>
      <c r="L91" s="731">
        <f>N91</f>
        <v>2.0654175596908388E-2</v>
      </c>
      <c r="N91" s="825">
        <f>ABS(AR40*DwellingStocks!O25*(1+$O$103))</f>
        <v>2.0654175596908388E-2</v>
      </c>
      <c r="O91" s="826">
        <f>N91*G91</f>
        <v>0.25469021714395823</v>
      </c>
      <c r="P91" s="811"/>
      <c r="Q91" s="808"/>
      <c r="R91" s="800"/>
      <c r="S91" s="808"/>
      <c r="T91" s="832"/>
      <c r="U91" s="808"/>
    </row>
    <row r="92" spans="2:21">
      <c r="B92" s="626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733"/>
      <c r="H92" s="733"/>
      <c r="I92" s="733"/>
      <c r="J92" s="448"/>
      <c r="K92" s="448"/>
      <c r="L92" s="734"/>
      <c r="N92" s="807"/>
      <c r="O92" s="800"/>
      <c r="P92" s="811"/>
      <c r="Q92" s="808"/>
      <c r="R92" s="800"/>
      <c r="S92" s="808"/>
      <c r="T92" s="832"/>
      <c r="U92" s="808"/>
    </row>
    <row r="93" spans="2:21">
      <c r="B93" s="627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737"/>
      <c r="H93" s="737"/>
      <c r="I93" s="737"/>
      <c r="J93" s="293"/>
      <c r="K93" s="293"/>
      <c r="L93" s="738">
        <f>P93</f>
        <v>1.0592199244765043E-2</v>
      </c>
      <c r="N93" s="807"/>
      <c r="O93" s="800"/>
      <c r="P93" s="811">
        <f>AS40*(1+Q103)</f>
        <v>1.0592199244765043E-2</v>
      </c>
      <c r="Q93" s="808">
        <f>P93*G91</f>
        <v>0.13061424374086797</v>
      </c>
      <c r="R93" s="800"/>
      <c r="S93" s="808"/>
      <c r="T93" s="832"/>
      <c r="U93" s="808"/>
    </row>
    <row r="94" spans="2:21">
      <c r="B94" s="626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733"/>
      <c r="H94" s="733"/>
      <c r="I94" s="733"/>
      <c r="J94" s="448"/>
      <c r="K94" s="448"/>
      <c r="L94" s="734">
        <f>R94</f>
        <v>5.5338501641265248E-4</v>
      </c>
      <c r="N94" s="807"/>
      <c r="O94" s="800"/>
      <c r="P94" s="811"/>
      <c r="Q94" s="808"/>
      <c r="R94" s="800">
        <f>AT40*(1+S103)</f>
        <v>5.5338501641265248E-4</v>
      </c>
      <c r="S94" s="808">
        <f>R94*G91</f>
        <v>6.8238864985464814E-3</v>
      </c>
      <c r="T94" s="832"/>
      <c r="U94" s="808"/>
    </row>
    <row r="95" spans="2:21" ht="13.5" thickBot="1">
      <c r="B95" s="628" t="str">
        <f>_xlfn.TEXTJOIN(",",TRUE,IF(LEFT(Regions!$C$3,1)&lt;&gt;"*",Regions!$C$3,""),IF(LEFT(Regions!$D$3,1)&lt;&gt;"*",Regions!$D$3,""))</f>
        <v>IE,National</v>
      </c>
      <c r="C95" s="629"/>
      <c r="D95" s="629"/>
      <c r="E95" s="629" t="str">
        <f>COMM!$O$36</f>
        <v>RSDPF_Apt</v>
      </c>
      <c r="F95" s="629"/>
      <c r="G95" s="630"/>
      <c r="H95" s="630"/>
      <c r="I95" s="630"/>
      <c r="J95" s="629"/>
      <c r="K95" s="629"/>
      <c r="L95" s="741">
        <f>T95</f>
        <v>8.4873154087721639E-5</v>
      </c>
      <c r="N95" s="807"/>
      <c r="O95" s="800"/>
      <c r="P95" s="811"/>
      <c r="Q95" s="808"/>
      <c r="R95" s="800"/>
      <c r="S95" s="808"/>
      <c r="T95" s="832">
        <f>AU40*(1+U103)</f>
        <v>8.4873154087721639E-5</v>
      </c>
      <c r="U95" s="808">
        <f>T95*G91</f>
        <v>1.0465855653677162E-3</v>
      </c>
    </row>
    <row r="96" spans="2:21">
      <c r="B96" s="621" t="str">
        <f>_xlfn.TEXTJOIN(",",TRUE,IF(LEFT(Regions!$C$3,1)&lt;&gt;"*",Regions!$C$3,""),IF(LEFT(Regions!$D$3,1)&lt;&gt;"*",Regions!$D$3,""))</f>
        <v>IE,National</v>
      </c>
      <c r="C96" s="622" t="str">
        <f>Y23</f>
        <v>R-BLD_Apt_G</v>
      </c>
      <c r="D96" s="623" t="str">
        <f>Z23</f>
        <v>Residential Building Apartment _ G</v>
      </c>
      <c r="E96" s="622" t="str">
        <f>COMM!$O$24</f>
        <v>RSDSH_Apt-G</v>
      </c>
      <c r="F96" s="623" t="str">
        <f>COMM!$O$6</f>
        <v>RSD_Apt</v>
      </c>
      <c r="G96" s="625">
        <f>AG16/1000</f>
        <v>15.211172212670604</v>
      </c>
      <c r="H96" s="625">
        <f>G96*$AH$26</f>
        <v>12.675469804818414</v>
      </c>
      <c r="I96" s="625">
        <v>1</v>
      </c>
      <c r="J96" s="623">
        <v>100</v>
      </c>
      <c r="K96" s="623">
        <v>1</v>
      </c>
      <c r="L96" s="731">
        <f>N96</f>
        <v>2.4957951986448179E-2</v>
      </c>
      <c r="N96" s="825">
        <f>ABS(AR41*DwellingStocks!O26*(1+$O$103))</f>
        <v>2.4957951986448179E-2</v>
      </c>
      <c r="O96" s="826">
        <f>N96*G96</f>
        <v>0.37963970574142764</v>
      </c>
      <c r="P96" s="827"/>
      <c r="Q96" s="828"/>
      <c r="R96" s="826"/>
      <c r="S96" s="828"/>
      <c r="T96" s="833"/>
      <c r="U96" s="828"/>
    </row>
    <row r="97" spans="2:22">
      <c r="B97" s="626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733"/>
      <c r="H97" s="733"/>
      <c r="I97" s="733"/>
      <c r="J97" s="448"/>
      <c r="K97" s="448"/>
      <c r="L97" s="734"/>
      <c r="N97" s="320"/>
      <c r="P97" s="320"/>
      <c r="Q97" s="339"/>
      <c r="R97" s="800"/>
      <c r="S97" s="808"/>
      <c r="T97" s="832"/>
      <c r="U97" s="339"/>
    </row>
    <row r="98" spans="2:22">
      <c r="B98" s="627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737"/>
      <c r="H98" s="737"/>
      <c r="I98" s="737"/>
      <c r="J98" s="293"/>
      <c r="K98" s="293"/>
      <c r="L98" s="738">
        <f>P98</f>
        <v>1.0115117299883687E-2</v>
      </c>
      <c r="N98" s="320"/>
      <c r="P98" s="811">
        <f>AS41*(1+Q103)</f>
        <v>1.0115117299883687E-2</v>
      </c>
      <c r="Q98" s="808">
        <f>P98*G96</f>
        <v>0.15386279119989446</v>
      </c>
      <c r="R98" s="800"/>
      <c r="S98" s="808"/>
      <c r="T98" s="832"/>
      <c r="U98" s="339"/>
    </row>
    <row r="99" spans="2:22">
      <c r="B99" s="626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733"/>
      <c r="H99" s="733"/>
      <c r="I99" s="733"/>
      <c r="J99" s="448"/>
      <c r="K99" s="448"/>
      <c r="L99" s="734">
        <f>R99</f>
        <v>5.3389673711355711E-4</v>
      </c>
      <c r="N99" s="320"/>
      <c r="P99" s="812"/>
      <c r="Q99" s="813"/>
      <c r="R99" s="800">
        <f>AT41*(1+S103)</f>
        <v>5.3389673711355711E-4</v>
      </c>
      <c r="S99" s="808">
        <f>R99*G96</f>
        <v>8.1211952120172418E-3</v>
      </c>
      <c r="T99" s="832"/>
      <c r="U99" s="339"/>
    </row>
    <row r="100" spans="2:22" ht="13.5" thickBot="1">
      <c r="B100" s="628" t="str">
        <f>_xlfn.TEXTJOIN(",",TRUE,IF(LEFT(Regions!$C$3,1)&lt;&gt;"*",Regions!$C$3,""),IF(LEFT(Regions!$D$3,1)&lt;&gt;"*",Regions!$D$3,""))</f>
        <v>IE,National</v>
      </c>
      <c r="C100" s="629"/>
      <c r="D100" s="629"/>
      <c r="E100" s="629" t="str">
        <f>COMM!$O$36</f>
        <v>RSDPF_Apt</v>
      </c>
      <c r="F100" s="629"/>
      <c r="G100" s="630"/>
      <c r="H100" s="630"/>
      <c r="I100" s="630"/>
      <c r="J100" s="629"/>
      <c r="K100" s="629"/>
      <c r="L100" s="741">
        <f>T100</f>
        <v>7.1426639989065964E-5</v>
      </c>
      <c r="N100" s="331"/>
      <c r="O100" s="801"/>
      <c r="P100" s="814"/>
      <c r="Q100" s="815"/>
      <c r="R100" s="809"/>
      <c r="S100" s="810"/>
      <c r="T100" s="831">
        <f>AU41*(1+U103)</f>
        <v>7.1426639989065964E-5</v>
      </c>
      <c r="U100" s="810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737"/>
      <c r="H101" s="737"/>
      <c r="I101" s="737"/>
      <c r="J101" s="293"/>
      <c r="K101" s="293"/>
      <c r="L101" s="738"/>
      <c r="N101" s="329" t="s">
        <v>968</v>
      </c>
      <c r="O101" s="319">
        <f>'SHWLP-Apt'!AB27</f>
        <v>2.6198878444676876</v>
      </c>
      <c r="P101" s="323"/>
      <c r="Q101" s="324">
        <f>'SHWLP-Apt'!AB54</f>
        <v>2.3618769124773515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737"/>
      <c r="H102" s="737"/>
      <c r="I102" s="737"/>
      <c r="J102" s="293"/>
      <c r="K102" s="293"/>
      <c r="L102" s="738"/>
      <c r="N102" s="802" t="s">
        <v>960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>
      <c r="B103" s="379" t="s">
        <v>254</v>
      </c>
      <c r="C103" s="293"/>
      <c r="D103" s="293"/>
      <c r="E103" s="379"/>
      <c r="F103" s="293"/>
      <c r="G103" s="737"/>
      <c r="H103" s="737"/>
      <c r="I103" s="737"/>
      <c r="J103" s="293"/>
      <c r="K103" s="293"/>
      <c r="L103" s="738"/>
      <c r="N103" s="803" t="s">
        <v>961</v>
      </c>
      <c r="O103" s="804">
        <f>((O101-O102)/O102)</f>
        <v>0.3436006482495329</v>
      </c>
      <c r="P103" s="320"/>
      <c r="Q103" s="804">
        <f>((Q101-Q102)/Q102)</f>
        <v>0.17746249065349942</v>
      </c>
      <c r="R103" s="320"/>
      <c r="S103" s="804">
        <f>((S101-S102)/S102)</f>
        <v>-0.64037640684200592</v>
      </c>
      <c r="T103" s="320"/>
      <c r="U103" s="816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737"/>
      <c r="H104" s="737"/>
      <c r="I104" s="737"/>
      <c r="J104" s="293"/>
      <c r="K104" s="293"/>
      <c r="L104" s="738"/>
      <c r="N104" s="802" t="s">
        <v>962</v>
      </c>
      <c r="O104" s="800">
        <f>SUM(O56:O96)</f>
        <v>2.6198878444676876</v>
      </c>
      <c r="P104" s="320"/>
      <c r="Q104" s="808">
        <f>SUM(Q56:Q100)</f>
        <v>2.3618769124773515</v>
      </c>
      <c r="R104" s="320"/>
      <c r="S104" s="808">
        <f>SUM(S56:S100)</f>
        <v>0.1374141578895498</v>
      </c>
      <c r="T104" s="320"/>
      <c r="U104" s="808">
        <f>SUM(U56:U100)</f>
        <v>4.2473092432448331E-2</v>
      </c>
      <c r="V104" s="800">
        <f>SUM(O104:U104)</f>
        <v>5.1616520072670378</v>
      </c>
    </row>
    <row r="105" spans="2:22" ht="13.5" thickBot="1">
      <c r="B105" s="379" t="s">
        <v>254</v>
      </c>
      <c r="C105" s="293"/>
      <c r="D105" s="293"/>
      <c r="E105" s="379"/>
      <c r="F105" s="293"/>
      <c r="G105" s="737"/>
      <c r="H105" s="737"/>
      <c r="I105" s="737"/>
      <c r="J105" s="293"/>
      <c r="K105" s="293"/>
      <c r="L105" s="738"/>
      <c r="N105" s="805" t="s">
        <v>963</v>
      </c>
      <c r="O105" s="806">
        <f>((O101-O104)/O104)</f>
        <v>0</v>
      </c>
      <c r="P105" s="331"/>
      <c r="Q105" s="817">
        <f t="shared" ref="Q105" si="27">((Q101-Q104)/Q104)</f>
        <v>0</v>
      </c>
      <c r="R105" s="331"/>
      <c r="S105" s="817">
        <f t="shared" ref="S105" si="28">((S101-S104)/S104)</f>
        <v>0</v>
      </c>
      <c r="T105" s="331"/>
      <c r="U105" s="817">
        <f>((U101-U104)/U104)</f>
        <v>0</v>
      </c>
    </row>
    <row r="106" spans="2:22">
      <c r="B106" s="621" t="str">
        <f>_xlfn.TEXTJOIN(",",TRUE,IF(LEFT(Regions!$C$3,1)&lt;&gt;"*",Regions!$C$3,""),IF(LEFT(Regions!$D$3,1)&lt;&gt;"*",Regions!$D$3,""))</f>
        <v>IE,National</v>
      </c>
      <c r="C106" s="622" t="str">
        <f>Y24</f>
        <v>R-BLD_Det_A</v>
      </c>
      <c r="D106" s="623" t="str">
        <f>Z24</f>
        <v>Residential Building Detached _ A</v>
      </c>
      <c r="E106" s="622" t="str">
        <f>COMM!$O$11</f>
        <v>RSDSH_Det-AB</v>
      </c>
      <c r="F106" s="623" t="str">
        <f>COMM!$O$8</f>
        <v>RSD_Det</v>
      </c>
      <c r="G106" s="625">
        <f>AI8/1000</f>
        <v>31.355706337556118</v>
      </c>
      <c r="H106" s="625">
        <f>G106*$AH$26</f>
        <v>26.128710091085516</v>
      </c>
      <c r="I106" s="625">
        <v>1</v>
      </c>
      <c r="J106" s="623">
        <v>100</v>
      </c>
      <c r="K106" s="623">
        <v>1</v>
      </c>
      <c r="L106" s="731">
        <f>ABS(AR62)*0.853224702081462*0.63908</f>
        <v>2.4058665241777602E-3</v>
      </c>
      <c r="N106" s="825">
        <f>ABS(AR62*DwellingStocks!Q18*(1+O153))</f>
        <v>8.0055424669821934E-3</v>
      </c>
      <c r="O106" s="826">
        <f>N106*G106</f>
        <v>0.25101943866752818</v>
      </c>
      <c r="P106" s="827"/>
      <c r="Q106" s="828"/>
      <c r="R106" s="827"/>
      <c r="S106" s="828"/>
      <c r="T106" s="826"/>
      <c r="U106" s="828"/>
    </row>
    <row r="107" spans="2:22">
      <c r="B107" s="626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733"/>
      <c r="H107" s="733"/>
      <c r="I107" s="733"/>
      <c r="J107" s="448"/>
      <c r="K107" s="448"/>
      <c r="L107" s="734"/>
      <c r="N107" s="807"/>
      <c r="O107" s="800"/>
      <c r="P107" s="811"/>
      <c r="Q107" s="808"/>
      <c r="R107" s="811"/>
      <c r="S107" s="808"/>
      <c r="T107" s="800"/>
      <c r="U107" s="808"/>
    </row>
    <row r="108" spans="2:22">
      <c r="B108" s="627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737"/>
      <c r="H108" s="737"/>
      <c r="I108" s="737"/>
      <c r="J108" s="293"/>
      <c r="K108" s="293"/>
      <c r="L108" s="738">
        <f>AS62*0.742731884673138*0.63908</f>
        <v>4.2605415152040874E-3</v>
      </c>
      <c r="N108" s="807"/>
      <c r="O108" s="800"/>
      <c r="P108" s="811">
        <f>AS62*(1+Q153)</f>
        <v>5.8362343985197407E-3</v>
      </c>
      <c r="Q108" s="808">
        <f>P108*G106</f>
        <v>0.18299925191712846</v>
      </c>
      <c r="R108" s="811"/>
      <c r="S108" s="808"/>
      <c r="T108" s="800"/>
      <c r="U108" s="808"/>
    </row>
    <row r="109" spans="2:22">
      <c r="B109" s="626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733"/>
      <c r="H109" s="733"/>
      <c r="I109" s="733"/>
      <c r="J109" s="448"/>
      <c r="K109" s="448"/>
      <c r="L109" s="734">
        <f>AT62*0.375703674683678*0.63908</f>
        <v>8.4666683429302934E-4</v>
      </c>
      <c r="N109" s="807"/>
      <c r="O109" s="800"/>
      <c r="P109" s="811"/>
      <c r="Q109" s="808"/>
      <c r="R109" s="811">
        <f>AT62*(1+S153)</f>
        <v>1.3286819680963047E-3</v>
      </c>
      <c r="S109" s="808">
        <f>R109*G106</f>
        <v>4.1661761607633838E-2</v>
      </c>
      <c r="T109" s="800"/>
      <c r="U109" s="808"/>
    </row>
    <row r="110" spans="2:22" ht="13.5" thickBot="1">
      <c r="B110" s="628" t="str">
        <f>_xlfn.TEXTJOIN(",",TRUE,IF(LEFT(Regions!$C$3,1)&lt;&gt;"*",Regions!$C$3,""),IF(LEFT(Regions!$D$3,1)&lt;&gt;"*",Regions!$D$3,""))</f>
        <v>IE,National</v>
      </c>
      <c r="C110" s="629"/>
      <c r="D110" s="629"/>
      <c r="E110" s="629" t="str">
        <f>COMM!$O$38</f>
        <v>RSDPF_Det</v>
      </c>
      <c r="F110" s="629"/>
      <c r="G110" s="630"/>
      <c r="H110" s="630"/>
      <c r="I110" s="630"/>
      <c r="J110" s="629"/>
      <c r="K110" s="629"/>
      <c r="L110" s="741">
        <f>AU62*0.568571740836304*0.63908</f>
        <v>6.6867996369597798E-4</v>
      </c>
      <c r="N110" s="829"/>
      <c r="O110" s="809"/>
      <c r="P110" s="830"/>
      <c r="Q110" s="810"/>
      <c r="R110" s="830"/>
      <c r="S110" s="810"/>
      <c r="T110" s="831">
        <f>AU62*(1+U153)</f>
        <v>9.5319378001130356E-4</v>
      </c>
      <c r="U110" s="810">
        <f>T110*G106</f>
        <v>2.9888064248819502E-2</v>
      </c>
    </row>
    <row r="111" spans="2:22">
      <c r="B111" s="621" t="str">
        <f>_xlfn.TEXTJOIN(",",TRUE,IF(LEFT(Regions!$C$3,1)&lt;&gt;"*",Regions!$C$3,""),IF(LEFT(Regions!$D$3,1)&lt;&gt;"*",Regions!$D$3,""))</f>
        <v>IE,National</v>
      </c>
      <c r="C111" s="622" t="str">
        <f>Y25</f>
        <v>R-BLD_Det_B1</v>
      </c>
      <c r="D111" s="623" t="str">
        <f>Z25</f>
        <v>Residential Building Detached _ B1</v>
      </c>
      <c r="E111" s="622" t="str">
        <f>COMM!$O$11</f>
        <v>RSDSH_Det-AB</v>
      </c>
      <c r="F111" s="623" t="str">
        <f>COMM!$O$8</f>
        <v>RSD_Det</v>
      </c>
      <c r="G111" s="625">
        <f>AI9/1000</f>
        <v>9.4339012004747342</v>
      </c>
      <c r="H111" s="625">
        <f>G111*$AH$26</f>
        <v>7.8612698703555965</v>
      </c>
      <c r="I111" s="625">
        <v>1</v>
      </c>
      <c r="J111" s="623">
        <v>100</v>
      </c>
      <c r="K111" s="623">
        <v>1</v>
      </c>
      <c r="L111" s="731">
        <f>ABS(AR63)*0.853224702081462</f>
        <v>2.071703416196638E-2</v>
      </c>
      <c r="N111" s="825">
        <f>ABS(AR63*DwellingStocks!Q19*(1+O153))</f>
        <v>3.2684947780093329E-2</v>
      </c>
      <c r="O111" s="826">
        <f>N111*G111</f>
        <v>0.30834656810007643</v>
      </c>
      <c r="P111" s="827"/>
      <c r="Q111" s="828"/>
      <c r="R111" s="827"/>
      <c r="S111" s="828"/>
      <c r="T111" s="826"/>
      <c r="U111" s="828"/>
    </row>
    <row r="112" spans="2:22">
      <c r="B112" s="626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733"/>
      <c r="H112" s="733"/>
      <c r="I112" s="733"/>
      <c r="J112" s="448"/>
      <c r="K112" s="448"/>
      <c r="L112" s="734"/>
      <c r="N112" s="807"/>
      <c r="O112" s="800"/>
      <c r="P112" s="811"/>
      <c r="Q112" s="808"/>
      <c r="R112" s="811"/>
      <c r="S112" s="808"/>
      <c r="T112" s="800"/>
      <c r="U112" s="808"/>
    </row>
    <row r="113" spans="2:21">
      <c r="B113" s="627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737"/>
      <c r="H113" s="737"/>
      <c r="I113" s="737"/>
      <c r="J113" s="293"/>
      <c r="K113" s="293"/>
      <c r="L113" s="738">
        <f>AS63*0.742731884673138</f>
        <v>8.8922350864476061E-3</v>
      </c>
      <c r="N113" s="807"/>
      <c r="O113" s="800"/>
      <c r="P113" s="811">
        <f>AS63*(1+Q153)</f>
        <v>7.7845602943228476E-3</v>
      </c>
      <c r="Q113" s="808">
        <f t="shared" ref="Q113" si="29">P113*G111</f>
        <v>7.3438772705780267E-2</v>
      </c>
      <c r="R113" s="811"/>
      <c r="S113" s="808"/>
      <c r="T113" s="800"/>
      <c r="U113" s="808"/>
    </row>
    <row r="114" spans="2:21">
      <c r="B114" s="626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733"/>
      <c r="H114" s="733"/>
      <c r="I114" s="733"/>
      <c r="J114" s="448"/>
      <c r="K114" s="448"/>
      <c r="L114" s="734">
        <f>AT63*0.375703674683678</f>
        <v>1.7683153930356794E-3</v>
      </c>
      <c r="N114" s="807"/>
      <c r="O114" s="800"/>
      <c r="P114" s="811"/>
      <c r="Q114" s="808"/>
      <c r="R114" s="811">
        <f>AT63*(1+S153)</f>
        <v>1.7734683700287078E-3</v>
      </c>
      <c r="S114" s="808">
        <f t="shared" ref="S114" si="30">R114*G111</f>
        <v>1.6730725385017797E-2</v>
      </c>
      <c r="T114" s="800"/>
      <c r="U114" s="808"/>
    </row>
    <row r="115" spans="2:21" ht="13.5" thickBot="1">
      <c r="B115" s="628" t="str">
        <f>_xlfn.TEXTJOIN(",",TRUE,IF(LEFT(Regions!$C$3,1)&lt;&gt;"*",Regions!$C$3,""),IF(LEFT(Regions!$D$3,1)&lt;&gt;"*",Regions!$D$3,""))</f>
        <v>IE,National</v>
      </c>
      <c r="C115" s="629"/>
      <c r="D115" s="629"/>
      <c r="E115" s="629" t="str">
        <f>COMM!$O$38</f>
        <v>RSDPF_Det</v>
      </c>
      <c r="F115" s="629"/>
      <c r="G115" s="630"/>
      <c r="H115" s="630"/>
      <c r="I115" s="630"/>
      <c r="J115" s="629"/>
      <c r="K115" s="629"/>
      <c r="L115" s="741">
        <f>AU63*0.568571740836304</f>
        <v>7.5053716369545911E-4</v>
      </c>
      <c r="N115" s="829"/>
      <c r="O115" s="809"/>
      <c r="P115" s="830"/>
      <c r="Q115" s="810"/>
      <c r="R115" s="830"/>
      <c r="S115" s="810"/>
      <c r="T115" s="831">
        <f>AU63*(1+U153)</f>
        <v>6.8373894532517158E-4</v>
      </c>
      <c r="U115" s="810">
        <f t="shared" ref="U115" si="31">T115*G111</f>
        <v>6.4503256571144651E-3</v>
      </c>
    </row>
    <row r="116" spans="2:21">
      <c r="B116" s="621" t="str">
        <f>_xlfn.TEXTJOIN(",",TRUE,IF(LEFT(Regions!$C$3,1)&lt;&gt;"*",Regions!$C$3,""),IF(LEFT(Regions!$D$3,1)&lt;&gt;"*",Regions!$D$3,""))</f>
        <v>IE,National</v>
      </c>
      <c r="C116" s="622" t="str">
        <f>Y26</f>
        <v>R-BLD_Det_B2</v>
      </c>
      <c r="D116" s="623" t="str">
        <f>Z26</f>
        <v>Residential Building Detached _ B2</v>
      </c>
      <c r="E116" s="622" t="str">
        <f>COMM!$O$11</f>
        <v>RSDSH_Det-AB</v>
      </c>
      <c r="F116" s="623" t="str">
        <f>COMM!$O$8</f>
        <v>RSD_Det</v>
      </c>
      <c r="G116" s="625">
        <f>AI10/1000</f>
        <v>20.090949195825139</v>
      </c>
      <c r="H116" s="625">
        <f>G116*$AH$26</f>
        <v>16.741787964881091</v>
      </c>
      <c r="I116" s="625">
        <v>1</v>
      </c>
      <c r="J116" s="623">
        <v>100</v>
      </c>
      <c r="K116" s="623">
        <v>1</v>
      </c>
      <c r="L116" s="731">
        <f>ABS(AR64)*0.853224702081462</f>
        <v>3.3083652738783227E-2</v>
      </c>
      <c r="N116" s="825">
        <f>ABS(AR64*DwellingStocks!Q20*(1+O153))</f>
        <v>5.2195572671645152E-2</v>
      </c>
      <c r="O116" s="826">
        <f>N116*G116</f>
        <v>1.0486585987930217</v>
      </c>
      <c r="P116" s="827"/>
      <c r="Q116" s="828"/>
      <c r="R116" s="827"/>
      <c r="S116" s="828"/>
      <c r="T116" s="826"/>
      <c r="U116" s="828"/>
    </row>
    <row r="117" spans="2:21">
      <c r="B117" s="626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733"/>
      <c r="H117" s="733"/>
      <c r="I117" s="733"/>
      <c r="J117" s="448"/>
      <c r="K117" s="448"/>
      <c r="L117" s="734"/>
      <c r="N117" s="807"/>
      <c r="O117" s="800"/>
      <c r="P117" s="811"/>
      <c r="Q117" s="808"/>
      <c r="R117" s="811"/>
      <c r="S117" s="808"/>
      <c r="T117" s="800"/>
      <c r="U117" s="808"/>
    </row>
    <row r="118" spans="2:21">
      <c r="B118" s="627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737"/>
      <c r="H118" s="737"/>
      <c r="I118" s="737"/>
      <c r="J118" s="293"/>
      <c r="K118" s="293"/>
      <c r="L118" s="738">
        <f>AS64*0.742731884673138</f>
        <v>1.1723646251772786E-2</v>
      </c>
      <c r="N118" s="807"/>
      <c r="O118" s="800"/>
      <c r="P118" s="811">
        <f>AS64*(1+Q153)</f>
        <v>1.0263272420151062E-2</v>
      </c>
      <c r="Q118" s="808">
        <f t="shared" ref="Q118" si="32">P118*G116</f>
        <v>0.2061988847761683</v>
      </c>
      <c r="R118" s="811"/>
      <c r="S118" s="808"/>
      <c r="T118" s="800"/>
      <c r="U118" s="808"/>
    </row>
    <row r="119" spans="2:21">
      <c r="B119" s="626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733"/>
      <c r="H119" s="733"/>
      <c r="I119" s="733"/>
      <c r="J119" s="448"/>
      <c r="K119" s="448"/>
      <c r="L119" s="734">
        <f>AT64*0.375703674683678</f>
        <v>2.004768212400896E-3</v>
      </c>
      <c r="N119" s="807"/>
      <c r="O119" s="800"/>
      <c r="P119" s="811"/>
      <c r="Q119" s="808"/>
      <c r="R119" s="811">
        <f>AT64*(1+S153)</f>
        <v>2.0106102270751685E-3</v>
      </c>
      <c r="S119" s="808">
        <f t="shared" ref="S119" si="33">R119*G116</f>
        <v>4.039506792477366E-2</v>
      </c>
      <c r="T119" s="800"/>
      <c r="U119" s="808"/>
    </row>
    <row r="120" spans="2:21" ht="13.5" thickBot="1">
      <c r="B120" s="628" t="str">
        <f>_xlfn.TEXTJOIN(",",TRUE,IF(LEFT(Regions!$C$3,1)&lt;&gt;"*",Regions!$C$3,""),IF(LEFT(Regions!$D$3,1)&lt;&gt;"*",Regions!$D$3,""))</f>
        <v>IE,National</v>
      </c>
      <c r="C120" s="629"/>
      <c r="D120" s="629"/>
      <c r="E120" s="629" t="str">
        <f>COMM!$O$38</f>
        <v>RSDPF_Det</v>
      </c>
      <c r="F120" s="629"/>
      <c r="G120" s="630"/>
      <c r="H120" s="630"/>
      <c r="I120" s="630"/>
      <c r="J120" s="629"/>
      <c r="K120" s="629"/>
      <c r="L120" s="741">
        <f>AU64*0.568571740836304</f>
        <v>5.911548427780883E-4</v>
      </c>
      <c r="N120" s="829"/>
      <c r="O120" s="809"/>
      <c r="P120" s="830"/>
      <c r="Q120" s="810"/>
      <c r="R120" s="830"/>
      <c r="S120" s="810"/>
      <c r="T120" s="831">
        <f>AU64*(1+U153)</f>
        <v>5.3854173820627185E-4</v>
      </c>
      <c r="U120" s="810">
        <f t="shared" ref="U120" si="34">T120*G116</f>
        <v>1.0819814702133571E-2</v>
      </c>
    </row>
    <row r="121" spans="2:21">
      <c r="B121" s="621" t="str">
        <f>_xlfn.TEXTJOIN(",",TRUE,IF(LEFT(Regions!$C$3,1)&lt;&gt;"*",Regions!$C$3,""),IF(LEFT(Regions!$D$3,1)&lt;&gt;"*",Regions!$D$3,""))</f>
        <v>IE,National</v>
      </c>
      <c r="C121" s="622" t="str">
        <f>Y27</f>
        <v>R-BLD_Det_B3</v>
      </c>
      <c r="D121" s="623" t="str">
        <f>Z27</f>
        <v>Residential Building Detached _ B3</v>
      </c>
      <c r="E121" s="622" t="str">
        <f>COMM!$O$11</f>
        <v>RSDSH_Det-AB</v>
      </c>
      <c r="F121" s="623" t="str">
        <f>COMM!$O$8</f>
        <v>RSD_Det</v>
      </c>
      <c r="G121" s="625">
        <f>AI11/1000</f>
        <v>53.466210043981668</v>
      </c>
      <c r="H121" s="625">
        <f>G121*$AH$26</f>
        <v>44.55339282964993</v>
      </c>
      <c r="I121" s="625">
        <v>1</v>
      </c>
      <c r="J121" s="623">
        <v>100</v>
      </c>
      <c r="K121" s="623">
        <v>1</v>
      </c>
      <c r="L121" s="731">
        <f>ABS(AR65)*0.853224702081462</f>
        <v>3.8234291164306322E-2</v>
      </c>
      <c r="N121" s="825">
        <f>ABS(AR65*DwellingStocks!Q21*(1+O153))</f>
        <v>6.0321656099234844E-2</v>
      </c>
      <c r="O121" s="826">
        <f>N121*G121</f>
        <v>3.2251703352025181</v>
      </c>
      <c r="P121" s="827"/>
      <c r="Q121" s="828"/>
      <c r="R121" s="827"/>
      <c r="S121" s="828"/>
      <c r="T121" s="826"/>
      <c r="U121" s="828"/>
    </row>
    <row r="122" spans="2:21">
      <c r="B122" s="626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733"/>
      <c r="H122" s="733"/>
      <c r="I122" s="733"/>
      <c r="J122" s="448"/>
      <c r="K122" s="448"/>
      <c r="L122" s="734"/>
      <c r="N122" s="807"/>
      <c r="O122" s="800"/>
      <c r="P122" s="811"/>
      <c r="Q122" s="808"/>
      <c r="R122" s="811"/>
      <c r="S122" s="808"/>
      <c r="T122" s="800"/>
      <c r="U122" s="808"/>
    </row>
    <row r="123" spans="2:21">
      <c r="B123" s="627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737"/>
      <c r="H123" s="737"/>
      <c r="I123" s="737"/>
      <c r="J123" s="293"/>
      <c r="K123" s="293"/>
      <c r="L123" s="738">
        <f>AS65*0.742731884673138</f>
        <v>1.3255956176612656E-2</v>
      </c>
      <c r="N123" s="807"/>
      <c r="O123" s="800"/>
      <c r="P123" s="811">
        <f>AS65*(1+Q153)</f>
        <v>1.1604707827958144E-2</v>
      </c>
      <c r="Q123" s="808">
        <f t="shared" ref="Q123" si="35">P123*G121</f>
        <v>0.62045974622864841</v>
      </c>
      <c r="R123" s="811"/>
      <c r="S123" s="808"/>
      <c r="T123" s="800"/>
      <c r="U123" s="808"/>
    </row>
    <row r="124" spans="2:21">
      <c r="B124" s="626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733"/>
      <c r="H124" s="733"/>
      <c r="I124" s="733"/>
      <c r="J124" s="448"/>
      <c r="K124" s="448"/>
      <c r="L124" s="734">
        <f>AT65*0.375703674683678</f>
        <v>1.9617916456053579E-3</v>
      </c>
      <c r="N124" s="807"/>
      <c r="O124" s="800"/>
      <c r="P124" s="811"/>
      <c r="Q124" s="808"/>
      <c r="R124" s="811">
        <f>AT65*(1+S153)</f>
        <v>1.9675084239893117E-3</v>
      </c>
      <c r="S124" s="808">
        <f t="shared" ref="S124" si="36">R124*G121</f>
        <v>0.10519521866031588</v>
      </c>
      <c r="T124" s="800"/>
      <c r="U124" s="808"/>
    </row>
    <row r="125" spans="2:21" ht="13.5" thickBot="1">
      <c r="B125" s="628" t="str">
        <f>_xlfn.TEXTJOIN(",",TRUE,IF(LEFT(Regions!$C$3,1)&lt;&gt;"*",Regions!$C$3,""),IF(LEFT(Regions!$D$3,1)&lt;&gt;"*",Regions!$D$3,""))</f>
        <v>IE,National</v>
      </c>
      <c r="C125" s="629"/>
      <c r="D125" s="629"/>
      <c r="E125" s="629" t="str">
        <f>COMM!$O$38</f>
        <v>RSDPF_Det</v>
      </c>
      <c r="F125" s="629"/>
      <c r="G125" s="630"/>
      <c r="H125" s="630"/>
      <c r="I125" s="630"/>
      <c r="J125" s="629"/>
      <c r="K125" s="629"/>
      <c r="L125" s="741">
        <f>AU65*0.568571740836304</f>
        <v>5.1352659953481268E-4</v>
      </c>
      <c r="N125" s="829"/>
      <c r="O125" s="809"/>
      <c r="P125" s="830"/>
      <c r="Q125" s="810"/>
      <c r="R125" s="830"/>
      <c r="S125" s="810"/>
      <c r="T125" s="831">
        <f>AU64*(1+U153)</f>
        <v>5.3854173820627185E-4</v>
      </c>
      <c r="U125" s="810">
        <f t="shared" ref="U125" si="37">T125*G121</f>
        <v>2.8793785692387518E-2</v>
      </c>
    </row>
    <row r="126" spans="2:21">
      <c r="B126" s="621" t="str">
        <f>_xlfn.TEXTJOIN(",",TRUE,IF(LEFT(Regions!$C$3,1)&lt;&gt;"*",Regions!$C$3,""),IF(LEFT(Regions!$D$3,1)&lt;&gt;"*",Regions!$D$3,""))</f>
        <v>IE,National</v>
      </c>
      <c r="C126" s="622" t="str">
        <f>Y28</f>
        <v>R-BLD_Det_C</v>
      </c>
      <c r="D126" s="623" t="str">
        <f>Z28</f>
        <v>Residential Building Detached _ C</v>
      </c>
      <c r="E126" s="622" t="str">
        <f>COMM!$O$14</f>
        <v>RSDSH_Det-C</v>
      </c>
      <c r="F126" s="623" t="str">
        <f>COMM!$O$8</f>
        <v>RSD_Det</v>
      </c>
      <c r="G126" s="625">
        <f>AI12/1000</f>
        <v>251.3189336137435</v>
      </c>
      <c r="H126" s="625">
        <f>G126*$AH$26</f>
        <v>209.42406738033247</v>
      </c>
      <c r="I126" s="625">
        <v>1</v>
      </c>
      <c r="J126" s="623">
        <v>100</v>
      </c>
      <c r="K126" s="623">
        <v>1</v>
      </c>
      <c r="L126" s="731">
        <f>ABS(AR66)*0.853224702081462</f>
        <v>4.3300799885821681E-2</v>
      </c>
      <c r="N126" s="825">
        <f>ABS(AR66*DwellingStocks!Q22*(1+O153))</f>
        <v>4.4480288662774217E-2</v>
      </c>
      <c r="O126" s="826">
        <f>N126*G126</f>
        <v>11.1787387135599</v>
      </c>
      <c r="P126" s="827"/>
      <c r="Q126" s="828"/>
      <c r="R126" s="827"/>
      <c r="S126" s="828"/>
      <c r="T126" s="826"/>
      <c r="U126" s="828"/>
    </row>
    <row r="127" spans="2:21">
      <c r="B127" s="626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733"/>
      <c r="H127" s="733"/>
      <c r="I127" s="733"/>
      <c r="J127" s="448"/>
      <c r="K127" s="448"/>
      <c r="L127" s="734"/>
      <c r="N127" s="807"/>
      <c r="O127" s="800"/>
      <c r="P127" s="811"/>
      <c r="Q127" s="808"/>
      <c r="R127" s="811"/>
      <c r="S127" s="808"/>
      <c r="T127" s="800"/>
      <c r="U127" s="808"/>
    </row>
    <row r="128" spans="2:21">
      <c r="B128" s="627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737"/>
      <c r="H128" s="737"/>
      <c r="I128" s="737"/>
      <c r="J128" s="293"/>
      <c r="K128" s="293"/>
      <c r="L128" s="738">
        <f>AS66*0.742731884673138</f>
        <v>1.4139525083172063E-2</v>
      </c>
      <c r="N128" s="807"/>
      <c r="O128" s="800"/>
      <c r="P128" s="811">
        <f>AS66*(1+Q153)</f>
        <v>1.2378213629416707E-2</v>
      </c>
      <c r="Q128" s="808">
        <f t="shared" ref="Q128" si="38">P128*G126</f>
        <v>3.1108794493881122</v>
      </c>
      <c r="R128" s="811"/>
      <c r="S128" s="808"/>
      <c r="T128" s="800"/>
      <c r="U128" s="808"/>
    </row>
    <row r="129" spans="2:21">
      <c r="B129" s="626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733"/>
      <c r="H129" s="733"/>
      <c r="I129" s="733"/>
      <c r="J129" s="448"/>
      <c r="K129" s="448"/>
      <c r="L129" s="734">
        <f>AT66*0.375703674683678</f>
        <v>1.7035279711745406E-3</v>
      </c>
      <c r="N129" s="807"/>
      <c r="O129" s="800"/>
      <c r="P129" s="811"/>
      <c r="Q129" s="808"/>
      <c r="R129" s="811">
        <f>AT66*(1+S153)</f>
        <v>1.7084921537389264E-3</v>
      </c>
      <c r="S129" s="808">
        <f t="shared" ref="S129" si="39">R129*G126</f>
        <v>0.4293764261651149</v>
      </c>
      <c r="T129" s="800"/>
      <c r="U129" s="808"/>
    </row>
    <row r="130" spans="2:21" ht="13.5" thickBot="1">
      <c r="B130" s="628" t="str">
        <f>_xlfn.TEXTJOIN(",",TRUE,IF(LEFT(Regions!$C$3,1)&lt;&gt;"*",Regions!$C$3,""),IF(LEFT(Regions!$D$3,1)&lt;&gt;"*",Regions!$D$3,""))</f>
        <v>IE,National</v>
      </c>
      <c r="C130" s="629"/>
      <c r="D130" s="629"/>
      <c r="E130" s="629" t="str">
        <f>COMM!$O$38</f>
        <v>RSDPF_Det</v>
      </c>
      <c r="F130" s="629"/>
      <c r="G130" s="630"/>
      <c r="H130" s="630"/>
      <c r="I130" s="630"/>
      <c r="J130" s="629"/>
      <c r="K130" s="629"/>
      <c r="L130" s="741">
        <f>AU66*0.568571740836304</f>
        <v>4.7564031426238504E-4</v>
      </c>
      <c r="N130" s="829"/>
      <c r="O130" s="809"/>
      <c r="P130" s="830"/>
      <c r="Q130" s="810"/>
      <c r="R130" s="830"/>
      <c r="S130" s="810"/>
      <c r="T130" s="831">
        <f>AU65*(1+U153)</f>
        <v>4.6782245110093661E-4</v>
      </c>
      <c r="U130" s="810">
        <f t="shared" ref="U130" si="40">T130*G126</f>
        <v>0.11757263953125505</v>
      </c>
    </row>
    <row r="131" spans="2:21">
      <c r="B131" s="621" t="str">
        <f>_xlfn.TEXTJOIN(",",TRUE,IF(LEFT(Regions!$C$3,1)&lt;&gt;"*",Regions!$C$3,""),IF(LEFT(Regions!$D$3,1)&lt;&gt;"*",Regions!$D$3,""))</f>
        <v>IE,National</v>
      </c>
      <c r="C131" s="622" t="str">
        <f>Y29</f>
        <v>R-BLD_Det_D</v>
      </c>
      <c r="D131" s="623" t="str">
        <f>Z29</f>
        <v>Residential Building Detached _ D</v>
      </c>
      <c r="E131" s="622" t="str">
        <f>COMM!$O$17</f>
        <v>RSDSH_Det-D</v>
      </c>
      <c r="F131" s="623" t="str">
        <f>COMM!$O$8</f>
        <v>RSD_Det</v>
      </c>
      <c r="G131" s="625">
        <f>AI13/1000</f>
        <v>166.66779141279125</v>
      </c>
      <c r="H131" s="625">
        <f>G131*$AH$26</f>
        <v>138.88427058427897</v>
      </c>
      <c r="I131" s="625">
        <v>1</v>
      </c>
      <c r="J131" s="623">
        <v>100</v>
      </c>
      <c r="K131" s="623">
        <v>1</v>
      </c>
      <c r="L131" s="731">
        <f>ABS(AR67)*0.853224702081462</f>
        <v>4.8901598340165373E-2</v>
      </c>
      <c r="N131" s="825">
        <f>ABS(AR67*DwellingStocks!Q23*(1+O153))</f>
        <v>5.2110283790749869E-2</v>
      </c>
      <c r="O131" s="826">
        <f>N131*G131</f>
        <v>8.6851059092980556</v>
      </c>
      <c r="P131" s="827"/>
      <c r="Q131" s="828"/>
      <c r="R131" s="827"/>
      <c r="S131" s="828"/>
      <c r="T131" s="826"/>
      <c r="U131" s="828"/>
    </row>
    <row r="132" spans="2:21">
      <c r="B132" s="626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733"/>
      <c r="H132" s="733"/>
      <c r="I132" s="733"/>
      <c r="J132" s="448"/>
      <c r="K132" s="448"/>
      <c r="L132" s="734"/>
      <c r="N132" s="807"/>
      <c r="O132" s="800"/>
      <c r="P132" s="811"/>
      <c r="Q132" s="808"/>
      <c r="R132" s="811"/>
      <c r="S132" s="808"/>
      <c r="T132" s="800"/>
      <c r="U132" s="808"/>
    </row>
    <row r="133" spans="2:21">
      <c r="B133" s="627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737"/>
      <c r="H133" s="737"/>
      <c r="I133" s="737"/>
      <c r="J133" s="293"/>
      <c r="K133" s="293"/>
      <c r="L133" s="738">
        <f>AS67*0.742731884673138</f>
        <v>1.4303829274544932E-2</v>
      </c>
      <c r="N133" s="807"/>
      <c r="O133" s="800"/>
      <c r="P133" s="811">
        <f>AS67*(1+Q153)</f>
        <v>1.2522051019220021E-2</v>
      </c>
      <c r="Q133" s="808">
        <f t="shared" ref="Q133" si="41">P133*G131</f>
        <v>2.0870225873316923</v>
      </c>
      <c r="R133" s="811"/>
      <c r="S133" s="808"/>
      <c r="T133" s="800"/>
      <c r="U133" s="808"/>
    </row>
    <row r="134" spans="2:21">
      <c r="B134" s="626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733"/>
      <c r="H134" s="733"/>
      <c r="I134" s="733"/>
      <c r="J134" s="448"/>
      <c r="K134" s="448"/>
      <c r="L134" s="734">
        <f>AT67*0.375703674683678</f>
        <v>1.3931982012489457E-3</v>
      </c>
      <c r="N134" s="807"/>
      <c r="O134" s="800"/>
      <c r="P134" s="811"/>
      <c r="Q134" s="808"/>
      <c r="R134" s="811">
        <f>AT67*(1+S153)</f>
        <v>1.3972580642722719E-3</v>
      </c>
      <c r="S134" s="808">
        <f t="shared" ref="S134" si="42">R134*G131</f>
        <v>0.23287791560597149</v>
      </c>
      <c r="T134" s="800"/>
      <c r="U134" s="808"/>
    </row>
    <row r="135" spans="2:21" ht="13.5" thickBot="1">
      <c r="B135" s="628" t="str">
        <f>_xlfn.TEXTJOIN(",",TRUE,IF(LEFT(Regions!$C$3,1)&lt;&gt;"*",Regions!$C$3,""),IF(LEFT(Regions!$D$3,1)&lt;&gt;"*",Regions!$D$3,""))</f>
        <v>IE,National</v>
      </c>
      <c r="C135" s="629"/>
      <c r="D135" s="629"/>
      <c r="E135" s="629" t="str">
        <f>COMM!$O$38</f>
        <v>RSDPF_Det</v>
      </c>
      <c r="F135" s="629"/>
      <c r="G135" s="630"/>
      <c r="H135" s="630"/>
      <c r="I135" s="630"/>
      <c r="J135" s="629"/>
      <c r="K135" s="629"/>
      <c r="L135" s="741">
        <f>AU67*0.568571740836304</f>
        <v>4.620421675097221E-4</v>
      </c>
      <c r="N135" s="829"/>
      <c r="O135" s="809"/>
      <c r="P135" s="830"/>
      <c r="Q135" s="810"/>
      <c r="R135" s="830"/>
      <c r="S135" s="810"/>
      <c r="T135" s="831">
        <f>AU66*(1+U153)</f>
        <v>4.3330806595455462E-4</v>
      </c>
      <c r="U135" s="810">
        <f t="shared" ref="U135" si="43">T135*G131</f>
        <v>7.2218498353993701E-2</v>
      </c>
    </row>
    <row r="136" spans="2:21">
      <c r="B136" s="621" t="str">
        <f>_xlfn.TEXTJOIN(",",TRUE,IF(LEFT(Regions!$C$3,1)&lt;&gt;"*",Regions!$C$3,""),IF(LEFT(Regions!$D$3,1)&lt;&gt;"*",Regions!$D$3,""))</f>
        <v>IE,National</v>
      </c>
      <c r="C136" s="622" t="str">
        <f>Y30</f>
        <v>R-BLD_Det_E</v>
      </c>
      <c r="D136" s="623" t="str">
        <f>Z30</f>
        <v>Residential Building Detached _ E</v>
      </c>
      <c r="E136" s="622" t="str">
        <f>COMM!$O$20</f>
        <v>RSDSH_Det-E</v>
      </c>
      <c r="F136" s="623" t="str">
        <f>COMM!$O$8</f>
        <v>RSD_Det</v>
      </c>
      <c r="G136" s="625">
        <f>AI14/1000</f>
        <v>81.396697989555506</v>
      </c>
      <c r="H136" s="625">
        <f>G136*$AH$26</f>
        <v>67.827868434696612</v>
      </c>
      <c r="I136" s="625">
        <v>1</v>
      </c>
      <c r="J136" s="623">
        <v>100</v>
      </c>
      <c r="K136" s="623">
        <v>1</v>
      </c>
      <c r="L136" s="731">
        <f>ABS(AR68)*0.853224702081462</f>
        <v>6.0316400230437453E-2</v>
      </c>
      <c r="N136" s="825">
        <f>ABS(AR68*DwellingStocks!Q24*(1+O153))</f>
        <v>6.5458725449663108E-2</v>
      </c>
      <c r="O136" s="826">
        <f>N136*G136</f>
        <v>5.3281241062074587</v>
      </c>
      <c r="P136" s="827"/>
      <c r="Q136" s="828"/>
      <c r="R136" s="827"/>
      <c r="S136" s="828"/>
      <c r="T136" s="826"/>
      <c r="U136" s="828"/>
    </row>
    <row r="137" spans="2:21">
      <c r="B137" s="626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733"/>
      <c r="H137" s="733"/>
      <c r="I137" s="733"/>
      <c r="J137" s="448"/>
      <c r="K137" s="448"/>
      <c r="L137" s="734"/>
      <c r="N137" s="807"/>
      <c r="O137" s="800"/>
      <c r="P137" s="811"/>
      <c r="Q137" s="808"/>
      <c r="R137" s="811"/>
      <c r="S137" s="808"/>
      <c r="T137" s="800"/>
      <c r="U137" s="808"/>
    </row>
    <row r="138" spans="2:21">
      <c r="B138" s="627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737"/>
      <c r="H138" s="737"/>
      <c r="I138" s="737"/>
      <c r="J138" s="293"/>
      <c r="K138" s="293"/>
      <c r="L138" s="738">
        <f>AS68*0.742731884673138</f>
        <v>1.4351733209498384E-2</v>
      </c>
      <c r="N138" s="807"/>
      <c r="O138" s="800"/>
      <c r="P138" s="811">
        <f>AS68*(1+Q153)</f>
        <v>1.25639877276353E-2</v>
      </c>
      <c r="Q138" s="808">
        <f t="shared" ref="Q138" si="44">P138*G136</f>
        <v>1.0226671146108122</v>
      </c>
      <c r="R138" s="811"/>
      <c r="S138" s="808"/>
      <c r="T138" s="800"/>
      <c r="U138" s="808"/>
    </row>
    <row r="139" spans="2:21">
      <c r="B139" s="626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733"/>
      <c r="H139" s="733"/>
      <c r="I139" s="733"/>
      <c r="J139" s="448"/>
      <c r="K139" s="448"/>
      <c r="L139" s="734">
        <f>AT68*0.375703674683678</f>
        <v>1.2866536750593203E-3</v>
      </c>
      <c r="N139" s="807"/>
      <c r="O139" s="800"/>
      <c r="P139" s="811"/>
      <c r="Q139" s="808"/>
      <c r="R139" s="811">
        <f>AT68*(1+S153)</f>
        <v>1.2904030609503711E-3</v>
      </c>
      <c r="S139" s="808">
        <f t="shared" ref="S139" si="45">R139*G136</f>
        <v>0.10503454823697535</v>
      </c>
      <c r="T139" s="800"/>
      <c r="U139" s="808"/>
    </row>
    <row r="140" spans="2:21" ht="13.5" thickBot="1">
      <c r="B140" s="628" t="str">
        <f>_xlfn.TEXTJOIN(",",TRUE,IF(LEFT(Regions!$C$3,1)&lt;&gt;"*",Regions!$C$3,""),IF(LEFT(Regions!$D$3,1)&lt;&gt;"*",Regions!$D$3,""))</f>
        <v>IE,National</v>
      </c>
      <c r="C140" s="629"/>
      <c r="D140" s="629"/>
      <c r="E140" s="629" t="str">
        <f>COMM!$O$38</f>
        <v>RSDPF_Det</v>
      </c>
      <c r="F140" s="629"/>
      <c r="G140" s="630"/>
      <c r="H140" s="630"/>
      <c r="I140" s="630"/>
      <c r="J140" s="629"/>
      <c r="K140" s="629"/>
      <c r="L140" s="741">
        <f>AU68*0.568571740836304</f>
        <v>4.317396430081587E-4</v>
      </c>
      <c r="N140" s="829"/>
      <c r="O140" s="809"/>
      <c r="P140" s="830"/>
      <c r="Q140" s="810"/>
      <c r="R140" s="830"/>
      <c r="S140" s="810"/>
      <c r="T140" s="831">
        <f>AU67*(1+U153)</f>
        <v>4.2092016170573141E-4</v>
      </c>
      <c r="U140" s="810">
        <f t="shared" ref="U140" si="46">T140*G136</f>
        <v>3.4261511280076283E-2</v>
      </c>
    </row>
    <row r="141" spans="2:21">
      <c r="B141" s="621" t="str">
        <f>_xlfn.TEXTJOIN(",",TRUE,IF(LEFT(Regions!$C$3,1)&lt;&gt;"*",Regions!$C$3,""),IF(LEFT(Regions!$D$3,1)&lt;&gt;"*",Regions!$D$3,""))</f>
        <v>IE,National</v>
      </c>
      <c r="C141" s="622" t="str">
        <f>Y31</f>
        <v>R-BLD_Det_F</v>
      </c>
      <c r="D141" s="623" t="str">
        <f>Z31</f>
        <v>Residential Building Detached _ F</v>
      </c>
      <c r="E141" s="622" t="str">
        <f>COMM!$O$23</f>
        <v>RSDSH_Det-F</v>
      </c>
      <c r="F141" s="623" t="str">
        <f>COMM!$O$8</f>
        <v>RSD_Det</v>
      </c>
      <c r="G141" s="625">
        <f>AI15/1000</f>
        <v>43.241005762967113</v>
      </c>
      <c r="H141" s="625">
        <f>G141*$AH$26</f>
        <v>36.032730102280496</v>
      </c>
      <c r="I141" s="625">
        <v>1</v>
      </c>
      <c r="J141" s="623">
        <v>100</v>
      </c>
      <c r="K141" s="623">
        <v>1</v>
      </c>
      <c r="L141" s="731">
        <f>ABS(AR69)*0.853224702081462</f>
        <v>7.2534210143308783E-2</v>
      </c>
      <c r="N141" s="825">
        <f>ABS(AR69*DwellingStocks!Q25*(1+O153))</f>
        <v>7.9985226511711388E-2</v>
      </c>
      <c r="O141" s="826">
        <f>N141*G141</f>
        <v>3.4586416405451419</v>
      </c>
      <c r="P141" s="827"/>
      <c r="Q141" s="828"/>
      <c r="R141" s="827"/>
      <c r="S141" s="828"/>
      <c r="T141" s="826"/>
      <c r="U141" s="828"/>
    </row>
    <row r="142" spans="2:21">
      <c r="B142" s="626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733"/>
      <c r="H142" s="733"/>
      <c r="I142" s="733"/>
      <c r="J142" s="448"/>
      <c r="K142" s="448"/>
      <c r="L142" s="734"/>
      <c r="N142" s="807"/>
      <c r="O142" s="800"/>
      <c r="P142" s="811"/>
      <c r="Q142" s="808"/>
      <c r="R142" s="811"/>
      <c r="S142" s="808"/>
      <c r="T142" s="800"/>
      <c r="U142" s="808"/>
    </row>
    <row r="143" spans="2:21">
      <c r="B143" s="627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737"/>
      <c r="H143" s="737"/>
      <c r="I143" s="737"/>
      <c r="J143" s="293"/>
      <c r="K143" s="293"/>
      <c r="L143" s="738">
        <f>AS69*0.742731884673138</f>
        <v>1.4431449095148411E-2</v>
      </c>
      <c r="N143" s="807"/>
      <c r="O143" s="800"/>
      <c r="P143" s="811">
        <f>AS69*(1+Q153)</f>
        <v>1.2633773682710164E-2</v>
      </c>
      <c r="Q143" s="808">
        <f t="shared" ref="Q143" si="47">P143*G141</f>
        <v>0.54629708062209248</v>
      </c>
      <c r="R143" s="811"/>
      <c r="S143" s="808"/>
      <c r="T143" s="800"/>
      <c r="U143" s="808"/>
    </row>
    <row r="144" spans="2:21">
      <c r="B144" s="626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733"/>
      <c r="H144" s="733"/>
      <c r="I144" s="733"/>
      <c r="J144" s="448"/>
      <c r="K144" s="448"/>
      <c r="L144" s="734">
        <f>AT69*0.375703674683678</f>
        <v>1.2249928868643262E-3</v>
      </c>
      <c r="N144" s="807"/>
      <c r="O144" s="800"/>
      <c r="P144" s="811"/>
      <c r="Q144" s="808"/>
      <c r="R144" s="811">
        <f>AT69*(1+S153)</f>
        <v>1.2285625895245506E-3</v>
      </c>
      <c r="S144" s="808">
        <f t="shared" ref="S144" si="48">R144*G141</f>
        <v>5.3124282013796889E-2</v>
      </c>
      <c r="T144" s="800"/>
      <c r="U144" s="808"/>
    </row>
    <row r="145" spans="2:22" ht="13.5" thickBot="1">
      <c r="B145" s="628" t="str">
        <f>_xlfn.TEXTJOIN(",",TRUE,IF(LEFT(Regions!$C$3,1)&lt;&gt;"*",Regions!$C$3,""),IF(LEFT(Regions!$D$3,1)&lt;&gt;"*",Regions!$D$3,""))</f>
        <v>IE,National</v>
      </c>
      <c r="C145" s="629"/>
      <c r="D145" s="629"/>
      <c r="E145" s="629" t="str">
        <f>COMM!$O$38</f>
        <v>RSDPF_Det</v>
      </c>
      <c r="F145" s="629"/>
      <c r="G145" s="630"/>
      <c r="H145" s="630"/>
      <c r="I145" s="630"/>
      <c r="J145" s="629"/>
      <c r="K145" s="629"/>
      <c r="L145" s="741">
        <f>AU69*0.568571740836304</f>
        <v>4.1119730191954164E-4</v>
      </c>
      <c r="N145" s="829"/>
      <c r="O145" s="809"/>
      <c r="P145" s="830"/>
      <c r="Q145" s="810"/>
      <c r="R145" s="830"/>
      <c r="S145" s="810"/>
      <c r="T145" s="831">
        <f>AU68*(1+U153)</f>
        <v>3.9331457847068706E-4</v>
      </c>
      <c r="U145" s="810">
        <f t="shared" ref="U145" si="49">T145*G141</f>
        <v>1.7007317954309958E-2</v>
      </c>
    </row>
    <row r="146" spans="2:22">
      <c r="B146" s="621" t="str">
        <f>_xlfn.TEXTJOIN(",",TRUE,IF(LEFT(Regions!$C$3,1)&lt;&gt;"*",Regions!$C$3,""),IF(LEFT(Regions!$D$3,1)&lt;&gt;"*",Regions!$D$3,""))</f>
        <v>IE,National</v>
      </c>
      <c r="C146" s="622" t="str">
        <f>Y32</f>
        <v>R-BLD_Det_G</v>
      </c>
      <c r="D146" s="623" t="str">
        <f>Z32</f>
        <v>Residential Building Detached _ G</v>
      </c>
      <c r="E146" s="622" t="str">
        <f>COMM!$O$26</f>
        <v>RSDSH_Det-G</v>
      </c>
      <c r="F146" s="623" t="str">
        <f>COMM!$O$8</f>
        <v>RSD_Det</v>
      </c>
      <c r="G146" s="625">
        <f>AI16/1000</f>
        <v>78.435533443104831</v>
      </c>
      <c r="H146" s="625">
        <f>G146*$AH$26</f>
        <v>65.360330018139265</v>
      </c>
      <c r="I146" s="625">
        <v>1</v>
      </c>
      <c r="J146" s="623">
        <v>100</v>
      </c>
      <c r="K146" s="623">
        <v>1</v>
      </c>
      <c r="L146" s="731">
        <f>ABS(AR70)*0.853224702081462</f>
        <v>9.572100774137017E-2</v>
      </c>
      <c r="N146" s="825">
        <f>ABS(AR70*DwellingStocks!Q26*(1+O153))</f>
        <v>8.4071393597896699E-2</v>
      </c>
      <c r="O146" s="826">
        <f>N146*G146</f>
        <v>6.594184604156256</v>
      </c>
      <c r="P146" s="827"/>
      <c r="Q146" s="828"/>
      <c r="R146" s="827"/>
      <c r="S146" s="828"/>
      <c r="T146" s="826"/>
      <c r="U146" s="828"/>
    </row>
    <row r="147" spans="2:22">
      <c r="B147" s="626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733"/>
      <c r="H147" s="733"/>
      <c r="I147" s="733"/>
      <c r="J147" s="448"/>
      <c r="K147" s="448"/>
      <c r="L147" s="734"/>
      <c r="N147" s="807"/>
      <c r="O147" s="800"/>
      <c r="P147" s="811"/>
      <c r="Q147" s="808"/>
      <c r="R147" s="811"/>
      <c r="S147" s="808"/>
      <c r="T147" s="800"/>
      <c r="U147" s="808"/>
    </row>
    <row r="148" spans="2:22">
      <c r="B148" s="627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737"/>
      <c r="H148" s="737"/>
      <c r="I148" s="737"/>
      <c r="J148" s="293"/>
      <c r="K148" s="293"/>
      <c r="L148" s="738">
        <f>AS70*0.742731884673138</f>
        <v>1.3140678240923184E-2</v>
      </c>
      <c r="N148" s="807"/>
      <c r="O148" s="800"/>
      <c r="P148" s="811">
        <f>AS70*(1+Q153)</f>
        <v>1.1503789663710838E-2</v>
      </c>
      <c r="Q148" s="808">
        <f t="shared" ref="Q148" si="50">P148*G146</f>
        <v>0.90230587889043512</v>
      </c>
      <c r="R148" s="811"/>
      <c r="S148" s="808"/>
      <c r="T148" s="800"/>
      <c r="U148" s="808"/>
    </row>
    <row r="149" spans="2:22">
      <c r="B149" s="626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733"/>
      <c r="H149" s="733"/>
      <c r="I149" s="733"/>
      <c r="J149" s="448"/>
      <c r="K149" s="448"/>
      <c r="L149" s="734">
        <f>AT70*0.375703674683678</f>
        <v>1.0814863114877928E-3</v>
      </c>
      <c r="N149" s="807"/>
      <c r="O149" s="800"/>
      <c r="P149" s="811"/>
      <c r="Q149" s="808"/>
      <c r="R149" s="811">
        <f>AT70*(1+S153)</f>
        <v>1.0846378273900578E-3</v>
      </c>
      <c r="S149" s="808">
        <f t="shared" ref="S149" si="51">R149*G146</f>
        <v>8.5074146583909438E-2</v>
      </c>
      <c r="T149" s="800"/>
      <c r="U149" s="808"/>
    </row>
    <row r="150" spans="2:22" ht="13.5" thickBot="1">
      <c r="B150" s="628" t="str">
        <f>_xlfn.TEXTJOIN(",",TRUE,IF(LEFT(Regions!$C$3,1)&lt;&gt;"*",Regions!$C$3,""),IF(LEFT(Regions!$D$3,1)&lt;&gt;"*",Regions!$D$3,""))</f>
        <v>IE,National</v>
      </c>
      <c r="C150" s="629"/>
      <c r="D150" s="629"/>
      <c r="E150" s="629" t="str">
        <f>COMM!$O$38</f>
        <v>RSDPF_Det</v>
      </c>
      <c r="F150" s="629"/>
      <c r="G150" s="630"/>
      <c r="H150" s="630"/>
      <c r="I150" s="630"/>
      <c r="J150" s="629"/>
      <c r="K150" s="629"/>
      <c r="L150" s="741">
        <f>AU70*0.568571740836304</f>
        <v>3.0143313414421959E-4</v>
      </c>
      <c r="N150" s="829"/>
      <c r="O150" s="809"/>
      <c r="P150" s="830"/>
      <c r="Q150" s="810"/>
      <c r="R150" s="830"/>
      <c r="S150" s="810"/>
      <c r="T150" s="831">
        <f>AU69*(1+U153)</f>
        <v>3.7460051698266701E-4</v>
      </c>
      <c r="U150" s="810">
        <f t="shared" ref="U150" si="52">T150*G146</f>
        <v>2.9381991377598338E-2</v>
      </c>
    </row>
    <row r="151" spans="2:22">
      <c r="N151" s="329" t="s">
        <v>969</v>
      </c>
      <c r="O151" s="319">
        <f>'SHWLP-Det'!AB27</f>
        <v>40.077989914529958</v>
      </c>
      <c r="P151" s="323"/>
      <c r="Q151" s="324">
        <f>'SHWLP-Det'!AB54</f>
        <v>8.752268766470868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802" t="s">
        <v>960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>
      <c r="N153" s="803" t="s">
        <v>961</v>
      </c>
      <c r="O153" s="804">
        <f>((O151-O152)/O152)</f>
        <v>0.3461195562160182</v>
      </c>
      <c r="P153" s="320"/>
      <c r="Q153" s="804">
        <f>((Q151-Q152)/Q152)</f>
        <v>-0.34978764252802758</v>
      </c>
      <c r="R153" s="320"/>
      <c r="S153" s="804">
        <f>((S151-S152)/S152)</f>
        <v>-0.62320150230032278</v>
      </c>
      <c r="T153" s="320"/>
      <c r="U153" s="804">
        <f>((U151-U152)/U152)</f>
        <v>-0.48203145530198699</v>
      </c>
    </row>
    <row r="154" spans="2:22">
      <c r="N154" s="802" t="s">
        <v>962</v>
      </c>
      <c r="O154" s="800">
        <f>SUM(O106:O146)</f>
        <v>40.077989914529951</v>
      </c>
      <c r="P154" s="320"/>
      <c r="Q154" s="808">
        <f>SUM(Q106:Q150)</f>
        <v>8.752268766470868</v>
      </c>
      <c r="R154" s="320"/>
      <c r="S154" s="808">
        <f t="shared" ref="S154" si="53">SUM(S106:S150)</f>
        <v>1.1094700921835092</v>
      </c>
      <c r="T154" s="320"/>
      <c r="U154" s="808">
        <f>SUM(U106:U150)</f>
        <v>0.34639394879768837</v>
      </c>
      <c r="V154" s="800">
        <f>SUM(O154:U154)</f>
        <v>50.286122721982018</v>
      </c>
    </row>
    <row r="155" spans="2:22" ht="13.5" thickBot="1">
      <c r="N155" s="805" t="s">
        <v>963</v>
      </c>
      <c r="O155" s="806">
        <f>((O151-O154)/O154)</f>
        <v>1.7729001311577722E-16</v>
      </c>
      <c r="P155" s="331"/>
      <c r="Q155" s="817">
        <f t="shared" ref="Q155" si="54">((Q151-Q154)/Q154)</f>
        <v>0</v>
      </c>
      <c r="R155" s="331"/>
      <c r="S155" s="817">
        <f t="shared" ref="S155" si="55">((S151-S154)/S154)</f>
        <v>0</v>
      </c>
      <c r="T155" s="331"/>
      <c r="U155" s="817">
        <f>((U151-U154)/U154)</f>
        <v>1.602543907707786E-16</v>
      </c>
    </row>
    <row r="157" spans="2:22">
      <c r="V157">
        <f>SUM(V3:V156)</f>
        <v>86.82553616659709</v>
      </c>
    </row>
    <row r="160" spans="2:22">
      <c r="Q160" s="800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X65:AC65"/>
    <mergeCell ref="AF24:AJ24"/>
    <mergeCell ref="AF25:AG25"/>
    <mergeCell ref="AH25:AJ25"/>
    <mergeCell ref="AF26:AG26"/>
    <mergeCell ref="AH26:AJ26"/>
    <mergeCell ref="N3:O3"/>
    <mergeCell ref="P3:Q3"/>
    <mergeCell ref="T3:U3"/>
    <mergeCell ref="X39:AB39"/>
    <mergeCell ref="X56:AB56"/>
    <mergeCell ref="R3:S3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topLeftCell="C1" workbookViewId="0">
      <selection activeCell="P16" sqref="P16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831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832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584" t="str">
        <f>_xlfn.TEXTJOIN(",",TRUE,IF(LEFT(Regions!$C$3,1)&lt;&gt;"*",Regions!$C$3,""),IF(LEFT(Regions!$D$3,1)&lt;&gt;"*",Regions!$D$3,""))</f>
        <v>IE,National</v>
      </c>
      <c r="C5" s="582" t="str">
        <f>R5</f>
        <v>R-RSDRF_X0</v>
      </c>
      <c r="D5" s="582" t="str">
        <f>S5</f>
        <v>Residential Refrigeration Demand Technology</v>
      </c>
      <c r="E5" s="582" t="str">
        <f>COMM!$E$24</f>
        <v>RSDELC</v>
      </c>
      <c r="F5" s="582" t="str">
        <f>COMM!E32</f>
        <v>RSDRF</v>
      </c>
      <c r="G5" s="583">
        <f>DwellingStocks!$L$28/1000*RSD_Balance!U38</f>
        <v>1735.2913349999997</v>
      </c>
      <c r="H5" s="582">
        <v>0.8</v>
      </c>
      <c r="I5" s="585">
        <f>L5/G5/K5</f>
        <v>0.11719939117199393</v>
      </c>
      <c r="J5" s="586">
        <v>10</v>
      </c>
      <c r="K5" s="391">
        <f>31.536*(N5/1000)</f>
        <v>5.6764799999999994E-3</v>
      </c>
      <c r="L5" s="583">
        <f>M5*H5</f>
        <v>1.1544546193487999</v>
      </c>
      <c r="M5" s="587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588" t="str">
        <f>_xlfn.TEXTJOIN(",",TRUE,IF(LEFT(Regions!$C$3,1)&lt;&gt;"*",Regions!$C$3,""),IF(LEFT(Regions!$D$3,1)&lt;&gt;"*",Regions!$D$3,""))</f>
        <v>IE,National</v>
      </c>
      <c r="C6" s="589" t="str">
        <f>R6</f>
        <v>R-RSDCK_ELC_X0</v>
      </c>
      <c r="D6" s="590" t="str">
        <f>S6</f>
        <v>Residential Cooking Demand Electrical Technology</v>
      </c>
      <c r="E6" s="590" t="str">
        <f>COMM!E24</f>
        <v>RSDELC</v>
      </c>
      <c r="F6" s="589" t="str">
        <f>COMM!$E$33</f>
        <v>RSDCK</v>
      </c>
      <c r="G6" s="591">
        <f>DwellingStocks!$L$28/1000*R20</f>
        <v>1316.8778883047999</v>
      </c>
      <c r="H6" s="590">
        <v>0.74</v>
      </c>
      <c r="I6" s="592">
        <f>(SUM(L6))/G6/K6</f>
        <v>1.2186512303720202E-2</v>
      </c>
      <c r="J6" s="590">
        <v>15</v>
      </c>
      <c r="K6" s="589">
        <f t="shared" ref="K6:K13" si="0">31.536*(N6/1000)</f>
        <v>9.4608000000000012E-2</v>
      </c>
      <c r="L6" s="589">
        <f>M6*H6</f>
        <v>1.5182832416441119</v>
      </c>
      <c r="M6" s="593">
        <f>RSD_Balance!R26</f>
        <v>2.051734110329881</v>
      </c>
      <c r="N6" s="580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575" t="s">
        <v>13</v>
      </c>
      <c r="U6" s="395" t="s">
        <v>275</v>
      </c>
      <c r="V6" s="575"/>
      <c r="W6" s="395"/>
    </row>
    <row r="7" spans="2:23" ht="15">
      <c r="B7" s="584" t="str">
        <f>_xlfn.TEXTJOIN(",",TRUE,IF(LEFT(Regions!$C$3,1)&lt;&gt;"*",Regions!$C$3,""),IF(LEFT(Regions!$D$3,1)&lt;&gt;"*",Regions!$D$3,""))</f>
        <v>IE,National</v>
      </c>
      <c r="C7" s="582" t="str">
        <f t="shared" ref="C7:C8" si="1">R7</f>
        <v>R-RSDCK_GAS_X0</v>
      </c>
      <c r="D7" s="582" t="str">
        <f t="shared" ref="D7:D8" si="2">S7</f>
        <v>Residential Cooking Demand Gas Technology</v>
      </c>
      <c r="E7" s="582" t="str">
        <f>COMM!E14</f>
        <v>RSDGAS</v>
      </c>
      <c r="F7" s="582" t="str">
        <f>COMM!$E$33</f>
        <v>RSDCK</v>
      </c>
      <c r="G7" s="583">
        <f>DwellingStocks!$L$28/1000*R21</f>
        <v>395.12063110549497</v>
      </c>
      <c r="H7" s="582">
        <v>0.68</v>
      </c>
      <c r="I7" s="585">
        <f>(SUM(L7))/G7/K7</f>
        <v>1.0445597574610582E-2</v>
      </c>
      <c r="J7" s="586">
        <v>15</v>
      </c>
      <c r="K7" s="595">
        <f t="shared" si="0"/>
        <v>0.110376</v>
      </c>
      <c r="L7" s="583">
        <f>M7*H7</f>
        <v>0.45555167559079646</v>
      </c>
      <c r="M7" s="587">
        <f>RSD_Balance!R17</f>
        <v>0.66992893469234771</v>
      </c>
      <c r="N7" s="581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588" t="str">
        <f>_xlfn.TEXTJOIN(",",TRUE,IF(LEFT(Regions!$C$3,1)&lt;&gt;"*",Regions!$C$3,""),IF(LEFT(Regions!$D$3,1)&lt;&gt;"*",Regions!$D$3,""))</f>
        <v>IE,National</v>
      </c>
      <c r="C8" s="589" t="str">
        <f t="shared" si="1"/>
        <v>R-RSDCK_LPG_X0</v>
      </c>
      <c r="D8" s="590" t="str">
        <f t="shared" si="2"/>
        <v>Residential Cooking Demand LPG Technology</v>
      </c>
      <c r="E8" s="590" t="str">
        <f>COMM!E8</f>
        <v>RSDLPG</v>
      </c>
      <c r="F8" s="589" t="str">
        <f>COMM!$E$33</f>
        <v>RSDCK</v>
      </c>
      <c r="G8" s="591">
        <f>DwellingStocks!$L$28/1000*R22</f>
        <v>23.292449443233309</v>
      </c>
      <c r="H8" s="590">
        <v>0.68</v>
      </c>
      <c r="I8" s="592">
        <f t="shared" ref="I8" si="3">(SUM(L8))/G8/K8</f>
        <v>1.0445583301088163E-2</v>
      </c>
      <c r="J8" s="590">
        <v>15</v>
      </c>
      <c r="K8" s="589">
        <f t="shared" si="0"/>
        <v>0.110376</v>
      </c>
      <c r="L8" s="589">
        <f>M8*H8</f>
        <v>2.6854836315100172E-2</v>
      </c>
      <c r="M8" s="593">
        <f>RSD_Balance!R11</f>
        <v>3.9492406345735545E-2</v>
      </c>
      <c r="N8" s="580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575" t="s">
        <v>13</v>
      </c>
      <c r="U8" s="395" t="s">
        <v>275</v>
      </c>
      <c r="V8" s="575"/>
      <c r="W8" s="395"/>
    </row>
    <row r="9" spans="2:23" ht="15">
      <c r="B9" s="584" t="str">
        <f>_xlfn.TEXTJOIN(",",TRUE,IF(LEFT(Regions!$C$3,1)&lt;&gt;"*",Regions!$C$3,""),IF(LEFT(Regions!$D$3,1)&lt;&gt;"*",Regions!$D$3,""))</f>
        <v>IE,National</v>
      </c>
      <c r="C9" s="582" t="str">
        <f t="shared" ref="C9:D13" si="4">R9</f>
        <v>R-RSDCW_X0</v>
      </c>
      <c r="D9" s="582" t="str">
        <f t="shared" si="4"/>
        <v>Residential Cloth Washing Demand Technology</v>
      </c>
      <c r="E9" s="582" t="str">
        <f>COMM!$E$24</f>
        <v>RSDELC</v>
      </c>
      <c r="F9" s="582" t="str">
        <f>COMM!E34</f>
        <v>RSDCW</v>
      </c>
      <c r="G9" s="583">
        <f>DwellingStocks!$L$28/1000*RSD_Balance!U36</f>
        <v>1691.9090516249996</v>
      </c>
      <c r="H9" s="582">
        <v>0.7</v>
      </c>
      <c r="I9" s="585">
        <f>L9/G9/K9</f>
        <v>6.7195931921959313E-3</v>
      </c>
      <c r="J9" s="586">
        <v>10</v>
      </c>
      <c r="K9" s="595">
        <f t="shared" si="0"/>
        <v>6.9379200000000002E-2</v>
      </c>
      <c r="L9" s="583">
        <f t="shared" ref="L9:L13" si="5">M9*H9</f>
        <v>0.78876799986757473</v>
      </c>
      <c r="M9" s="587">
        <f>RSD_Balance!T29</f>
        <v>1.1268114283822497</v>
      </c>
      <c r="N9" s="581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588" t="str">
        <f>_xlfn.TEXTJOIN(",",TRUE,IF(LEFT(Regions!$C$3,1)&lt;&gt;"*",Regions!$C$3,""),IF(LEFT(Regions!$D$3,1)&lt;&gt;"*",Regions!$D$3,""))</f>
        <v>IE,National</v>
      </c>
      <c r="C10" s="589" t="str">
        <f t="shared" si="4"/>
        <v>R-RSDCD_X0</v>
      </c>
      <c r="D10" s="590" t="str">
        <f t="shared" si="4"/>
        <v>Residential Cloth Drying Demand Technology</v>
      </c>
      <c r="E10" s="590" t="str">
        <f>COMM!$E$24</f>
        <v>RSDELC</v>
      </c>
      <c r="F10" s="589" t="str">
        <f>COMM!E35</f>
        <v>RSDCD</v>
      </c>
      <c r="G10" s="591">
        <f>DwellingStocks!$L$28/1000*RSD_Balance!U37</f>
        <v>1124.4687850799999</v>
      </c>
      <c r="H10" s="589">
        <v>0.6</v>
      </c>
      <c r="I10" s="592">
        <f>L10/G10/K10</f>
        <v>1.1863013698630135E-2</v>
      </c>
      <c r="J10" s="590">
        <v>10</v>
      </c>
      <c r="K10" s="589">
        <f t="shared" si="0"/>
        <v>7.8840000000000007E-2</v>
      </c>
      <c r="L10" s="589">
        <f t="shared" si="5"/>
        <v>1.0516931653096222</v>
      </c>
      <c r="M10" s="593">
        <f>RSD_Balance!U26</f>
        <v>1.7528219421827038</v>
      </c>
      <c r="N10" s="580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575" t="s">
        <v>13</v>
      </c>
      <c r="U10" s="395" t="s">
        <v>275</v>
      </c>
      <c r="V10" s="575"/>
      <c r="W10" s="395"/>
    </row>
    <row r="11" spans="2:23" ht="15">
      <c r="B11" s="584" t="str">
        <f>_xlfn.TEXTJOIN(",",TRUE,IF(LEFT(Regions!$C$3,1)&lt;&gt;"*",Regions!$C$3,""),IF(LEFT(Regions!$D$3,1)&lt;&gt;"*",Regions!$D$3,""))</f>
        <v>IE,National</v>
      </c>
      <c r="C11" s="582" t="str">
        <f t="shared" si="4"/>
        <v>R-RSDDW_X0</v>
      </c>
      <c r="D11" s="582" t="str">
        <f t="shared" si="4"/>
        <v>Residential Dish Washing Demand Technology</v>
      </c>
      <c r="E11" s="582" t="str">
        <f>COMM!$E$24</f>
        <v>RSDELC</v>
      </c>
      <c r="F11" s="582" t="str">
        <f>COMM!E36</f>
        <v>RSDDW</v>
      </c>
      <c r="G11" s="583">
        <f>DwellingStocks!$L$28/1000*RSD_Balance!U39</f>
        <v>1122.7334937449998</v>
      </c>
      <c r="H11" s="582">
        <v>0.7</v>
      </c>
      <c r="I11" s="585">
        <f>L11/G11/K11</f>
        <v>1.0896637608966376E-2</v>
      </c>
      <c r="J11" s="586">
        <v>10</v>
      </c>
      <c r="K11" s="595">
        <f t="shared" si="0"/>
        <v>6.9379200000000002E-2</v>
      </c>
      <c r="L11" s="583">
        <f t="shared" si="5"/>
        <v>0.8487865212712199</v>
      </c>
      <c r="M11" s="587">
        <f>RSD_Balance!V29</f>
        <v>1.2125521732445999</v>
      </c>
      <c r="N11" s="581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588" t="str">
        <f>_xlfn.TEXTJOIN(",",TRUE,IF(LEFT(Regions!$C$3,1)&lt;&gt;"*",Regions!$C$3,""),IF(LEFT(Regions!$D$3,1)&lt;&gt;"*",Regions!$D$3,""))</f>
        <v>IE,National</v>
      </c>
      <c r="C12" s="589" t="str">
        <f t="shared" si="4"/>
        <v>R-RSDOE_X0</v>
      </c>
      <c r="D12" s="590" t="str">
        <f t="shared" si="4"/>
        <v>Residential ELC Appliances Demand Technology</v>
      </c>
      <c r="E12" s="590" t="str">
        <f>COMM!$E$24</f>
        <v>RSDELC</v>
      </c>
      <c r="F12" s="589" t="str">
        <f>COMM!E37</f>
        <v>RSDOE</v>
      </c>
      <c r="G12" s="591">
        <f>DwellingStocks!$L$28/1000*1</f>
        <v>1735.2913349999997</v>
      </c>
      <c r="H12" s="589">
        <v>0.85</v>
      </c>
      <c r="I12" s="592">
        <f>L12/G12/K12</f>
        <v>0.93569571451266109</v>
      </c>
      <c r="J12" s="590">
        <v>10</v>
      </c>
      <c r="K12" s="589">
        <f t="shared" si="0"/>
        <v>5.6764799999999994E-3</v>
      </c>
      <c r="L12" s="589">
        <f t="shared" si="5"/>
        <v>9.2169270601309012</v>
      </c>
      <c r="M12" s="593">
        <f>RSD_Balance!W26</f>
        <v>10.843443600154002</v>
      </c>
      <c r="N12" s="580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575" t="s">
        <v>13</v>
      </c>
      <c r="U12" s="395" t="s">
        <v>275</v>
      </c>
      <c r="V12" s="575"/>
      <c r="W12" s="395"/>
    </row>
    <row r="13" spans="2:23" ht="15">
      <c r="B13" s="584" t="str">
        <f>_xlfn.TEXTJOIN(",",TRUE,IF(LEFT(Regions!$C$3,1)&lt;&gt;"*",Regions!$C$3,""),IF(LEFT(Regions!$D$3,1)&lt;&gt;"*",Regions!$D$3,""))</f>
        <v>IE,National</v>
      </c>
      <c r="C13" s="582" t="str">
        <f t="shared" si="4"/>
        <v>R-RSDOA_X0</v>
      </c>
      <c r="D13" s="582" t="str">
        <f t="shared" si="4"/>
        <v>Residential Other Applications Demand Technology</v>
      </c>
      <c r="E13" s="582" t="str">
        <f>COMM!$E$24</f>
        <v>RSDELC</v>
      </c>
      <c r="F13" s="582" t="str">
        <f>COMM!E38</f>
        <v>RSDOA</v>
      </c>
      <c r="G13" s="583">
        <f>DwellingStocks!$L$28/1000*1</f>
        <v>1735.2913349999997</v>
      </c>
      <c r="H13" s="582">
        <v>0.85</v>
      </c>
      <c r="I13" s="585">
        <f>L13/G13/K13</f>
        <v>0</v>
      </c>
      <c r="J13" s="586">
        <v>10</v>
      </c>
      <c r="K13" s="595">
        <f t="shared" si="0"/>
        <v>5.6764799999999994E-3</v>
      </c>
      <c r="L13" s="583">
        <f t="shared" si="5"/>
        <v>0</v>
      </c>
      <c r="M13" s="587">
        <v>0</v>
      </c>
      <c r="N13" s="581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594"/>
      <c r="Q14" s="594"/>
      <c r="R14" s="594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1120" t="s">
        <v>618</v>
      </c>
      <c r="C17" s="1120"/>
      <c r="D17" s="1120"/>
      <c r="E17" s="1120"/>
      <c r="F17" s="1120"/>
      <c r="G17" s="1120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1" t="s">
        <v>824</v>
      </c>
      <c r="R19" s="1132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687" t="s">
        <v>863</v>
      </c>
      <c r="R20" s="691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688" t="s">
        <v>850</v>
      </c>
      <c r="R21" s="690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689" t="s">
        <v>776</v>
      </c>
      <c r="R22" s="692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topLeftCell="A14" zoomScale="60" zoomScaleNormal="60" workbookViewId="0">
      <selection activeCell="I27" sqref="I27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767" t="s">
        <v>288</v>
      </c>
      <c r="X1" s="767" t="s">
        <v>361</v>
      </c>
      <c r="Y1" s="767" t="s">
        <v>918</v>
      </c>
      <c r="Z1" s="767" t="s">
        <v>919</v>
      </c>
    </row>
    <row r="2" spans="1:26" ht="13.5" thickBot="1">
      <c r="W2" s="768" t="s">
        <v>48</v>
      </c>
      <c r="X2" s="768" t="s">
        <v>297</v>
      </c>
      <c r="Y2" s="768">
        <v>542.8910000000003</v>
      </c>
      <c r="Z2" s="768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769"/>
      <c r="X3" s="769" t="s">
        <v>44</v>
      </c>
      <c r="Y3" s="769">
        <v>28916.856000000025</v>
      </c>
      <c r="Z3" s="769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768"/>
      <c r="X4" s="768" t="s">
        <v>46</v>
      </c>
      <c r="Y4" s="768">
        <v>12185.145000000006</v>
      </c>
      <c r="Z4" s="768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769" t="s">
        <v>50</v>
      </c>
      <c r="X5" s="769" t="s">
        <v>297</v>
      </c>
      <c r="Y5" s="769">
        <v>640.02699999999982</v>
      </c>
      <c r="Z5" s="769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768"/>
      <c r="X6" s="768" t="s">
        <v>44</v>
      </c>
      <c r="Y6" s="768">
        <v>8343.1630000000023</v>
      </c>
      <c r="Z6" s="768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769"/>
      <c r="X7" s="769" t="s">
        <v>46</v>
      </c>
      <c r="Y7" s="769">
        <v>7908.4610000000011</v>
      </c>
      <c r="Z7" s="769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768" t="s">
        <v>52</v>
      </c>
      <c r="X8" s="768" t="s">
        <v>297</v>
      </c>
      <c r="Y8" s="768">
        <v>563.12200000000007</v>
      </c>
      <c r="Z8" s="768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769"/>
      <c r="X9" s="769" t="s">
        <v>44</v>
      </c>
      <c r="Y9" s="769">
        <v>4943.5540000000019</v>
      </c>
      <c r="Z9" s="769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768"/>
      <c r="X10" s="768" t="s">
        <v>46</v>
      </c>
      <c r="Y10" s="768">
        <v>11986.291000000001</v>
      </c>
      <c r="Z10" s="768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769" t="s">
        <v>54</v>
      </c>
      <c r="X11" s="769" t="s">
        <v>297</v>
      </c>
      <c r="Y11" s="769">
        <v>414.33799999999997</v>
      </c>
      <c r="Z11" s="769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768"/>
      <c r="X12" s="768" t="s">
        <v>44</v>
      </c>
      <c r="Y12" s="768">
        <v>5456.0730000000049</v>
      </c>
      <c r="Z12" s="768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769"/>
      <c r="X13" s="769" t="s">
        <v>46</v>
      </c>
      <c r="Y13" s="769">
        <v>17784.11</v>
      </c>
      <c r="Z13" s="769">
        <v>3768</v>
      </c>
    </row>
    <row r="14" spans="1:26">
      <c r="W14" s="768" t="s">
        <v>56</v>
      </c>
      <c r="X14" s="768" t="s">
        <v>297</v>
      </c>
      <c r="Y14" s="768">
        <v>567.74099999999999</v>
      </c>
      <c r="Z14" s="768">
        <v>137</v>
      </c>
    </row>
    <row r="15" spans="1:26" ht="15">
      <c r="E15" s="261" t="s">
        <v>286</v>
      </c>
      <c r="W15" s="769"/>
      <c r="X15" s="769" t="s">
        <v>44</v>
      </c>
      <c r="Y15" s="769">
        <v>12032.288000000002</v>
      </c>
      <c r="Z15" s="769">
        <v>3046</v>
      </c>
    </row>
    <row r="16" spans="1:26" ht="21.75" thickBot="1">
      <c r="O16" s="1133" t="s">
        <v>641</v>
      </c>
      <c r="P16" s="1133"/>
      <c r="Q16" s="1133"/>
      <c r="R16" s="1133" t="s">
        <v>642</v>
      </c>
      <c r="S16" s="1133"/>
      <c r="T16" s="1133"/>
      <c r="W16" s="768"/>
      <c r="X16" s="768" t="s">
        <v>46</v>
      </c>
      <c r="Y16" s="768">
        <v>32485.54299999994</v>
      </c>
      <c r="Z16" s="768">
        <v>7025</v>
      </c>
    </row>
    <row r="17" spans="2:86" ht="21.75" thickBot="1">
      <c r="H17" s="1133" t="s">
        <v>572</v>
      </c>
      <c r="I17" s="1133"/>
      <c r="J17" s="1133"/>
      <c r="K17" s="1133"/>
      <c r="L17" s="1133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769" t="s">
        <v>58</v>
      </c>
      <c r="X17" s="769" t="s">
        <v>297</v>
      </c>
      <c r="Y17" s="769">
        <v>217.03099999999998</v>
      </c>
      <c r="Z17" s="769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768"/>
      <c r="X18" s="768" t="s">
        <v>44</v>
      </c>
      <c r="Y18" s="768">
        <v>4728.6260000000038</v>
      </c>
      <c r="Z18" s="768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769"/>
      <c r="X19" s="769" t="s">
        <v>46</v>
      </c>
      <c r="Y19" s="769">
        <v>11250.568000000007</v>
      </c>
      <c r="Z19" s="769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768" t="s">
        <v>60</v>
      </c>
      <c r="X20" s="768" t="s">
        <v>297</v>
      </c>
      <c r="Y20" s="768">
        <v>93.331999999999994</v>
      </c>
      <c r="Z20" s="768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769"/>
      <c r="X21" s="769" t="s">
        <v>44</v>
      </c>
      <c r="Y21" s="769">
        <v>1512.0119999999995</v>
      </c>
      <c r="Z21" s="769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768"/>
      <c r="X22" s="768" t="s">
        <v>46</v>
      </c>
      <c r="Y22" s="768">
        <v>3675.9540000000006</v>
      </c>
      <c r="Z22" s="768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769" t="s">
        <v>62</v>
      </c>
      <c r="X23" s="769" t="s">
        <v>297</v>
      </c>
      <c r="Y23" s="769">
        <v>27.580000000000005</v>
      </c>
      <c r="Z23" s="769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768"/>
      <c r="X24" s="768" t="s">
        <v>44</v>
      </c>
      <c r="Y24" s="768">
        <v>314.67699999999996</v>
      </c>
      <c r="Z24" s="768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769"/>
      <c r="X25" s="769" t="s">
        <v>46</v>
      </c>
      <c r="Y25" s="769">
        <v>1180.5279999999998</v>
      </c>
      <c r="Z25" s="769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768" t="s">
        <v>64</v>
      </c>
      <c r="X26" s="768" t="s">
        <v>44</v>
      </c>
      <c r="Y26" s="768">
        <v>105.64699999999998</v>
      </c>
      <c r="Z26" s="768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769"/>
      <c r="X27" s="769" t="s">
        <v>46</v>
      </c>
      <c r="Y27" s="769">
        <v>912.80199999999991</v>
      </c>
      <c r="Z27" s="769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771">
        <f>AB29/Y28</f>
        <v>921.62753403137572</v>
      </c>
      <c r="Z29" s="771">
        <f>AB29/Z28</f>
        <v>4003.9122825079789</v>
      </c>
      <c r="AB29" s="770">
        <v>155560000</v>
      </c>
      <c r="AC29" s="58" t="s">
        <v>920</v>
      </c>
    </row>
    <row r="30" spans="2:86" ht="15">
      <c r="C30" s="261"/>
      <c r="K30" s="351" t="s">
        <v>570</v>
      </c>
      <c r="X30" s="58" t="s">
        <v>921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779" t="s">
        <v>296</v>
      </c>
      <c r="K32" s="781" t="s">
        <v>296</v>
      </c>
      <c r="L32" s="223" t="s">
        <v>338</v>
      </c>
      <c r="M32" s="779" t="s">
        <v>338</v>
      </c>
      <c r="N32" s="781" t="s">
        <v>338</v>
      </c>
      <c r="O32" s="223" t="s">
        <v>327</v>
      </c>
      <c r="P32" s="779" t="s">
        <v>327</v>
      </c>
      <c r="Q32" s="781" t="s">
        <v>327</v>
      </c>
      <c r="R32" s="223" t="s">
        <v>328</v>
      </c>
      <c r="S32" s="779" t="s">
        <v>328</v>
      </c>
      <c r="T32" s="781" t="s">
        <v>328</v>
      </c>
      <c r="U32" s="223" t="s">
        <v>329</v>
      </c>
      <c r="V32" s="779" t="s">
        <v>329</v>
      </c>
      <c r="W32" s="781" t="s">
        <v>329</v>
      </c>
      <c r="X32" s="223" t="s">
        <v>331</v>
      </c>
      <c r="Y32" s="779" t="s">
        <v>331</v>
      </c>
      <c r="Z32" s="781" t="s">
        <v>331</v>
      </c>
      <c r="AA32" s="223" t="s">
        <v>332</v>
      </c>
      <c r="AB32" s="779" t="s">
        <v>332</v>
      </c>
      <c r="AC32" s="781" t="s">
        <v>332</v>
      </c>
      <c r="AD32" s="223" t="s">
        <v>333</v>
      </c>
      <c r="AE32" s="779" t="s">
        <v>333</v>
      </c>
      <c r="AF32" s="781" t="s">
        <v>333</v>
      </c>
      <c r="AG32" s="223" t="s">
        <v>335</v>
      </c>
      <c r="AH32" s="779" t="s">
        <v>335</v>
      </c>
      <c r="AI32" s="781" t="s">
        <v>335</v>
      </c>
      <c r="AJ32" s="223" t="s">
        <v>336</v>
      </c>
      <c r="AK32" s="779" t="s">
        <v>336</v>
      </c>
      <c r="AL32" s="781" t="s">
        <v>336</v>
      </c>
      <c r="AM32" s="223" t="s">
        <v>337</v>
      </c>
      <c r="AN32" s="779" t="s">
        <v>337</v>
      </c>
      <c r="AO32" s="781" t="s">
        <v>337</v>
      </c>
      <c r="AP32" s="223" t="s">
        <v>339</v>
      </c>
      <c r="AQ32" s="779" t="s">
        <v>339</v>
      </c>
      <c r="AR32" s="781" t="s">
        <v>339</v>
      </c>
      <c r="AS32" s="223" t="s">
        <v>326</v>
      </c>
      <c r="AT32" s="779" t="s">
        <v>326</v>
      </c>
      <c r="AU32" s="781" t="s">
        <v>326</v>
      </c>
      <c r="AV32" s="223" t="s">
        <v>330</v>
      </c>
      <c r="AW32" s="779" t="s">
        <v>330</v>
      </c>
      <c r="AX32" s="781" t="s">
        <v>330</v>
      </c>
      <c r="AY32" s="223" t="s">
        <v>341</v>
      </c>
      <c r="AZ32" s="779" t="s">
        <v>341</v>
      </c>
      <c r="BA32" s="781" t="s">
        <v>341</v>
      </c>
      <c r="BB32" s="223" t="s">
        <v>342</v>
      </c>
      <c r="BC32" s="779" t="s">
        <v>342</v>
      </c>
      <c r="BD32" s="781" t="s">
        <v>342</v>
      </c>
      <c r="BE32" s="223" t="s">
        <v>343</v>
      </c>
      <c r="BF32" s="779" t="s">
        <v>343</v>
      </c>
      <c r="BG32" s="781" t="s">
        <v>343</v>
      </c>
      <c r="BH32" s="223" t="s">
        <v>344</v>
      </c>
      <c r="BI32" s="779" t="s">
        <v>344</v>
      </c>
      <c r="BJ32" s="781" t="s">
        <v>344</v>
      </c>
      <c r="BK32" s="223" t="s">
        <v>340</v>
      </c>
      <c r="BL32" s="779" t="s">
        <v>340</v>
      </c>
      <c r="BM32" s="781" t="s">
        <v>340</v>
      </c>
      <c r="BN32" s="223" t="s">
        <v>345</v>
      </c>
      <c r="BO32" s="779" t="s">
        <v>345</v>
      </c>
      <c r="BP32" s="781" t="s">
        <v>345</v>
      </c>
      <c r="BQ32" s="223" t="s">
        <v>346</v>
      </c>
      <c r="BR32" s="779" t="s">
        <v>346</v>
      </c>
      <c r="BS32" s="781" t="s">
        <v>346</v>
      </c>
      <c r="BT32" s="223" t="s">
        <v>347</v>
      </c>
      <c r="BU32" s="779" t="s">
        <v>347</v>
      </c>
      <c r="BV32" s="781" t="s">
        <v>347</v>
      </c>
      <c r="BW32" s="223" t="s">
        <v>348</v>
      </c>
      <c r="BX32" s="779" t="s">
        <v>348</v>
      </c>
      <c r="BY32" s="781" t="s">
        <v>348</v>
      </c>
      <c r="BZ32" s="223" t="s">
        <v>308</v>
      </c>
      <c r="CA32" s="779" t="s">
        <v>308</v>
      </c>
      <c r="CB32" s="781" t="s">
        <v>308</v>
      </c>
      <c r="CC32" s="223" t="s">
        <v>334</v>
      </c>
      <c r="CD32" s="779" t="s">
        <v>334</v>
      </c>
      <c r="CE32" s="781" t="s">
        <v>334</v>
      </c>
      <c r="CF32" s="223" t="s">
        <v>349</v>
      </c>
      <c r="CG32" s="779" t="s">
        <v>349</v>
      </c>
      <c r="CH32" s="781" t="s">
        <v>349</v>
      </c>
    </row>
    <row r="33" spans="2:86" ht="15.75" thickBot="1">
      <c r="C33" s="261"/>
      <c r="F33" s="58"/>
      <c r="H33" s="223" t="s">
        <v>287</v>
      </c>
      <c r="I33" s="782" t="s">
        <v>297</v>
      </c>
      <c r="J33" s="772" t="s">
        <v>44</v>
      </c>
      <c r="K33" s="783" t="s">
        <v>46</v>
      </c>
      <c r="L33" s="782" t="s">
        <v>297</v>
      </c>
      <c r="M33" s="772" t="s">
        <v>44</v>
      </c>
      <c r="N33" s="783" t="s">
        <v>46</v>
      </c>
      <c r="O33" s="782" t="s">
        <v>297</v>
      </c>
      <c r="P33" s="772" t="s">
        <v>44</v>
      </c>
      <c r="Q33" s="783" t="s">
        <v>46</v>
      </c>
      <c r="R33" s="782" t="s">
        <v>297</v>
      </c>
      <c r="S33" s="772" t="s">
        <v>44</v>
      </c>
      <c r="T33" s="783" t="s">
        <v>46</v>
      </c>
      <c r="U33" s="782" t="s">
        <v>297</v>
      </c>
      <c r="V33" s="772" t="s">
        <v>44</v>
      </c>
      <c r="W33" s="783" t="s">
        <v>46</v>
      </c>
      <c r="X33" s="782" t="s">
        <v>297</v>
      </c>
      <c r="Y33" s="772" t="s">
        <v>44</v>
      </c>
      <c r="Z33" s="783" t="s">
        <v>46</v>
      </c>
      <c r="AA33" s="782" t="s">
        <v>297</v>
      </c>
      <c r="AB33" s="772" t="s">
        <v>44</v>
      </c>
      <c r="AC33" s="783" t="s">
        <v>46</v>
      </c>
      <c r="AD33" s="782" t="s">
        <v>297</v>
      </c>
      <c r="AE33" s="772" t="s">
        <v>44</v>
      </c>
      <c r="AF33" s="783" t="s">
        <v>46</v>
      </c>
      <c r="AG33" s="782" t="s">
        <v>297</v>
      </c>
      <c r="AH33" s="772" t="s">
        <v>44</v>
      </c>
      <c r="AI33" s="783" t="s">
        <v>46</v>
      </c>
      <c r="AJ33" s="782" t="s">
        <v>297</v>
      </c>
      <c r="AK33" s="772" t="s">
        <v>44</v>
      </c>
      <c r="AL33" s="783" t="s">
        <v>46</v>
      </c>
      <c r="AM33" s="782" t="s">
        <v>297</v>
      </c>
      <c r="AN33" s="772" t="s">
        <v>44</v>
      </c>
      <c r="AO33" s="783" t="s">
        <v>46</v>
      </c>
      <c r="AP33" s="782" t="s">
        <v>297</v>
      </c>
      <c r="AQ33" s="772" t="s">
        <v>44</v>
      </c>
      <c r="AR33" s="783" t="s">
        <v>46</v>
      </c>
      <c r="AS33" s="782" t="s">
        <v>297</v>
      </c>
      <c r="AT33" s="772" t="s">
        <v>44</v>
      </c>
      <c r="AU33" s="783" t="s">
        <v>46</v>
      </c>
      <c r="AV33" s="782" t="s">
        <v>297</v>
      </c>
      <c r="AW33" s="772" t="s">
        <v>44</v>
      </c>
      <c r="AX33" s="783" t="s">
        <v>46</v>
      </c>
      <c r="AY33" s="782" t="s">
        <v>297</v>
      </c>
      <c r="AZ33" s="772" t="s">
        <v>44</v>
      </c>
      <c r="BA33" s="783" t="s">
        <v>46</v>
      </c>
      <c r="BB33" s="782" t="s">
        <v>297</v>
      </c>
      <c r="BC33" s="772" t="s">
        <v>44</v>
      </c>
      <c r="BD33" s="783" t="s">
        <v>46</v>
      </c>
      <c r="BE33" s="782" t="s">
        <v>297</v>
      </c>
      <c r="BF33" s="772" t="s">
        <v>44</v>
      </c>
      <c r="BG33" s="783" t="s">
        <v>46</v>
      </c>
      <c r="BH33" s="782" t="s">
        <v>297</v>
      </c>
      <c r="BI33" s="772" t="s">
        <v>44</v>
      </c>
      <c r="BJ33" s="783" t="s">
        <v>46</v>
      </c>
      <c r="BK33" s="782" t="s">
        <v>297</v>
      </c>
      <c r="BL33" s="772" t="s">
        <v>44</v>
      </c>
      <c r="BM33" s="783" t="s">
        <v>46</v>
      </c>
      <c r="BN33" s="782" t="s">
        <v>297</v>
      </c>
      <c r="BO33" s="772" t="s">
        <v>44</v>
      </c>
      <c r="BP33" s="783" t="s">
        <v>46</v>
      </c>
      <c r="BQ33" s="782" t="s">
        <v>297</v>
      </c>
      <c r="BR33" s="772" t="s">
        <v>44</v>
      </c>
      <c r="BS33" s="783" t="s">
        <v>46</v>
      </c>
      <c r="BT33" s="782" t="s">
        <v>297</v>
      </c>
      <c r="BU33" s="772" t="s">
        <v>44</v>
      </c>
      <c r="BV33" s="783" t="s">
        <v>46</v>
      </c>
      <c r="BW33" s="782" t="s">
        <v>297</v>
      </c>
      <c r="BX33" s="772" t="s">
        <v>44</v>
      </c>
      <c r="BY33" s="783" t="s">
        <v>46</v>
      </c>
      <c r="BZ33" s="782" t="s">
        <v>297</v>
      </c>
      <c r="CA33" s="772" t="s">
        <v>44</v>
      </c>
      <c r="CB33" s="783" t="s">
        <v>46</v>
      </c>
      <c r="CC33" s="782" t="s">
        <v>297</v>
      </c>
      <c r="CD33" s="772" t="s">
        <v>44</v>
      </c>
      <c r="CE33" s="783" t="s">
        <v>46</v>
      </c>
      <c r="CF33" s="782" t="s">
        <v>297</v>
      </c>
      <c r="CG33" s="772" t="s">
        <v>44</v>
      </c>
      <c r="CH33" s="783" t="s">
        <v>46</v>
      </c>
    </row>
    <row r="34" spans="2:86" ht="15">
      <c r="C34" s="261"/>
      <c r="H34" s="774" t="s">
        <v>48</v>
      </c>
      <c r="I34" s="788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788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78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78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78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8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8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8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8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8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8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8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8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8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8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8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8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8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8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8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8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8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8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8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8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8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775" t="s">
        <v>50</v>
      </c>
      <c r="I35" s="789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789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789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789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789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789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789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789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789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789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789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789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789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789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789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789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789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789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789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789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789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789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789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789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789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789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776" t="s">
        <v>52</v>
      </c>
      <c r="I36" s="790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790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790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790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790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790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790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790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790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790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790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790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790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790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790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790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790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790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790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790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790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790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790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790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790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790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775" t="s">
        <v>54</v>
      </c>
      <c r="I37" s="789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789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789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789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789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789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789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789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789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789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789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789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789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789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789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789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789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789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789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789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789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789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789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789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789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789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776" t="s">
        <v>56</v>
      </c>
      <c r="I38" s="790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790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790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790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790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790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790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790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790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790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790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790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790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790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790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790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790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790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790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790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790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790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790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790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790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790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775" t="s">
        <v>58</v>
      </c>
      <c r="I39" s="789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789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789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789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789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789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789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789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789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789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789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789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789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789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789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789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789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789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789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789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789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789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789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789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789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789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776" t="s">
        <v>60</v>
      </c>
      <c r="I40" s="790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790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790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790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790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790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790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790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790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790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790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790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790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790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790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790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790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790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790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790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790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790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790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790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790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790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775" t="s">
        <v>62</v>
      </c>
      <c r="I41" s="789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789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789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789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789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789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789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789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789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789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789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789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789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789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789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789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789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789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789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789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789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789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789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789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789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789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777" t="s">
        <v>64</v>
      </c>
      <c r="I42" s="791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791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791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791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791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791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791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791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791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791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791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791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791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791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791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791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791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791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791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791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791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791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791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791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791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791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778" t="s">
        <v>218</v>
      </c>
      <c r="I43" s="784">
        <f t="shared" ref="I43:AN43" si="5">SUM(I34:I42)</f>
        <v>1265.0844329746315</v>
      </c>
      <c r="J43" s="785">
        <f t="shared" si="5"/>
        <v>8787.3696255538798</v>
      </c>
      <c r="K43" s="786">
        <f t="shared" si="5"/>
        <v>10676.005161415982</v>
      </c>
      <c r="L43" s="780">
        <f t="shared" si="5"/>
        <v>123256.67820831671</v>
      </c>
      <c r="M43" s="317">
        <f t="shared" si="5"/>
        <v>297634.87494657928</v>
      </c>
      <c r="N43" s="787">
        <f t="shared" si="5"/>
        <v>55459.174425610254</v>
      </c>
      <c r="O43" s="780">
        <f t="shared" si="5"/>
        <v>7363.7968231969135</v>
      </c>
      <c r="P43" s="317">
        <f t="shared" si="5"/>
        <v>38144.204386107944</v>
      </c>
      <c r="Q43" s="787">
        <f t="shared" si="5"/>
        <v>30304.517514538838</v>
      </c>
      <c r="R43" s="780">
        <f t="shared" si="5"/>
        <v>1751.3817529766175</v>
      </c>
      <c r="S43" s="317">
        <f t="shared" si="5"/>
        <v>12508.441600918088</v>
      </c>
      <c r="T43" s="787">
        <f t="shared" si="5"/>
        <v>20891.382011189213</v>
      </c>
      <c r="U43" s="780">
        <f t="shared" si="5"/>
        <v>1434.9997251520253</v>
      </c>
      <c r="V43" s="317">
        <f t="shared" si="5"/>
        <v>11510.58391452228</v>
      </c>
      <c r="W43" s="787">
        <f t="shared" si="5"/>
        <v>16295.614216511489</v>
      </c>
      <c r="X43" s="780">
        <f t="shared" si="5"/>
        <v>691.43208570294928</v>
      </c>
      <c r="Y43" s="317">
        <f t="shared" si="5"/>
        <v>4746.2770797513549</v>
      </c>
      <c r="Z43" s="787">
        <f t="shared" si="5"/>
        <v>9718.9087422298653</v>
      </c>
      <c r="AA43" s="780">
        <f t="shared" si="5"/>
        <v>3038.8153054039785</v>
      </c>
      <c r="AB43" s="317">
        <f t="shared" si="5"/>
        <v>24289.540001760251</v>
      </c>
      <c r="AC43" s="787">
        <f t="shared" si="5"/>
        <v>18866.743201020949</v>
      </c>
      <c r="AD43" s="780">
        <f t="shared" si="5"/>
        <v>5411.4225176697691</v>
      </c>
      <c r="AE43" s="317">
        <f t="shared" si="5"/>
        <v>27103.374443441171</v>
      </c>
      <c r="AF43" s="787">
        <f t="shared" si="5"/>
        <v>34324.09820344366</v>
      </c>
      <c r="AG43" s="780">
        <f t="shared" si="5"/>
        <v>1175.2936766265591</v>
      </c>
      <c r="AH43" s="317">
        <f t="shared" si="5"/>
        <v>10239.258420802398</v>
      </c>
      <c r="AI43" s="787">
        <f t="shared" si="5"/>
        <v>15966.202026112715</v>
      </c>
      <c r="AJ43" s="780">
        <f t="shared" si="5"/>
        <v>2888.9605821519499</v>
      </c>
      <c r="AK43" s="317">
        <f t="shared" si="5"/>
        <v>12264.197780781444</v>
      </c>
      <c r="AL43" s="787">
        <f t="shared" si="5"/>
        <v>16822.932669034672</v>
      </c>
      <c r="AM43" s="780">
        <f t="shared" si="5"/>
        <v>2668.9797196485479</v>
      </c>
      <c r="AN43" s="317">
        <f t="shared" si="5"/>
        <v>18385.501077566361</v>
      </c>
      <c r="AO43" s="787">
        <f t="shared" ref="AO43:BT43" si="6">SUM(AO34:AO42)</f>
        <v>33878.287885206948</v>
      </c>
      <c r="AP43" s="780">
        <f t="shared" si="6"/>
        <v>4513.1911767694201</v>
      </c>
      <c r="AQ43" s="317">
        <f t="shared" si="6"/>
        <v>23167.339151815657</v>
      </c>
      <c r="AR43" s="787">
        <f t="shared" si="6"/>
        <v>22529.580764463226</v>
      </c>
      <c r="AS43" s="780">
        <f t="shared" si="6"/>
        <v>2491.2235846235253</v>
      </c>
      <c r="AT43" s="317">
        <f t="shared" si="6"/>
        <v>15118.989670799881</v>
      </c>
      <c r="AU43" s="787">
        <f t="shared" si="6"/>
        <v>26221.499459384846</v>
      </c>
      <c r="AV43" s="780">
        <f t="shared" si="6"/>
        <v>18164.569738528382</v>
      </c>
      <c r="AW43" s="317">
        <f t="shared" si="6"/>
        <v>91446.903647123108</v>
      </c>
      <c r="AX43" s="787">
        <f t="shared" si="6"/>
        <v>88706.618668082694</v>
      </c>
      <c r="AY43" s="780">
        <f t="shared" si="6"/>
        <v>2906.0721193547802</v>
      </c>
      <c r="AZ43" s="317">
        <f t="shared" si="6"/>
        <v>15686.699374231552</v>
      </c>
      <c r="BA43" s="787">
        <f t="shared" si="6"/>
        <v>36376.580790193235</v>
      </c>
      <c r="BB43" s="780">
        <f t="shared" si="6"/>
        <v>7461.1258002920376</v>
      </c>
      <c r="BC43" s="317">
        <f t="shared" si="6"/>
        <v>31695.949118274744</v>
      </c>
      <c r="BD43" s="787">
        <f t="shared" si="6"/>
        <v>32750.827361563519</v>
      </c>
      <c r="BE43" s="780">
        <f t="shared" si="6"/>
        <v>2382.2341251096568</v>
      </c>
      <c r="BF43" s="317">
        <f t="shared" si="6"/>
        <v>21954.232438086234</v>
      </c>
      <c r="BG43" s="787">
        <f t="shared" si="6"/>
        <v>34965.040184897764</v>
      </c>
      <c r="BH43" s="780">
        <f t="shared" si="6"/>
        <v>3199.1719442467102</v>
      </c>
      <c r="BI43" s="317">
        <f t="shared" si="6"/>
        <v>21769.226916806354</v>
      </c>
      <c r="BJ43" s="787">
        <f t="shared" si="6"/>
        <v>19142.703253806059</v>
      </c>
      <c r="BK43" s="780">
        <f t="shared" si="6"/>
        <v>9881.5892011882625</v>
      </c>
      <c r="BL43" s="317">
        <f t="shared" si="6"/>
        <v>27589.465054026703</v>
      </c>
      <c r="BM43" s="787">
        <f t="shared" si="6"/>
        <v>55372.585087977008</v>
      </c>
      <c r="BN43" s="780">
        <f t="shared" si="6"/>
        <v>543.02409251525864</v>
      </c>
      <c r="BO43" s="317">
        <f t="shared" si="6"/>
        <v>2737.7793125602311</v>
      </c>
      <c r="BP43" s="787">
        <f t="shared" si="6"/>
        <v>9101.1608576935432</v>
      </c>
      <c r="BQ43" s="780">
        <f t="shared" si="6"/>
        <v>2141.3166117916521</v>
      </c>
      <c r="BR43" s="317">
        <f t="shared" si="6"/>
        <v>12519.701036831018</v>
      </c>
      <c r="BS43" s="787">
        <f t="shared" si="6"/>
        <v>34699.30894292317</v>
      </c>
      <c r="BT43" s="780">
        <f t="shared" si="6"/>
        <v>676.45175529921289</v>
      </c>
      <c r="BU43" s="317">
        <f t="shared" ref="BU43:CH43" si="7">SUM(BU34:BU42)</f>
        <v>5372.2948402948405</v>
      </c>
      <c r="BV43" s="787">
        <f t="shared" si="7"/>
        <v>18080.993461874819</v>
      </c>
      <c r="BW43" s="780">
        <f t="shared" si="7"/>
        <v>1676.0939551367242</v>
      </c>
      <c r="BX43" s="317">
        <f t="shared" si="7"/>
        <v>8889.5641738149861</v>
      </c>
      <c r="BY43" s="787">
        <f t="shared" si="7"/>
        <v>14494.215013491199</v>
      </c>
      <c r="BZ43" s="780">
        <f t="shared" si="7"/>
        <v>1271.052567009926</v>
      </c>
      <c r="CA43" s="317">
        <f t="shared" si="7"/>
        <v>7706.8792520168045</v>
      </c>
      <c r="CB43" s="787">
        <f t="shared" si="7"/>
        <v>18119.875348525962</v>
      </c>
      <c r="CC43" s="780">
        <f t="shared" si="7"/>
        <v>2392.9923596273825</v>
      </c>
      <c r="CD43" s="317">
        <f t="shared" si="7"/>
        <v>15881.582138278784</v>
      </c>
      <c r="CE43" s="787">
        <f t="shared" si="7"/>
        <v>40738.467908725754</v>
      </c>
      <c r="CF43" s="780">
        <f t="shared" si="7"/>
        <v>1027.5356632394301</v>
      </c>
      <c r="CG43" s="317">
        <f t="shared" si="7"/>
        <v>6619.1242565355706</v>
      </c>
      <c r="CH43" s="787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1142" t="s">
        <v>288</v>
      </c>
      <c r="C48" s="1143"/>
      <c r="D48" s="1143"/>
      <c r="E48" s="1143"/>
      <c r="F48" s="1143"/>
      <c r="G48" s="1143"/>
      <c r="H48" s="1143"/>
      <c r="I48" s="1143"/>
      <c r="J48" s="1143"/>
      <c r="K48" s="1143"/>
      <c r="L48" s="1144"/>
      <c r="M48" s="1139" t="s">
        <v>289</v>
      </c>
      <c r="N48" s="1140"/>
      <c r="O48" s="1141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953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3" t="s">
        <v>954</v>
      </c>
      <c r="AN50" s="1133"/>
      <c r="AO50" s="1133"/>
      <c r="AP50" s="1133"/>
      <c r="AQ50" s="1133"/>
      <c r="AR50" s="1133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792" t="s">
        <v>956</v>
      </c>
      <c r="AN51" s="773" t="s">
        <v>955</v>
      </c>
      <c r="AO51" s="773" t="s">
        <v>916</v>
      </c>
      <c r="AP51" s="773" t="s">
        <v>917</v>
      </c>
      <c r="AQ51" s="773" t="s">
        <v>42</v>
      </c>
      <c r="AR51" s="773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922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923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924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925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926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927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928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929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930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931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932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933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934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935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936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937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938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957</v>
      </c>
      <c r="AN69" s="156" t="s">
        <v>939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940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941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942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943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944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945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946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947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948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949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950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951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34" t="s">
        <v>350</v>
      </c>
      <c r="T82" s="1135"/>
      <c r="U82" s="1135"/>
      <c r="V82" s="1135"/>
      <c r="W82" s="1135"/>
      <c r="X82" s="1135"/>
      <c r="Y82" s="1135"/>
      <c r="Z82" s="1136"/>
      <c r="AB82" s="1137" t="s">
        <v>351</v>
      </c>
      <c r="AC82" s="1137"/>
      <c r="AD82" s="1137"/>
      <c r="AE82" s="1137"/>
      <c r="AF82" s="1138"/>
      <c r="AG82" s="93" t="s">
        <v>304</v>
      </c>
      <c r="AM82" s="58" t="s">
        <v>337</v>
      </c>
      <c r="AN82" s="155" t="s">
        <v>952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7"/>
      <c r="AC83" s="1137"/>
      <c r="AD83" s="1137"/>
      <c r="AE83" s="1137"/>
      <c r="AF83" s="1138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93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695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94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696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94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695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94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696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94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695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94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696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94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695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94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696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94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695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94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696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94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695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94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696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94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695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94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696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94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695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94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696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94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695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94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696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94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695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94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696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93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695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94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696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94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695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94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696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94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695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94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696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697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B48:L48"/>
    <mergeCell ref="H17:L17"/>
    <mergeCell ref="O16:Q16"/>
    <mergeCell ref="R16:T16"/>
    <mergeCell ref="S82:Z82"/>
    <mergeCell ref="AM50:AR50"/>
    <mergeCell ref="AB82:AF83"/>
    <mergeCell ref="M48:O48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M1" zoomScale="70" zoomScaleNormal="70" workbookViewId="0">
      <selection activeCell="V8" sqref="V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61"/>
      <c r="S2" s="261"/>
      <c r="T2" s="561"/>
      <c r="U2" s="561"/>
      <c r="V2" s="261"/>
      <c r="W2" s="261"/>
      <c r="X2" s="261"/>
      <c r="Y2" s="261"/>
      <c r="Z2" s="261"/>
      <c r="AA2" s="261"/>
      <c r="AB2" s="261"/>
      <c r="AC2" s="566"/>
      <c r="AD2" s="561"/>
      <c r="AE2" s="261"/>
      <c r="AF2" s="5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569">
        <f>(G7+G14+G16)/300</f>
        <v>0.59018803418803423</v>
      </c>
      <c r="V7" s="569">
        <f>IF(AB7/S7/X7=0,0.12,AB7/S7/X7)</f>
        <v>0.12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0</v>
      </c>
      <c r="AC7" s="394">
        <f>IF(((D7+I7+D14+I14+D16+I16)*$B$2)&lt;=0.1,0,((D7+I7+D14+I14+D16+I16)*T7*$B$2))</f>
        <v>0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571">
        <f>IF((G8/100)&gt;1,0.9)</f>
        <v>0.9</v>
      </c>
      <c r="V8" s="569">
        <f t="shared" ref="V8:V12" si="2">IF(AB8/S8/X8=0,0.12,AB8/S8/X8)</f>
        <v>0.12</v>
      </c>
      <c r="W8" s="399">
        <v>20</v>
      </c>
      <c r="X8" s="567">
        <f t="shared" ref="X8:X13" si="3">31.536*(AD8/1000)</f>
        <v>0.47304000000000002</v>
      </c>
      <c r="Y8" s="399"/>
      <c r="Z8" s="399"/>
      <c r="AA8" s="399"/>
      <c r="AB8" s="400">
        <f t="shared" si="0"/>
        <v>0</v>
      </c>
      <c r="AC8" s="401">
        <f>IF(((D8+I8)*$B$2)&lt;=0.1,0,((D8+I8)*T8*$B$2))</f>
        <v>0</v>
      </c>
      <c r="AD8" s="563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569">
        <f>IF((G9/100)&gt;1,0.9)</f>
        <v>0.9</v>
      </c>
      <c r="V9" s="569">
        <f t="shared" si="2"/>
        <v>0.12</v>
      </c>
      <c r="W9" s="393">
        <v>20</v>
      </c>
      <c r="X9" s="391">
        <f t="shared" si="3"/>
        <v>0.47304000000000002</v>
      </c>
      <c r="Y9" s="393"/>
      <c r="Z9" s="393"/>
      <c r="AA9" s="393"/>
      <c r="AB9" s="394">
        <f t="shared" si="0"/>
        <v>0</v>
      </c>
      <c r="AC9" s="394">
        <f>IF(((D9+I9)*$B$2)&lt;=0.1,0,((D9+I9)*T9*$B$2))</f>
        <v>0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571">
        <f>(G10+G11)/200</f>
        <v>0.80677902621722841</v>
      </c>
      <c r="V10" s="569">
        <f t="shared" si="2"/>
        <v>0.12</v>
      </c>
      <c r="W10" s="399">
        <v>20</v>
      </c>
      <c r="X10" s="567">
        <f t="shared" si="3"/>
        <v>0.47304000000000002</v>
      </c>
      <c r="Y10" s="399"/>
      <c r="Z10" s="399"/>
      <c r="AA10" s="399"/>
      <c r="AB10" s="400">
        <f t="shared" si="0"/>
        <v>0</v>
      </c>
      <c r="AC10" s="401">
        <f>IF(((D10+I10+D11+I11)*T10*$B$2)&lt;=0.1,0,((D10+I10+D11+I11)*T10*$B$2))</f>
        <v>0</v>
      </c>
      <c r="AD10" s="563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569">
        <f>(G25)/100</f>
        <v>1</v>
      </c>
      <c r="V11" s="569">
        <f t="shared" si="2"/>
        <v>1.3931119040234956E-2</v>
      </c>
      <c r="W11" s="393">
        <v>20</v>
      </c>
      <c r="X11" s="391">
        <f t="shared" si="3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IF(((D25+I25)*T11*$B$2)&lt;=0.1,0,((D25+I25)*T11*$B$2))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571">
        <f>G12/100</f>
        <v>3.0701960784313722</v>
      </c>
      <c r="V12" s="569">
        <f t="shared" si="2"/>
        <v>0.18130269923092618</v>
      </c>
      <c r="W12" s="399">
        <v>20</v>
      </c>
      <c r="X12" s="567">
        <f t="shared" si="3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IF(((D12+I12)*T12*$B$2)&lt;=0.1,0,((D12+I12)*T12*$B$2))</f>
        <v>0.30130738062214535</v>
      </c>
      <c r="AD12" s="563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569"/>
      <c r="V13" s="569"/>
      <c r="W13" s="393"/>
      <c r="X13" s="391">
        <f t="shared" si="3"/>
        <v>0.31536000000000003</v>
      </c>
      <c r="Y13" s="393"/>
      <c r="Z13" s="393"/>
      <c r="AA13" s="394">
        <f>AC13/AB12</f>
        <v>0.23179397146960065</v>
      </c>
      <c r="AB13" s="394"/>
      <c r="AC13" s="394">
        <f>RSD_Balance!F22</f>
        <v>0.21442628392933846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</f>
        <v>1.1928833867748834</v>
      </c>
      <c r="U14" s="571">
        <f>G13/100</f>
        <v>0.81016216216216219</v>
      </c>
      <c r="V14" s="569">
        <f>IF(AB14/S14/X14=0,0.12,AB14/S14/X14)</f>
        <v>6.660425456369494E-2</v>
      </c>
      <c r="W14" s="399">
        <v>20</v>
      </c>
      <c r="X14" s="567">
        <f>31.536*(AD14/1000)</f>
        <v>0.47304000000000002</v>
      </c>
      <c r="Y14" s="399"/>
      <c r="Z14" s="399"/>
      <c r="AA14" s="399"/>
      <c r="AB14" s="400">
        <f>AC14*U14</f>
        <v>0.19422622494582817</v>
      </c>
      <c r="AC14" s="401">
        <f>IF(((D13+I13)*$B$2)&lt;=0.1,0,((D13+I13)*T14*$B$2))</f>
        <v>0.23973746740711377</v>
      </c>
      <c r="AD14" s="563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</f>
        <v>RSDGAS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98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571">
        <f>G15/100</f>
        <v>0.81026881720430111</v>
      </c>
      <c r="V16" s="569">
        <f>IF(AB16/S16/X16=0,0.12,AB16/S16/X16)</f>
        <v>2.5618485673577367E-2</v>
      </c>
      <c r="W16" s="399">
        <v>20</v>
      </c>
      <c r="X16" s="567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IF(((D15+I15)*$B$2)&lt;=0.1,0,((D15+I15)*T16*$B$2))</f>
        <v>1.290633418103742</v>
      </c>
      <c r="AD16" s="563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571">
        <f>(G17+G18)/200</f>
        <v>0.52500000000000002</v>
      </c>
      <c r="V18" s="569">
        <f>IF(AB18/S18/X18=0,0.12,AB18/S18/X18)</f>
        <v>0.16174374769495573</v>
      </c>
      <c r="W18" s="399">
        <v>20</v>
      </c>
      <c r="X18" s="567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IF(((D17+I17)+D18+I18*$B$2)&lt;=0.1,0,((D17+I17+D18+I18)*T18*$B$2))</f>
        <v>3.2061498965965211E-3</v>
      </c>
      <c r="AD18" s="563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571">
        <f>G19/100</f>
        <v>0.58177777777777773</v>
      </c>
      <c r="V20" s="569">
        <f>IF(AB20/S20/X20=0,0.12,AB20/S20/X20)</f>
        <v>0.12</v>
      </c>
      <c r="W20" s="399">
        <v>20</v>
      </c>
      <c r="X20" s="567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0</v>
      </c>
      <c r="AC20" s="401">
        <f>IF(((D19+I19)*$B$2)&lt;=0.1,0,((D19+I19)*T20*$B$2))*Y20</f>
        <v>0</v>
      </c>
      <c r="AD20" s="563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0</v>
      </c>
      <c r="AC21" s="394">
        <f>IF(((D19+I19)*$B$2)&lt;=0.1,0,((D19+I19)*T20*$B$2))*Y21</f>
        <v>0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RSD_Balance!H4</f>
        <v>6.2E-2</v>
      </c>
      <c r="Z22" s="399">
        <v>5</v>
      </c>
      <c r="AA22" s="399"/>
      <c r="AB22" s="400">
        <f>AC22*$U$20</f>
        <v>0</v>
      </c>
      <c r="AC22" s="401">
        <f>IF(((D19+I19)*$B$2)&lt;=0.1,0,((D19+I19)*T20*$B$2))*Y22</f>
        <v>0</v>
      </c>
      <c r="AD22" s="563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569">
        <f>(G21+G22+G23)/300</f>
        <v>0.6880451127819549</v>
      </c>
      <c r="V23" s="569">
        <f>IF(AB23/S23/X23=0,0.12,AB23/S23/X23)</f>
        <v>0.12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0</v>
      </c>
      <c r="AC23" s="394">
        <f>IF(((D20+I20+D21+I21+D22+I22+D23+I23)*$B$2)&lt;=0.1,0,((D20+I20+D21+I21+D22+I22+D23+I23)*T23*$B$2))</f>
        <v>0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571">
        <f>G24/100</f>
        <v>0.39838442187649958</v>
      </c>
      <c r="V24" s="569">
        <f>IF(AB24/S24/X24=0,0.12,AB24/S24/X24)</f>
        <v>0.12</v>
      </c>
      <c r="W24" s="399">
        <v>20</v>
      </c>
      <c r="X24" s="567">
        <f t="shared" si="5"/>
        <v>0.47304000000000002</v>
      </c>
      <c r="Y24" s="399"/>
      <c r="Z24" s="399"/>
      <c r="AA24" s="399"/>
      <c r="AB24" s="400">
        <f>AC24*U24</f>
        <v>0</v>
      </c>
      <c r="AC24" s="401">
        <f>IF(((D24+I24)*$B$2)&lt;=0.1,0,((D24+I24)*T24*$B$2))</f>
        <v>0</v>
      </c>
      <c r="AD24" s="563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2.6198878444676876</v>
      </c>
      <c r="AC27" s="382">
        <f>SUM(AC6:AC25)</f>
        <v>2.5024563392652799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561"/>
      <c r="AF28" s="388"/>
      <c r="AG28" s="561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569">
        <f t="shared" ref="U33:U38" si="6">U7</f>
        <v>0.59018803418803423</v>
      </c>
      <c r="V33" s="569">
        <f>IF(AB33/S33/X33=0,0.12,AB33/S33/X33)</f>
        <v>0.12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0</v>
      </c>
      <c r="AC33" s="394">
        <f>IF(((D31+I31+D38+I38+D40+I40)*$B$2)&lt;=0.1,0,((D31+I31+D38+I38+D40+I40)*T33*$B$2))</f>
        <v>0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570">
        <f t="shared" si="6"/>
        <v>0.9</v>
      </c>
      <c r="V34" s="569">
        <f>IF(AB34/S34/X34=0,0.12,AB34/S34/X34)</f>
        <v>0.12</v>
      </c>
      <c r="W34" s="399">
        <v>20</v>
      </c>
      <c r="X34" s="567">
        <f t="shared" si="7"/>
        <v>9.4608000000000012E-2</v>
      </c>
      <c r="Y34" s="399"/>
      <c r="Z34" s="399"/>
      <c r="AA34" s="399"/>
      <c r="AB34" s="400">
        <f t="shared" si="8"/>
        <v>0</v>
      </c>
      <c r="AC34" s="401">
        <f>IF(((D32+I32)*$B$2)&lt;=0.1,0,((D32+I32)*T34*$B$2))</f>
        <v>0</v>
      </c>
      <c r="AD34" s="563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572">
        <f t="shared" si="6"/>
        <v>0.9</v>
      </c>
      <c r="V35" s="569">
        <f>IF(AB35/S35/X35=0,0.12,AB35/S35/X35)</f>
        <v>0.12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0</v>
      </c>
      <c r="AC35" s="394">
        <f>IF(((D33+I33)*$B$2)&lt;=0.1,0,((D33+I33)*T35*$B$2))</f>
        <v>0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571">
        <f t="shared" si="6"/>
        <v>0.80677902621722841</v>
      </c>
      <c r="V36" s="569">
        <f>IF(AB36/S36/X36=0,0.12,AB36/S36/X36)</f>
        <v>0.12</v>
      </c>
      <c r="W36" s="399">
        <v>20</v>
      </c>
      <c r="X36" s="567">
        <f t="shared" si="7"/>
        <v>9.4608000000000012E-2</v>
      </c>
      <c r="Y36" s="399"/>
      <c r="Z36" s="399"/>
      <c r="AA36" s="399"/>
      <c r="AB36" s="400">
        <f t="shared" si="8"/>
        <v>0</v>
      </c>
      <c r="AC36" s="401">
        <f>IF(((D34+I34+D35+I35)*$B$2)&lt;=0.1,0,((D34+I34+D35+I35)*T36*$B$2))</f>
        <v>0</v>
      </c>
      <c r="AD36" s="563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569">
        <f t="shared" si="6"/>
        <v>1</v>
      </c>
      <c r="V37" s="569">
        <f t="shared" ref="V34:V40" si="10">AB37/S37/X37</f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IF(((D49+I49)*$B$2)&lt;=0.1,0,((D49+I49)*T37*$B$2))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571">
        <f t="shared" si="6"/>
        <v>3.0701960784313722</v>
      </c>
      <c r="V38" s="571">
        <f t="shared" si="10"/>
        <v>1.4717633763921263</v>
      </c>
      <c r="W38" s="399">
        <v>20</v>
      </c>
      <c r="X38" s="567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IF(((D49+I49)*$B$2)&lt;=0.1,0,((D49+I49)*T38*$B$2))</f>
        <v>0.4868150192451336</v>
      </c>
      <c r="AD38" s="563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7"/>
        <v>6.3072000000000003E-2</v>
      </c>
      <c r="Y39" s="399"/>
      <c r="Z39" s="399"/>
      <c r="AA39" s="399">
        <f>AC39/AB38</f>
        <v>0.23179397146960065</v>
      </c>
      <c r="AB39" s="400"/>
      <c r="AC39" s="401">
        <f>RSD_Balance!I22</f>
        <v>0.34644334075781774</v>
      </c>
      <c r="AD39" s="563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569">
        <f>U14</f>
        <v>0.81016216216216219</v>
      </c>
      <c r="V40" s="569">
        <f>IF(AB40/S40/X40=0,0.12,AB40/S40/X40)</f>
        <v>0.12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0</v>
      </c>
      <c r="AC40" s="394">
        <f>IF(((D37+I37)*$B$2)&lt;=0.1,0,((D37+I37)*T40*$B$2))</f>
        <v>0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</f>
        <v>RSDGAS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569">
        <f>U16</f>
        <v>0.81026881720430111</v>
      </c>
      <c r="V42" s="569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IF(((D39+I39)*$B$2)&lt;=0.1,0,((D39+I39)*T42*$B$2))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569">
        <f>U18</f>
        <v>0.52500000000000002</v>
      </c>
      <c r="V44" s="569">
        <f>IF(AB44/S44/X44=0,0.12,AB44/S44/X44)</f>
        <v>0.12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0</v>
      </c>
      <c r="AC44" s="394">
        <f>IF(((D41+I41+D42+I42)*$B$2)&lt;=0.1,0,((D41+I41+D42+I42)*T44*$B$2))</f>
        <v>0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570">
        <f>U20</f>
        <v>0.58177777777777773</v>
      </c>
      <c r="V46" s="569">
        <f>IF(AB46/S46/X46=0,0.12,AB46/S46/X46)</f>
        <v>0.12</v>
      </c>
      <c r="W46" s="399">
        <v>20</v>
      </c>
      <c r="X46" s="567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0</v>
      </c>
      <c r="AC46" s="401">
        <f>IF(((D43+I43)*$B$2)&lt;=0.1,0,((D43+I43)*T46*$B$2))*Y46</f>
        <v>0</v>
      </c>
      <c r="AD46" s="563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0</v>
      </c>
      <c r="AC47" s="394">
        <f>IF(((D43+I43)*$B$2)&lt;=0.1,0,((D43+I43)*T46*$B$2))*Y47</f>
        <v>0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RSD_Balance!H4</f>
        <v>6.2E-2</v>
      </c>
      <c r="Z48" s="399">
        <v>5</v>
      </c>
      <c r="AA48" s="399"/>
      <c r="AB48" s="400">
        <f t="shared" si="15"/>
        <v>0</v>
      </c>
      <c r="AC48" s="401">
        <f>IF(((D43+I43)*$B$2)&lt;=0.1,0,((D43+I43)*T46*$B$2))*Y48</f>
        <v>0</v>
      </c>
      <c r="AD48" s="563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569">
        <f>U23</f>
        <v>0.6880451127819549</v>
      </c>
      <c r="V49" s="569">
        <f>IF(AB49/S49/X49=0,0.12,AB49/S49/X49)</f>
        <v>0.12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0</v>
      </c>
      <c r="AC49" s="394">
        <f>IF(((D44+I44+D45+I45+D46+I46+D47+I47)*$B$2)&lt;=0.1,0,((D44+I44+D45+I45+D46+I46+D47+I47)*T49*$B$2))</f>
        <v>0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571">
        <f>U24</f>
        <v>0.39838442187649958</v>
      </c>
      <c r="V50" s="569">
        <f>IF(AB50/S50/X50=0,0.12,AB50/S50/X50)</f>
        <v>0.12</v>
      </c>
      <c r="W50" s="399">
        <v>20</v>
      </c>
      <c r="X50" s="567">
        <f t="shared" si="16"/>
        <v>9.4608000000000012E-2</v>
      </c>
      <c r="Y50" s="399"/>
      <c r="Z50" s="399"/>
      <c r="AA50" s="399"/>
      <c r="AB50" s="400">
        <f>AC50*U50</f>
        <v>0</v>
      </c>
      <c r="AC50" s="401">
        <f>IF(((D48+I48)*$B$2)&lt;=0.1,0,((D48+I48)*T50*$B$2))</f>
        <v>0</v>
      </c>
      <c r="AD50" s="563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569">
        <v>1</v>
      </c>
      <c r="V51" s="569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2.3618769124773515</v>
      </c>
      <c r="AC54" s="382">
        <f>SUM(AC31:AC52)</f>
        <v>1.8157156565743855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569">
        <v>0.4</v>
      </c>
      <c r="V59" s="569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755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575">
        <f>DwellingStocks!I28/1000</f>
        <v>211.81988499999997</v>
      </c>
      <c r="T60" s="395">
        <f>(S60*1000)/SUM(G54:G62)-0.1837</f>
        <v>1.3876991038376223</v>
      </c>
      <c r="U60" s="576">
        <v>0.6</v>
      </c>
      <c r="V60" s="576">
        <f>AB60/S60/X60</f>
        <v>0.12716586319930656</v>
      </c>
      <c r="W60" s="577">
        <v>15</v>
      </c>
      <c r="X60" s="578">
        <f t="shared" ref="X60" si="18">31.536*(AD60/1000)</f>
        <v>1.5768000000000002E-3</v>
      </c>
      <c r="Y60" s="577"/>
      <c r="Z60" s="577"/>
      <c r="AA60" s="577"/>
      <c r="AB60" s="579">
        <f>AC60*U60</f>
        <v>4.2473092432448331E-2</v>
      </c>
      <c r="AC60" s="401">
        <f>(F54+F55+F56+F57+F58+F59+F60+F61+F62)*T60*$B$2</f>
        <v>7.078848738741389E-2</v>
      </c>
      <c r="AD60" s="562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O1" zoomScale="60" zoomScaleNormal="60" workbookViewId="0">
      <selection activeCell="V8" sqref="V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2" width="15.28515625" style="48" customWidth="1"/>
    <col min="23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569">
        <f>(G7+G14+G16)/300</f>
        <v>0.55798087905732663</v>
      </c>
      <c r="V7" s="569">
        <f t="shared" ref="V7:V20" si="0">IF(AB7/S7/X7=0,0.12,AB7/S7/X7)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IF(((D7+I7+D14+I14+D16+I16)*$B$2)&lt;=0.1,0,((D7+I7+D14+I14+D16+I16)*T7*$B$2))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R-SH_Att_COA_X0</v>
      </c>
      <c r="AI7" s="294" t="str">
        <f t="shared" si="1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571">
        <f>(G8)/100</f>
        <v>1</v>
      </c>
      <c r="V8" s="569">
        <f t="shared" si="0"/>
        <v>0.12</v>
      </c>
      <c r="W8" s="399">
        <v>20</v>
      </c>
      <c r="X8" s="567">
        <f t="shared" ref="X8:X13" si="2">31.536*(AD8/1000)</f>
        <v>0.63072000000000006</v>
      </c>
      <c r="Y8" s="399"/>
      <c r="Z8" s="399"/>
      <c r="AA8" s="399"/>
      <c r="AB8" s="400">
        <f>AC8*U8</f>
        <v>0</v>
      </c>
      <c r="AC8" s="401">
        <f>IF(((D8+I8)*$B$2)&lt;=0.1,0,((D8+I8)*T8*$B$2))</f>
        <v>0</v>
      </c>
      <c r="AD8" s="563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R-SH_Att_BDL_X0</v>
      </c>
      <c r="AI8" s="26" t="str">
        <f t="shared" si="1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572">
        <v>0.9</v>
      </c>
      <c r="V9" s="1149">
        <f>+V8</f>
        <v>0.12</v>
      </c>
      <c r="W9" s="393">
        <v>20</v>
      </c>
      <c r="X9" s="391">
        <f t="shared" si="2"/>
        <v>0.63072000000000006</v>
      </c>
      <c r="Y9" s="393"/>
      <c r="Z9" s="393"/>
      <c r="AA9" s="393"/>
      <c r="AB9" s="394">
        <f>IFERROR(AC9*U9,0)</f>
        <v>0</v>
      </c>
      <c r="AC9" s="394">
        <f>IF(((D9+I9)*$B$2)&lt;=0.1,0,((D9+I9)*T9*$B$2))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R-SH_Att_ETH_X0</v>
      </c>
      <c r="AI9" s="294" t="str">
        <f t="shared" si="1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571">
        <f>(G10+G11)/200</f>
        <v>0.8070757743362833</v>
      </c>
      <c r="V10" s="569">
        <f t="shared" si="0"/>
        <v>4.8109166237074036E-2</v>
      </c>
      <c r="W10" s="399">
        <v>20</v>
      </c>
      <c r="X10" s="567">
        <f t="shared" si="2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IF(((D10+I10+D11+I11)*T10*$B$2)&lt;=0.1,0,((D10+I10+D11+I11)*T10*$B$2))</f>
        <v>0.33080594499020705</v>
      </c>
      <c r="AD10" s="563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R-SH_Att_LPG_X0</v>
      </c>
      <c r="AI10" s="26" t="str">
        <f t="shared" si="1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569">
        <f>(G25)/100</f>
        <v>1</v>
      </c>
      <c r="V11" s="569">
        <f t="shared" si="0"/>
        <v>3.5156391297092457E-2</v>
      </c>
      <c r="W11" s="393">
        <v>20</v>
      </c>
      <c r="X11" s="391">
        <f t="shared" si="2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IF(((D25+I25)*T11*$B$2)&lt;=0.1,0,((D25+I25)*T11*$B$2))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R-SH_Att_ELC_X0</v>
      </c>
      <c r="AI11" s="294" t="str">
        <f t="shared" si="1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571">
        <f>G12/100</f>
        <v>3.1157627118644071</v>
      </c>
      <c r="V12" s="569">
        <f t="shared" si="0"/>
        <v>0.11404303534564036</v>
      </c>
      <c r="W12" s="399">
        <v>20</v>
      </c>
      <c r="X12" s="567">
        <f t="shared" si="2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IF(((D12+I12)*T12*$B$2)&lt;=0.1,0,((D12+I12)*T12*$B$2))</f>
        <v>0.18661338170795527</v>
      </c>
      <c r="AD12" s="563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R-SH_Att_ELC_X1</v>
      </c>
      <c r="AI12" s="26" t="str">
        <f t="shared" si="1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2"/>
        <v>0.409968</v>
      </c>
      <c r="AA13" s="617">
        <f>AC13/AB12</f>
        <v>0.2284040885078065</v>
      </c>
      <c r="AC13" s="560">
        <f>RSD_Balance!G22</f>
        <v>0.1328039621482244</v>
      </c>
      <c r="AD13" s="560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(S14*1000)/E13*DwellingStocks!$S$27*1.21</f>
        <v>1.6505071499073904</v>
      </c>
      <c r="U14" s="569">
        <f>G13/100</f>
        <v>0.81941558441558437</v>
      </c>
      <c r="V14" s="569">
        <f t="shared" si="0"/>
        <v>4.7079298490866263E-2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7.0106452373996984</v>
      </c>
      <c r="AC14" s="394">
        <f>IF(((D13+I13)*$B$2)&lt;=0.1,0,((D13+I13)*T14*$B$2))</f>
        <v>8.5556650016606195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</f>
        <v>RSDGAS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569">
        <f>G15/100</f>
        <v>0.81729411764705884</v>
      </c>
      <c r="V16" s="569">
        <f t="shared" si="0"/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IF(((D15+I15)*$B$2)&lt;=0.1,0,((D15+I15)*T16*$B$2))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569">
        <f>(G17+G18)/200</f>
        <v>0.5509294871794872</v>
      </c>
      <c r="V18" s="569">
        <f t="shared" si="0"/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IF(((D17+I17)+D18+I18*$B$2)&lt;=0.1,0,((D17+I17+D18+I18)*T18*$B$2))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570">
        <f>G19/100</f>
        <v>0.57113772455089817</v>
      </c>
      <c r="V20" s="571">
        <f>SUM(AB20:AB22)/S20/X20</f>
        <v>7.2438724233275839E-2</v>
      </c>
      <c r="W20" s="399">
        <v>20</v>
      </c>
      <c r="X20" s="567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IF(((D19+I19)*$B$2)&lt;=0.1,0,((D19+I19)*T20*$B$2))*Y20</f>
        <v>0.49783396654812234</v>
      </c>
      <c r="AD20" s="563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IF(((D19+I19)*$B$2)&lt;=0.1,0,((D19+I19)*T20*$B$2))*Y21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IF(((D19+I19)*$B$2)&lt;=0.1,0,((D19+I19)*T20*$B$2))*Y22</f>
        <v>0.15910157693805971</v>
      </c>
      <c r="AD22" s="563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569">
        <f>(G21+G22+G23)/300</f>
        <v>0.70400656814449913</v>
      </c>
      <c r="V23" s="569">
        <f t="shared" ref="V23:V24" si="4">IF(AB23/S23/X23=0,0.12,AB23/S23/X23)</f>
        <v>0.12</v>
      </c>
      <c r="W23" s="393">
        <v>20</v>
      </c>
      <c r="X23" s="391">
        <f t="shared" ref="X23:X24" si="5">31.536*(AD23/1000)</f>
        <v>0.63072000000000006</v>
      </c>
      <c r="Y23" s="393"/>
      <c r="Z23" s="393"/>
      <c r="AA23" s="393"/>
      <c r="AB23" s="394">
        <f>AC23*U23</f>
        <v>0</v>
      </c>
      <c r="AC23" s="394">
        <f>IF(((D20+I20+D21+I21+D22+I22+D23+I23)*$B$2)&lt;=0.1,0,((D20+I20+D21+I21+D22+I22+D23+I23)*T23*$B$2))</f>
        <v>0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571">
        <f>G24/100</f>
        <v>0.60949973059968388</v>
      </c>
      <c r="V24" s="569">
        <f t="shared" si="4"/>
        <v>0.12</v>
      </c>
      <c r="W24" s="399">
        <v>20</v>
      </c>
      <c r="X24" s="567">
        <f t="shared" si="5"/>
        <v>0.63072000000000006</v>
      </c>
      <c r="Y24" s="399"/>
      <c r="Z24" s="399"/>
      <c r="AA24" s="399"/>
      <c r="AB24" s="400">
        <f>AC24*U24</f>
        <v>0</v>
      </c>
      <c r="AC24" s="401">
        <f>IF(((D24+I24)*$B$2)&lt;=0.1,0,((D24+I24)*T24*$B$2))</f>
        <v>0</v>
      </c>
      <c r="AD24" s="563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22.590024412131413</v>
      </c>
      <c r="AC27" s="382">
        <f>SUM(AC6:AC25)</f>
        <v>29.272834945441659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569">
        <f>U7</f>
        <v>0.55798087905732663</v>
      </c>
      <c r="V33" s="569">
        <f>IFERROR(AB33/S33/X33,0)</f>
        <v>0.1008177352074696</v>
      </c>
      <c r="W33" s="393">
        <v>20</v>
      </c>
      <c r="X33" s="391">
        <f t="shared" ref="X33:X40" si="6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IF(((D31+I31+D38+I38+D40+I40)*$B$2)&lt;=0.1,0,((D31+I31+D38+I38+D40+I40)*T33*$B$2))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7">M33</f>
        <v>R-WH_Att_COA_X0</v>
      </c>
      <c r="AI33" s="294" t="str">
        <f t="shared" si="7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571">
        <f>U8</f>
        <v>1</v>
      </c>
      <c r="V34" s="569">
        <f t="shared" ref="V34:V36" si="8">IF(AB34/S34/X34=0,0.12,AB34/S34/X34)</f>
        <v>0.12</v>
      </c>
      <c r="W34" s="399">
        <v>20</v>
      </c>
      <c r="X34" s="567">
        <f t="shared" si="6"/>
        <v>0.15768000000000001</v>
      </c>
      <c r="Y34" s="399"/>
      <c r="Z34" s="399"/>
      <c r="AA34" s="399"/>
      <c r="AB34" s="400">
        <f>AC34*U34</f>
        <v>0</v>
      </c>
      <c r="AC34" s="401">
        <f>IF(((D32+I32)*$B$2)&lt;=0.1,0,((D32+I32)*T34*$B$2))</f>
        <v>0</v>
      </c>
      <c r="AD34" s="563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7"/>
        <v>R-WH_Att_BDL_X0</v>
      </c>
      <c r="AI34" s="26" t="str">
        <f t="shared" si="7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572">
        <v>0.9</v>
      </c>
      <c r="V35" s="569">
        <f t="shared" si="8"/>
        <v>0.12</v>
      </c>
      <c r="W35" s="393">
        <v>20</v>
      </c>
      <c r="X35" s="391">
        <f t="shared" si="6"/>
        <v>0.15768000000000001</v>
      </c>
      <c r="Y35" s="393"/>
      <c r="Z35" s="393"/>
      <c r="AA35" s="393"/>
      <c r="AB35" s="394">
        <f>IFERROR(AC35*U35,0)</f>
        <v>0</v>
      </c>
      <c r="AC35" s="394">
        <f>IF(((D33+I33)*$B$2)&lt;=0.1,0,((D33+I33)*T35*$B$2))</f>
        <v>0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7"/>
        <v>R-WH_Att_ETH_X0</v>
      </c>
      <c r="AI35" s="294" t="str">
        <f t="shared" si="7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571">
        <f>U10</f>
        <v>0.8070757743362833</v>
      </c>
      <c r="V36" s="569">
        <f t="shared" si="8"/>
        <v>0.12</v>
      </c>
      <c r="W36" s="399">
        <v>20</v>
      </c>
      <c r="X36" s="567">
        <f t="shared" si="6"/>
        <v>0.15768000000000001</v>
      </c>
      <c r="Y36" s="399"/>
      <c r="Z36" s="399"/>
      <c r="AA36" s="399"/>
      <c r="AB36" s="400">
        <f>AC36*U36</f>
        <v>0</v>
      </c>
      <c r="AC36" s="401">
        <f>IF(((D34+I34+D35+I35)*$B$2)&lt;=0.1,0,((D34+I34+D35+I35)*T36*$B$2))</f>
        <v>0</v>
      </c>
      <c r="AD36" s="563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7"/>
        <v>R-WH_Att_LPG_X0</v>
      </c>
      <c r="AI36" s="26" t="str">
        <f t="shared" si="7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569">
        <f>U11</f>
        <v>1</v>
      </c>
      <c r="V37" s="569">
        <f t="shared" ref="V36:V42" si="9">AB37/S37/X37</f>
        <v>6.207793636382708E-2</v>
      </c>
      <c r="W37" s="393">
        <v>20</v>
      </c>
      <c r="X37" s="391">
        <f t="shared" si="6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IF(((D49+I49)*$B$2)&lt;=0.1,0,((D49+I49)*T37*$B$2))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7"/>
        <v>R-WH_Att_ELC_X0</v>
      </c>
      <c r="AI37" s="294" t="str">
        <f t="shared" si="7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571">
        <f>U12</f>
        <v>3.1157627118644071</v>
      </c>
      <c r="V38" s="571">
        <f t="shared" si="9"/>
        <v>0.66299984214582264</v>
      </c>
      <c r="W38" s="399">
        <v>20</v>
      </c>
      <c r="X38" s="567">
        <f t="shared" si="6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IF(((D49+I49)*$B$2)&lt;=0.1,0,((D49+I49)*T38*$B$2))</f>
        <v>0.22049513268701787</v>
      </c>
      <c r="AD38" s="615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7"/>
        <v>R-WH_Att_ELC_X1</v>
      </c>
      <c r="AI38" s="26" t="str">
        <f t="shared" si="7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0.22840408850780652</v>
      </c>
      <c r="AB39" s="400"/>
      <c r="AC39" s="401">
        <f>RSD_Balance!J22</f>
        <v>0.15691600991970089</v>
      </c>
      <c r="AD39" s="615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569">
        <f>U14</f>
        <v>0.81941558441558437</v>
      </c>
      <c r="V40" s="569">
        <f t="shared" si="9"/>
        <v>6.990312058817566E-2</v>
      </c>
      <c r="W40" s="393">
        <v>20</v>
      </c>
      <c r="X40" s="391">
        <f t="shared" si="6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IF(((D37+I37)*$B$2)&lt;=0.1,0,((D37+I37)*T40*$B$2))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</f>
        <v>RSDGAS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569">
        <f>U16</f>
        <v>0.81729411764705884</v>
      </c>
      <c r="V42" s="569">
        <f t="shared" si="9"/>
        <v>4.9806776874505576E-2</v>
      </c>
      <c r="W42" s="393">
        <v>20</v>
      </c>
      <c r="X42" s="391">
        <f t="shared" ref="X42" si="10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IF(((D39+I39)*$B$2)&lt;=0.1,0,((D39+I39)*T42*$B$2))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569">
        <f>U18</f>
        <v>0.5509294871794872</v>
      </c>
      <c r="V44" s="569">
        <f t="shared" ref="V44" si="11">IF(AB44/S44/X44=0,0.12,AB44/S44/X44)</f>
        <v>0.12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0</v>
      </c>
      <c r="AC44" s="394">
        <f>IF(((D41+I41+D42+I42)*$B$2)&lt;=0.1,0,((D41+I41+D42+I42)*T44*$B$2))</f>
        <v>0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570">
        <f>U20</f>
        <v>0.57113772455089817</v>
      </c>
      <c r="V46" s="571">
        <f>SUM(AB46:AB48)/S46/X46</f>
        <v>5.7147241043066219E-2</v>
      </c>
      <c r="W46" s="399">
        <v>20</v>
      </c>
      <c r="X46" s="567">
        <f t="shared" ref="X46" si="12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IF(((D43+I43)*$B$2)&lt;=0.1,0,((D43+I43)*T46*$B$2))*Y46</f>
        <v>9.4101430588314799E-2</v>
      </c>
      <c r="AD46" s="563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IF(((D43+I43)*$B$2)&lt;=0.1,0,((D43+I43)*T46*$B$2))*Y47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ref="AB48" si="13">AC48*$U$46</f>
        <v>1.7176197785969346E-2</v>
      </c>
      <c r="AC48" s="401">
        <f>IF(((D43+I43)*$B$2)&lt;=0.1,0,((D43+I43)*T46*$B$2))*Y48</f>
        <v>3.0073653074616069E-2</v>
      </c>
      <c r="AD48" s="563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4">M51</f>
        <v>R-WH_Att_SOL_X0</v>
      </c>
      <c r="AI48" s="26" t="str">
        <f t="shared" ref="AI48" si="15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569">
        <f>U23</f>
        <v>0.70400656814449913</v>
      </c>
      <c r="V49" s="569">
        <f t="shared" ref="V49:V50" si="16">IF(AB49/S49/X49=0,0.12,AB49/S49/X49)</f>
        <v>0.12</v>
      </c>
      <c r="W49" s="393">
        <v>20</v>
      </c>
      <c r="X49" s="391">
        <f t="shared" ref="X49:X50" si="17">31.536*(AD49/1000)</f>
        <v>0.15768000000000001</v>
      </c>
      <c r="Y49" s="393"/>
      <c r="Z49" s="393"/>
      <c r="AA49" s="393"/>
      <c r="AB49" s="394">
        <f>AC49*U49</f>
        <v>0</v>
      </c>
      <c r="AC49" s="394">
        <f>IF(((D44+I44+D45+I45+D46+I46+D47+I47)*$B$2)&lt;=0.1,0,((D44+I44+D45+I45+D46+I46+D47+I47)*T49*$B$2))</f>
        <v>0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571">
        <f>U24</f>
        <v>0.60949973059968388</v>
      </c>
      <c r="V50" s="569">
        <f t="shared" si="16"/>
        <v>0.12</v>
      </c>
      <c r="W50" s="399">
        <v>20</v>
      </c>
      <c r="X50" s="567">
        <f t="shared" si="17"/>
        <v>0.15768000000000001</v>
      </c>
      <c r="Y50" s="399"/>
      <c r="Z50" s="399"/>
      <c r="AA50" s="399"/>
      <c r="AB50" s="400">
        <f>AC50*U50</f>
        <v>0</v>
      </c>
      <c r="AC50" s="401">
        <f>IF(((D48+I48)*$B$2)&lt;=0.1,0,((D48+I48)*T50*$B$2))</f>
        <v>0</v>
      </c>
      <c r="AD50" s="563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569">
        <v>1</v>
      </c>
      <c r="V51" s="569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7.7640972239661528</v>
      </c>
      <c r="AC54" s="382">
        <f>SUM(AC31:AC52)</f>
        <v>9.1236249190255627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569">
        <v>0.4</v>
      </c>
      <c r="V59" s="569">
        <f>AB59/S59/X59</f>
        <v>0.29847129365993369</v>
      </c>
      <c r="W59" s="393">
        <v>10</v>
      </c>
      <c r="X59" s="390">
        <f t="shared" ref="X59:X60" si="18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575">
        <f>DwellingStocks!J28/1000</f>
        <v>788.06472099999974</v>
      </c>
      <c r="T60" s="395">
        <f>(S60*1000)/SUM(G54:G62)-0.188</f>
        <v>1.7111433373980012</v>
      </c>
      <c r="U60" s="576">
        <v>0.6</v>
      </c>
      <c r="V60" s="576">
        <f>AB60/S60/X60</f>
        <v>0.24175608869574006</v>
      </c>
      <c r="W60" s="577">
        <v>15</v>
      </c>
      <c r="X60" s="578">
        <f t="shared" si="18"/>
        <v>1.5768000000000002E-3</v>
      </c>
      <c r="Y60" s="577"/>
      <c r="Z60" s="577"/>
      <c r="AA60" s="577"/>
      <c r="AB60" s="579">
        <f>AC60*U60</f>
        <v>0.30041106022645236</v>
      </c>
      <c r="AC60" s="401">
        <f>(F54+F55+F56+F57+F58+F59+F60+F61+F62)*T60*$B$2</f>
        <v>0.50068510037742064</v>
      </c>
      <c r="AD60" s="562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zoomScale="70" zoomScaleNormal="70" workbookViewId="0">
      <selection activeCell="AC27" sqref="AC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569">
        <f>(G7+G14+G16)/300</f>
        <v>0.61986329460013678</v>
      </c>
      <c r="V7" s="569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IF(((D7+I7+D14+I14+D16+I16)*$B$2)&lt;=0.1,0,((D7+I7+D14+I14+D16+I16)*T7*$B$2))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570">
        <v>0.9</v>
      </c>
      <c r="V8" s="569">
        <f>+V10</f>
        <v>6.9794671886081558E-2</v>
      </c>
      <c r="W8" s="399">
        <v>20</v>
      </c>
      <c r="X8" s="567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IF(((D8+I8)*$B$2)&lt;=0.1,0,((D8+I8)*T8*$B$2))</f>
        <v>0</v>
      </c>
      <c r="AD8" s="563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572">
        <v>0.9</v>
      </c>
      <c r="V9" s="569">
        <f>+V8</f>
        <v>6.9794671886081558E-2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IF(((D9+I9)*$B$2)&lt;=0.1,0,((D9+I9)*T9*$B$2))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571">
        <f>(G10+G11)/200</f>
        <v>0.82661774762699336</v>
      </c>
      <c r="V10" s="569">
        <f t="shared" ref="V8:V10" si="2">IF(AB10/S10/X10=0,0.12,AB10/S10/X10)</f>
        <v>6.9794671886081558E-2</v>
      </c>
      <c r="W10" s="399">
        <v>20</v>
      </c>
      <c r="X10" s="567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IF(((D10+I10+D11+I11)*T10*$B$2)&lt;=0.1,0,((D10+I10+D11+I11)*T10*$B$2))</f>
        <v>1.2958225591678023</v>
      </c>
      <c r="AD10" s="563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569">
        <f>(G25)/100</f>
        <v>0.99952095808383234</v>
      </c>
      <c r="V11" s="569">
        <f t="shared" ref="V10:V12" si="3">AB11/S11/X11</f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IF(((D25+I25)*T11*$B$2)&lt;=0.1,0,((D25+I25)*T11*$B$2))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571">
        <f>G12/100</f>
        <v>3.0897837837837834</v>
      </c>
      <c r="V12" s="571">
        <f t="shared" si="3"/>
        <v>0.13831906725092244</v>
      </c>
      <c r="W12" s="399">
        <v>20</v>
      </c>
      <c r="X12" s="567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IF(((D12+I12)*T12*$B$2)&lt;=0.1,0,((D12+I12)*T12*$B$2))</f>
        <v>0.20994840937625045</v>
      </c>
      <c r="AD12" s="563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0.63072000000000006</v>
      </c>
      <c r="AA13" s="617">
        <f>AC13/AB12</f>
        <v>0.23032451200792542</v>
      </c>
      <c r="AC13" s="560">
        <f>RSD_Balance!H22</f>
        <v>0.14941040324491844</v>
      </c>
      <c r="AD13" s="560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(S14*1000)/E13*DwellingStocks!$T$27*1.21</f>
        <v>2.4217595970519534</v>
      </c>
      <c r="U14" s="569">
        <f>G13/100</f>
        <v>0.82280373831775711</v>
      </c>
      <c r="V14" s="569">
        <f>AB14/S14/X14</f>
        <v>5.3753546876215134E-2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26.001024232919811</v>
      </c>
      <c r="AC14" s="394">
        <f>IF(((D13+I13)*$B$2)&lt;=0.1,0,((D13+I13)*T14*$B$2))</f>
        <v>31.600517865997496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</f>
        <v>RSDGAS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569">
        <f>G15/100</f>
        <v>0.82728758169934635</v>
      </c>
      <c r="V16" s="569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IF(((D15+I15)*$B$2)&lt;=0.1,0,((D15+I15)*T16*$B$2))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569">
        <f>(G17+G18)/200</f>
        <v>0.5457894736842106</v>
      </c>
      <c r="V18" s="569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IF(((D17+I17)+D18+I18*$B$2)&lt;=0.1,0,((D17+I17+D18+I18)*T18*$B$2))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570">
        <f>G19/100</f>
        <v>0.61474226804123711</v>
      </c>
      <c r="V20" s="571">
        <f>SUM(AB20:AB22)/S20/X20</f>
        <v>0.13495608652757685</v>
      </c>
      <c r="W20" s="399">
        <v>20</v>
      </c>
      <c r="X20" s="567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IF(((D19+I19)*$B$2)&lt;=0.1,0,((D19+I19)*T20*$B$2))*Y20</f>
        <v>1.2986569448367158</v>
      </c>
      <c r="AD20" s="563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IF(((D19+I19)*$B$2)&lt;=0.1,0,((D19+I19)*T20*$B$2))*Y21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IF(((D19+I19)*$B$2)&lt;=0.1,0,((D19+I19)*T20*$B$2))*Y22</f>
        <v>0.41503469371070295</v>
      </c>
      <c r="AD22" s="563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569">
        <f>(G21+G22+G23)/300</f>
        <v>0.72928609692169366</v>
      </c>
      <c r="V23" s="569">
        <f>AB23/S23/X23</f>
        <v>9.4687203541950787E-2</v>
      </c>
      <c r="W23" s="393">
        <v>20</v>
      </c>
      <c r="X23" s="391">
        <f t="shared" ref="X23:X24" si="4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IF(((D20+I20+D21+I21+D22+I22+D23+I23)*$B$2)&lt;=0.1,0,((D20+I20+D21+I21+D22+I22+D23+I23)*T23*$B$2))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571">
        <f>G24/100</f>
        <v>0.65865731206453049</v>
      </c>
      <c r="V24" s="569">
        <f t="shared" ref="V24" si="5">IF(AB24/S24/X24=0,0.12,AB24/S24/X24)</f>
        <v>0.12</v>
      </c>
      <c r="W24" s="399">
        <v>20</v>
      </c>
      <c r="X24" s="567">
        <f t="shared" si="4"/>
        <v>0.94608000000000003</v>
      </c>
      <c r="Y24" s="399"/>
      <c r="Z24" s="399"/>
      <c r="AA24" s="399"/>
      <c r="AB24" s="400">
        <f>AC24*U24</f>
        <v>0</v>
      </c>
      <c r="AC24" s="401">
        <f>IF(((D24+I24)*$B$2)&lt;=0.1,0,((D24+I24)*T24*$B$2))</f>
        <v>0</v>
      </c>
      <c r="AD24" s="563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40.077989914529958</v>
      </c>
      <c r="AC27" s="382">
        <f>SUM(AC6:AC25)</f>
        <v>50.578427820347997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569">
        <f>U7</f>
        <v>0.61986329460013678</v>
      </c>
      <c r="V33" s="569">
        <f t="shared" ref="V33:V38" si="6">IF(AB33/S33/X33=0,0.12,AB33/S33/X33)</f>
        <v>0.12</v>
      </c>
      <c r="W33" s="393">
        <v>20</v>
      </c>
      <c r="X33" s="391">
        <f t="shared" ref="X33:X40" si="7">31.536*(AD33/1000)</f>
        <v>0.25228800000000001</v>
      </c>
      <c r="Y33" s="393"/>
      <c r="Z33" s="393"/>
      <c r="AA33" s="393"/>
      <c r="AB33" s="394">
        <f>AC33*U33</f>
        <v>0</v>
      </c>
      <c r="AC33" s="394">
        <f>IF(((D31+I31+D38+I38+D40+I40)*$B$2)&lt;=0.1,0,((D31+I31+D38+I38+D40+I40)*T33*$B$2))</f>
        <v>0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8">M33</f>
        <v>R-WH_Det_COA_X0</v>
      </c>
      <c r="AI33" s="294" t="str">
        <f t="shared" si="8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570">
        <v>0.9</v>
      </c>
      <c r="V34" s="569">
        <f t="shared" si="6"/>
        <v>0.12</v>
      </c>
      <c r="W34" s="399">
        <v>20</v>
      </c>
      <c r="X34" s="567">
        <f t="shared" si="7"/>
        <v>0.25228800000000001</v>
      </c>
      <c r="Y34" s="399"/>
      <c r="Z34" s="399"/>
      <c r="AA34" s="399"/>
      <c r="AB34" s="400">
        <f>AC34*U34</f>
        <v>0</v>
      </c>
      <c r="AC34" s="401">
        <f>IF(((D32+I32)*$B$2)&lt;=0.1,0,((D32+I32)*T34*$B$2))</f>
        <v>0</v>
      </c>
      <c r="AD34" s="563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8"/>
        <v>R-WH_Det_BDL_X0</v>
      </c>
      <c r="AI34" s="26" t="str">
        <f t="shared" si="8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572">
        <v>0.9</v>
      </c>
      <c r="V35" s="569">
        <f t="shared" si="6"/>
        <v>0.12</v>
      </c>
      <c r="W35" s="393">
        <v>20</v>
      </c>
      <c r="X35" s="391">
        <f t="shared" si="7"/>
        <v>0.25228800000000001</v>
      </c>
      <c r="Y35" s="393"/>
      <c r="Z35" s="393"/>
      <c r="AA35" s="393"/>
      <c r="AB35" s="394">
        <f>IFERROR(AC35*U35,0)</f>
        <v>0</v>
      </c>
      <c r="AC35" s="394">
        <f>IF(((D33+I33)*$B$2)&lt;=0.1,0,((D33+I33)*T35*$B$2))</f>
        <v>0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8"/>
        <v>R-WH_Det_ETH_X0</v>
      </c>
      <c r="AI35" s="294" t="str">
        <f t="shared" si="8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571">
        <f>U10</f>
        <v>0.82661774762699336</v>
      </c>
      <c r="V36" s="569">
        <f t="shared" si="6"/>
        <v>0.12</v>
      </c>
      <c r="W36" s="399">
        <v>20</v>
      </c>
      <c r="X36" s="567">
        <f t="shared" si="7"/>
        <v>0.25228800000000001</v>
      </c>
      <c r="Y36" s="399"/>
      <c r="Z36" s="399"/>
      <c r="AA36" s="399"/>
      <c r="AB36" s="400">
        <f>AC36*U36</f>
        <v>0</v>
      </c>
      <c r="AC36" s="401">
        <f>IF(((D34+I34+D35+I35)*$B$2)&lt;=0.1,0,((D34+I34+D35+I35)*T36*$B$2))</f>
        <v>0</v>
      </c>
      <c r="AD36" s="563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8"/>
        <v>R-WH_Det_LPG_X0</v>
      </c>
      <c r="AI36" s="26" t="str">
        <f t="shared" si="8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569">
        <f>U11</f>
        <v>0.99952095808383234</v>
      </c>
      <c r="V37" s="569">
        <f t="shared" si="6"/>
        <v>0.12</v>
      </c>
      <c r="W37" s="393">
        <v>20</v>
      </c>
      <c r="X37" s="391">
        <f t="shared" si="7"/>
        <v>0.25228800000000001</v>
      </c>
      <c r="Y37" s="393"/>
      <c r="Z37" s="393"/>
      <c r="AA37" s="393"/>
      <c r="AB37" s="394">
        <f>AC37*U37</f>
        <v>0</v>
      </c>
      <c r="AC37" s="394">
        <f>IF(((D49+I49)*$B$2)&lt;=0.1,0,((D49+I49)*T37*$B$2))</f>
        <v>0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8"/>
        <v>R-WH_Det_ELC_X0</v>
      </c>
      <c r="AI37" s="294" t="str">
        <f t="shared" si="8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571">
        <f>U12</f>
        <v>3.0897837837837834</v>
      </c>
      <c r="V38" s="569">
        <f t="shared" si="6"/>
        <v>0.12</v>
      </c>
      <c r="W38" s="399">
        <v>20</v>
      </c>
      <c r="X38" s="567">
        <f t="shared" si="7"/>
        <v>6.3072000000000003E-2</v>
      </c>
      <c r="Y38" s="399"/>
      <c r="Z38" s="399"/>
      <c r="AA38" s="399"/>
      <c r="AB38" s="400">
        <f>AC38*U38</f>
        <v>0</v>
      </c>
      <c r="AC38" s="401">
        <f>IF(((D49+I49)*$B$2)&lt;=0.1,0,((D49+I49)*T38*$B$2))</f>
        <v>0</v>
      </c>
      <c r="AD38" s="563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8"/>
        <v>R-WH_Det_ELC_X1</v>
      </c>
      <c r="AI38" s="26" t="str">
        <f t="shared" si="8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7"/>
        <v>0.18921600000000002</v>
      </c>
      <c r="Y39" s="399"/>
      <c r="Z39" s="399"/>
      <c r="AA39" s="399" t="e">
        <f>AC39/AB38</f>
        <v>#DIV/0!</v>
      </c>
      <c r="AB39" s="400"/>
      <c r="AC39" s="401">
        <f>RSD_Balance!K22</f>
        <v>0</v>
      </c>
      <c r="AD39" s="563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569">
        <f>U14</f>
        <v>0.82280373831775711</v>
      </c>
      <c r="V40" s="569">
        <f t="shared" ref="V36:V44" si="9">AB40/S40/X40</f>
        <v>5.371147507918328E-2</v>
      </c>
      <c r="W40" s="393">
        <v>20</v>
      </c>
      <c r="X40" s="391">
        <f t="shared" si="7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IF(((D37+I37)*$B$2)&lt;=0.1,0,((D37+I37)*T40*$B$2))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</f>
        <v>RSDGAS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569">
        <f>U16</f>
        <v>0.82728758169934635</v>
      </c>
      <c r="V42" s="569">
        <f t="shared" si="9"/>
        <v>4.2554933846820381E-2</v>
      </c>
      <c r="W42" s="393">
        <v>20</v>
      </c>
      <c r="X42" s="391">
        <f t="shared" ref="X42" si="10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IF(((D39+I39)*$B$2)&lt;=0.1,0,((D39+I39)*T42*$B$2))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569">
        <f>U18</f>
        <v>0.5457894736842106</v>
      </c>
      <c r="V44" s="569">
        <f t="shared" ref="V44" si="11">IF(AB44/S44/X44=0,0.12,AB44/S44/X44)</f>
        <v>0.12</v>
      </c>
      <c r="W44" s="393">
        <v>20</v>
      </c>
      <c r="X44" s="391">
        <f t="shared" ref="X44" si="12">31.536*(AD44/1000)</f>
        <v>0.25228800000000001</v>
      </c>
      <c r="Y44" s="393"/>
      <c r="Z44" s="393"/>
      <c r="AA44" s="393"/>
      <c r="AB44" s="394">
        <f>AC44*U44</f>
        <v>0</v>
      </c>
      <c r="AC44" s="394">
        <f>IF(((D41+I41+D42+I42)*$B$2)&lt;=0.1,0,((D41+I41+D42+I42)*T44*$B$2))</f>
        <v>0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570">
        <f>U20</f>
        <v>0.61474226804123711</v>
      </c>
      <c r="V46" s="571">
        <f>SUM(AB46:AB48)/S46/X46</f>
        <v>4.3752307505030223E-2</v>
      </c>
      <c r="W46" s="399">
        <v>20</v>
      </c>
      <c r="X46" s="567">
        <f t="shared" ref="X46" si="13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IF(((D43+I43)*$B$2)&lt;=0.1,0,((D43+I43)*T46*$B$2))*Y46</f>
        <v>0.10058759437750613</v>
      </c>
      <c r="AD46" s="563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4">AC47*$U$46</f>
        <v>0.23714212243764654</v>
      </c>
      <c r="AC47" s="394">
        <f>IF(((D43+I43)*$B$2)&lt;=0.1,0,((D43+I43)*T46*$B$2))*Y47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si="14"/>
        <v>1.9761843536470546E-2</v>
      </c>
      <c r="AC48" s="401">
        <f>IF(((D43+I43)*$B$2)&lt;=0.1,0,((D43+I43)*T46*$B$2))*Y48</f>
        <v>3.2146550780440097E-2</v>
      </c>
      <c r="AD48" s="563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5">M51</f>
        <v>R-WH_Det_SOL_X0</v>
      </c>
      <c r="AI48" s="26" t="str">
        <f t="shared" ref="AI48" si="16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569">
        <f>U23</f>
        <v>0.72928609692169366</v>
      </c>
      <c r="V49" s="569">
        <f t="shared" ref="V49:V50" si="17">IF(AB49/S49/X49=0,0.12,AB49/S49/X49)</f>
        <v>0.12</v>
      </c>
      <c r="W49" s="393">
        <v>20</v>
      </c>
      <c r="X49" s="391">
        <f t="shared" ref="X49:X51" si="18">31.536*(AD49/1000)</f>
        <v>0.25228800000000001</v>
      </c>
      <c r="Y49" s="393"/>
      <c r="Z49" s="393"/>
      <c r="AA49" s="393"/>
      <c r="AB49" s="394">
        <f>AC49*U49</f>
        <v>0</v>
      </c>
      <c r="AC49" s="394">
        <f>IF(((D44+I44+D45+I45+D46+I46+D47+I47)*$B$2)&lt;=0.1,0,((D44+I44+D45+I45+D46+I46+D47+I47)*T49*$B$2))</f>
        <v>0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571">
        <f>U24</f>
        <v>0.65865731206453049</v>
      </c>
      <c r="V50" s="569">
        <f t="shared" si="17"/>
        <v>0.12</v>
      </c>
      <c r="W50" s="399">
        <v>20</v>
      </c>
      <c r="X50" s="567">
        <f t="shared" si="18"/>
        <v>0.25228800000000001</v>
      </c>
      <c r="Y50" s="399"/>
      <c r="Z50" s="399"/>
      <c r="AA50" s="399"/>
      <c r="AB50" s="400">
        <f>AC50*U50</f>
        <v>0</v>
      </c>
      <c r="AC50" s="401">
        <f>IF(((D48+I48)*$B$2)&lt;=0.1,0,((D48+I48)*T50*$B$2))</f>
        <v>0</v>
      </c>
      <c r="AD50" s="563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569">
        <v>1</v>
      </c>
      <c r="V51" s="569">
        <f>AB51/S51/X51</f>
        <v>0.1434149638104541</v>
      </c>
      <c r="W51" s="393">
        <v>20</v>
      </c>
      <c r="X51" s="391">
        <f t="shared" si="18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8.752268766470868</v>
      </c>
      <c r="AC54" s="382">
        <f>SUM(AC31:AC52)</f>
        <v>10.702789831101146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569">
        <v>0.4</v>
      </c>
      <c r="V59" s="569">
        <f>AB59/S59/X59</f>
        <v>0.49065561985781003</v>
      </c>
      <c r="W59" s="393">
        <v>10</v>
      </c>
      <c r="X59" s="390">
        <f t="shared" ref="X59:X60" si="19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575">
        <f>DwellingStocks!K28/1000</f>
        <v>735.40672899999993</v>
      </c>
      <c r="T60" s="395">
        <f>(S60*1000)/SUM(G54:G62)-0.188</f>
        <v>2.5819874157692722</v>
      </c>
      <c r="U60" s="576">
        <v>0.6</v>
      </c>
      <c r="V60" s="576">
        <f t="shared" ref="V60" si="20">AB60/S60/X60</f>
        <v>0.29872122806778129</v>
      </c>
      <c r="W60" s="577">
        <v>15</v>
      </c>
      <c r="X60" s="578">
        <f t="shared" si="19"/>
        <v>1.5768000000000002E-3</v>
      </c>
      <c r="Y60" s="577"/>
      <c r="Z60" s="577"/>
      <c r="AA60" s="577"/>
      <c r="AB60" s="579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562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8" t="s">
        <v>413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8" t="s">
        <v>480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8" t="s">
        <v>482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2024-09-04T20:28:59Z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200451076030731</vt:r8>
  </property>
</Properties>
</file>