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4DE011B-1EC5-463D-8EB3-592FDCE01E10}" xr6:coauthVersionLast="45" xr6:coauthVersionMax="47" xr10:uidLastSave="{00000000-0000-0000-0000-000000000000}"/>
  <bookViews>
    <workbookView xWindow="-60" yWindow="-163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55" l="1"/>
  <c r="C35" i="55"/>
  <c r="C34" i="55"/>
  <c r="C33" i="55"/>
  <c r="C32" i="55"/>
  <c r="C31" i="55"/>
  <c r="AN50" i="55"/>
  <c r="AO50" i="55"/>
  <c r="AN51" i="55"/>
  <c r="AO51" i="55"/>
  <c r="AN52" i="55"/>
  <c r="AO52" i="55"/>
  <c r="AN53" i="55"/>
  <c r="AO53" i="55"/>
  <c r="AN54" i="55"/>
  <c r="AO54" i="55"/>
  <c r="AN39" i="55"/>
  <c r="AO39" i="55"/>
  <c r="AN40" i="55"/>
  <c r="AO40" i="55"/>
  <c r="AN41" i="55"/>
  <c r="AO41" i="55"/>
  <c r="AN42" i="55"/>
  <c r="AO42" i="55"/>
  <c r="AN43" i="55"/>
  <c r="AO43" i="55"/>
  <c r="C58" i="55" l="1"/>
  <c r="C57" i="55"/>
  <c r="C56" i="55"/>
  <c r="C55" i="55"/>
  <c r="C54" i="55"/>
  <c r="AO251" i="55" l="1"/>
  <c r="AO252" i="55"/>
  <c r="AO253" i="55"/>
  <c r="AO254" i="55"/>
  <c r="AO255" i="55"/>
  <c r="AO240" i="55"/>
  <c r="AO241" i="55"/>
  <c r="AO242" i="55"/>
  <c r="AO243" i="55"/>
  <c r="AO244" i="55"/>
  <c r="AO229" i="55"/>
  <c r="AO230" i="55"/>
  <c r="AO231" i="55"/>
  <c r="AO232" i="55"/>
  <c r="AO233" i="55"/>
  <c r="AO218" i="55"/>
  <c r="AO219" i="55"/>
  <c r="AO220" i="55"/>
  <c r="AO221" i="55"/>
  <c r="AO222" i="55"/>
  <c r="AO207" i="55"/>
  <c r="AO208" i="55"/>
  <c r="AO209" i="55"/>
  <c r="AO210" i="55"/>
  <c r="AO211" i="55"/>
  <c r="Z246" i="55"/>
  <c r="C251" i="55"/>
  <c r="AN255" i="55" s="1"/>
  <c r="C250" i="55"/>
  <c r="AN254" i="55" s="1"/>
  <c r="C249" i="55"/>
  <c r="AN253" i="55" s="1"/>
  <c r="C248" i="55"/>
  <c r="AN252" i="55" s="1"/>
  <c r="C247" i="55"/>
  <c r="AN251" i="55" s="1"/>
  <c r="C240" i="55"/>
  <c r="AN244" i="55" s="1"/>
  <c r="C239" i="55"/>
  <c r="AN243" i="55" s="1"/>
  <c r="C238" i="55"/>
  <c r="AN242" i="55" s="1"/>
  <c r="C237" i="55"/>
  <c r="AN241" i="55" s="1"/>
  <c r="C236" i="55"/>
  <c r="AN240" i="55" s="1"/>
  <c r="C229" i="55"/>
  <c r="AN233" i="55" s="1"/>
  <c r="C228" i="55"/>
  <c r="AN232" i="55" s="1"/>
  <c r="C227" i="55"/>
  <c r="AN231" i="55" s="1"/>
  <c r="C226" i="55"/>
  <c r="AN230" i="55" s="1"/>
  <c r="C225" i="55"/>
  <c r="AN229" i="55" s="1"/>
  <c r="C218" i="55"/>
  <c r="AN222" i="55" s="1"/>
  <c r="C217" i="55"/>
  <c r="AN221" i="55" s="1"/>
  <c r="C216" i="55"/>
  <c r="AN220" i="55" s="1"/>
  <c r="C215" i="55"/>
  <c r="AN219" i="55" s="1"/>
  <c r="C214" i="55"/>
  <c r="AN218" i="55" s="1"/>
  <c r="C207" i="55"/>
  <c r="AN211" i="55" s="1"/>
  <c r="C206" i="55"/>
  <c r="AN210" i="55" s="1"/>
  <c r="C205" i="55"/>
  <c r="AN209" i="55" s="1"/>
  <c r="C204" i="55"/>
  <c r="AN208" i="55" s="1"/>
  <c r="C203" i="55"/>
  <c r="AN207" i="55" s="1"/>
  <c r="AO154" i="55"/>
  <c r="AO155" i="55"/>
  <c r="AO156" i="55"/>
  <c r="AO157" i="55"/>
  <c r="AO158" i="55"/>
  <c r="AO143" i="55"/>
  <c r="AO144" i="55"/>
  <c r="AO145" i="55"/>
  <c r="AO146" i="55"/>
  <c r="AO147" i="55"/>
  <c r="AO148" i="55"/>
  <c r="AO149" i="55"/>
  <c r="AO150" i="55"/>
  <c r="AO151" i="55"/>
  <c r="AO152" i="55"/>
  <c r="AO132" i="55"/>
  <c r="AO133" i="55"/>
  <c r="AO134" i="55"/>
  <c r="AO135" i="55"/>
  <c r="AO136" i="55"/>
  <c r="AO121" i="55"/>
  <c r="AO122" i="55"/>
  <c r="AO123" i="55"/>
  <c r="AO124" i="55"/>
  <c r="AO125" i="55"/>
  <c r="AO110" i="55"/>
  <c r="AO111" i="55"/>
  <c r="AO112" i="55"/>
  <c r="AO113" i="55"/>
  <c r="AO114" i="55"/>
  <c r="C110" i="55"/>
  <c r="AN114" i="55" s="1"/>
  <c r="C109" i="55"/>
  <c r="AN113" i="55" s="1"/>
  <c r="C108" i="55"/>
  <c r="AN112" i="55" s="1"/>
  <c r="C107" i="55"/>
  <c r="AN111" i="55" s="1"/>
  <c r="C106" i="55"/>
  <c r="AN110" i="55" s="1"/>
  <c r="C154" i="55"/>
  <c r="AN158" i="55" s="1"/>
  <c r="C153" i="55"/>
  <c r="AN157" i="55" s="1"/>
  <c r="C152" i="55"/>
  <c r="AN156" i="55" s="1"/>
  <c r="C151" i="55"/>
  <c r="AN155" i="55" s="1"/>
  <c r="C150" i="55"/>
  <c r="AN154" i="55" s="1"/>
  <c r="C143" i="55"/>
  <c r="AN147" i="55" s="1"/>
  <c r="C142" i="55"/>
  <c r="AN146" i="55" s="1"/>
  <c r="C141" i="55"/>
  <c r="AN145" i="55" s="1"/>
  <c r="C140" i="55"/>
  <c r="AN144" i="55" s="1"/>
  <c r="C139" i="55"/>
  <c r="AN143" i="55" s="1"/>
  <c r="C132" i="55"/>
  <c r="AN136" i="55" s="1"/>
  <c r="C131" i="55"/>
  <c r="AN135" i="55" s="1"/>
  <c r="C130" i="55"/>
  <c r="AN134" i="55" s="1"/>
  <c r="C129" i="55"/>
  <c r="AN133" i="55" s="1"/>
  <c r="C128" i="55"/>
  <c r="AN132" i="55" s="1"/>
  <c r="C121" i="55"/>
  <c r="AN125" i="55" s="1"/>
  <c r="C120" i="55"/>
  <c r="AN124" i="55" s="1"/>
  <c r="C119" i="55"/>
  <c r="AN123" i="55" s="1"/>
  <c r="C118" i="55"/>
  <c r="AN122" i="55" s="1"/>
  <c r="C117" i="55"/>
  <c r="AN121" i="55" s="1"/>
  <c r="AH117" i="55"/>
  <c r="AH118" i="55"/>
  <c r="AH119" i="55"/>
  <c r="AH120" i="55"/>
  <c r="AH121" i="55"/>
  <c r="AH54" i="55"/>
  <c r="AH55" i="55"/>
  <c r="AH56" i="55"/>
  <c r="AH57" i="55"/>
  <c r="AH58" i="55"/>
  <c r="Z43" i="55"/>
  <c r="AH43" i="55"/>
  <c r="Z44" i="55"/>
  <c r="AH44" i="55"/>
  <c r="Z45" i="55"/>
  <c r="AH45" i="55"/>
  <c r="Z46" i="55"/>
  <c r="AH46" i="55"/>
  <c r="Z47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AN32" i="55"/>
  <c r="AN31" i="55"/>
  <c r="AN30" i="55"/>
  <c r="AN29" i="55"/>
  <c r="AN28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0" i="55"/>
  <c r="Z26" i="55"/>
  <c r="Z27" i="55"/>
  <c r="Z28" i="55"/>
  <c r="Z29" i="55"/>
  <c r="Z30" i="55"/>
  <c r="AH312" i="55" l="1"/>
  <c r="AM314" i="55"/>
  <c r="AM324" i="55" s="1"/>
  <c r="AM313" i="55"/>
  <c r="AM312" i="55"/>
  <c r="AL303" i="55"/>
  <c r="AM311" i="55"/>
  <c r="AM310" i="55"/>
  <c r="AM32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2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2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67" i="55"/>
  <c r="AO206" i="55"/>
  <c r="AO212" i="55"/>
  <c r="AO213" i="55"/>
  <c r="AO214" i="55"/>
  <c r="AO215" i="55"/>
  <c r="AO216" i="55"/>
  <c r="AO217" i="55"/>
  <c r="AO223" i="55"/>
  <c r="AO224" i="55"/>
  <c r="AO225" i="55"/>
  <c r="AO226" i="55"/>
  <c r="AO227" i="55"/>
  <c r="AO228" i="55"/>
  <c r="AO234" i="55"/>
  <c r="AO235" i="55"/>
  <c r="AO236" i="55"/>
  <c r="AO237" i="55"/>
  <c r="AO238" i="55"/>
  <c r="AO239" i="55"/>
  <c r="AO245" i="55"/>
  <c r="AO246" i="55"/>
  <c r="AO247" i="55"/>
  <c r="AO248" i="55"/>
  <c r="AO249" i="55"/>
  <c r="AO250" i="55"/>
  <c r="AO256" i="55"/>
  <c r="AO257" i="55"/>
  <c r="AO258" i="55"/>
  <c r="AO259" i="55"/>
  <c r="AO260" i="55"/>
  <c r="AO261" i="55"/>
  <c r="AO262" i="55"/>
  <c r="AO263" i="55"/>
  <c r="AO264" i="55"/>
  <c r="AO265" i="55"/>
  <c r="AO266" i="55"/>
  <c r="Z234" i="55"/>
  <c r="Z233" i="55"/>
  <c r="Z232" i="55"/>
  <c r="Z231" i="55"/>
  <c r="Z230" i="55"/>
  <c r="Z224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60" i="55" s="1"/>
  <c r="C255" i="55"/>
  <c r="AN259" i="55" s="1"/>
  <c r="C254" i="55"/>
  <c r="AN258" i="55" s="1"/>
  <c r="C253" i="55"/>
  <c r="AN257" i="55" s="1"/>
  <c r="C252" i="55"/>
  <c r="AN256" i="55" s="1"/>
  <c r="C246" i="55"/>
  <c r="AN250" i="55" s="1"/>
  <c r="C245" i="55"/>
  <c r="AN249" i="55" s="1"/>
  <c r="C244" i="55"/>
  <c r="AN248" i="55" s="1"/>
  <c r="C243" i="55"/>
  <c r="AN247" i="55" s="1"/>
  <c r="C242" i="55"/>
  <c r="AN246" i="55" s="1"/>
  <c r="C241" i="55"/>
  <c r="AN245" i="55" s="1"/>
  <c r="C235" i="55"/>
  <c r="AN239" i="55" s="1"/>
  <c r="C234" i="55"/>
  <c r="AN238" i="55" s="1"/>
  <c r="C233" i="55"/>
  <c r="AN237" i="55" s="1"/>
  <c r="C232" i="55"/>
  <c r="AN236" i="55" s="1"/>
  <c r="C231" i="55"/>
  <c r="AN235" i="55" s="1"/>
  <c r="C230" i="55"/>
  <c r="AN234" i="55" s="1"/>
  <c r="C224" i="55"/>
  <c r="AN228" i="55" s="1"/>
  <c r="C223" i="55"/>
  <c r="AN227" i="55" s="1"/>
  <c r="C222" i="55"/>
  <c r="AN226" i="55" s="1"/>
  <c r="C221" i="55"/>
  <c r="AN225" i="55" s="1"/>
  <c r="C220" i="55"/>
  <c r="AN224" i="55" s="1"/>
  <c r="C219" i="55"/>
  <c r="AN223" i="55" s="1"/>
  <c r="C212" i="55"/>
  <c r="AN216" i="55" s="1"/>
  <c r="C211" i="55"/>
  <c r="AN215" i="55" s="1"/>
  <c r="C210" i="55"/>
  <c r="AN214" i="55" s="1"/>
  <c r="C209" i="55"/>
  <c r="AN213" i="55" s="1"/>
  <c r="C208" i="55"/>
  <c r="AN212" i="55" s="1"/>
  <c r="C213" i="55"/>
  <c r="AN217" i="55" s="1"/>
  <c r="C202" i="55"/>
  <c r="AN20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2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Z159" i="55"/>
  <c r="Z158" i="55"/>
  <c r="Z157" i="55"/>
  <c r="Z156" i="55"/>
  <c r="Z155" i="55"/>
  <c r="Z149" i="55"/>
  <c r="Z148" i="55"/>
  <c r="Z147" i="55"/>
  <c r="Z146" i="55"/>
  <c r="Z145" i="55"/>
  <c r="Z144" i="55"/>
  <c r="Z138" i="55"/>
  <c r="Z137" i="55"/>
  <c r="Z136" i="55"/>
  <c r="Z135" i="55"/>
  <c r="Z134" i="55"/>
  <c r="Z133" i="55"/>
  <c r="Z127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70" i="55"/>
  <c r="AO169" i="55"/>
  <c r="AO168" i="55"/>
  <c r="AO167" i="55"/>
  <c r="AO166" i="55"/>
  <c r="AO165" i="55"/>
  <c r="AO164" i="55"/>
  <c r="AO115" i="55"/>
  <c r="AO116" i="55"/>
  <c r="AO117" i="55"/>
  <c r="AO118" i="55"/>
  <c r="AO119" i="55"/>
  <c r="AO120" i="55"/>
  <c r="AO126" i="55"/>
  <c r="AO127" i="55"/>
  <c r="AO128" i="55"/>
  <c r="AO129" i="55"/>
  <c r="AO130" i="55"/>
  <c r="AO131" i="55"/>
  <c r="AO137" i="55"/>
  <c r="AO138" i="55"/>
  <c r="AO139" i="55"/>
  <c r="AO140" i="55"/>
  <c r="AO141" i="55"/>
  <c r="AO142" i="55"/>
  <c r="AO153" i="55"/>
  <c r="AO159" i="55"/>
  <c r="AO160" i="55"/>
  <c r="AO161" i="55"/>
  <c r="AO162" i="55"/>
  <c r="AO163" i="55"/>
  <c r="C148" i="55"/>
  <c r="AN152" i="55" s="1"/>
  <c r="C147" i="55"/>
  <c r="AN151" i="55" s="1"/>
  <c r="C146" i="55"/>
  <c r="AN150" i="55" s="1"/>
  <c r="C145" i="55"/>
  <c r="AN149" i="55" s="1"/>
  <c r="C144" i="55"/>
  <c r="AN148" i="55" s="1"/>
  <c r="C159" i="55"/>
  <c r="AN163" i="55" s="1"/>
  <c r="C158" i="55"/>
  <c r="AN162" i="55" s="1"/>
  <c r="C157" i="55"/>
  <c r="AN161" i="55" s="1"/>
  <c r="C156" i="55"/>
  <c r="AN160" i="55" s="1"/>
  <c r="C155" i="55"/>
  <c r="AN159" i="55" s="1"/>
  <c r="C149" i="55"/>
  <c r="AN153" i="55" s="1"/>
  <c r="C138" i="55"/>
  <c r="AN142" i="55" s="1"/>
  <c r="C137" i="55"/>
  <c r="AN141" i="55" s="1"/>
  <c r="C136" i="55"/>
  <c r="AN140" i="55" s="1"/>
  <c r="C135" i="55"/>
  <c r="AN139" i="55" s="1"/>
  <c r="C134" i="55"/>
  <c r="AN138" i="55" s="1"/>
  <c r="C133" i="55"/>
  <c r="AN137" i="55" s="1"/>
  <c r="C127" i="55"/>
  <c r="AN131" i="55" s="1"/>
  <c r="C126" i="55"/>
  <c r="AN130" i="55" s="1"/>
  <c r="C125" i="55"/>
  <c r="AN129" i="55" s="1"/>
  <c r="C124" i="55"/>
  <c r="AN128" i="55" s="1"/>
  <c r="C123" i="55"/>
  <c r="AN127" i="55" s="1"/>
  <c r="C122" i="55"/>
  <c r="AN126" i="55" s="1"/>
  <c r="C116" i="55"/>
  <c r="AN120" i="55" s="1"/>
  <c r="C115" i="55"/>
  <c r="AN119" i="55" s="1"/>
  <c r="C114" i="55"/>
  <c r="AN118" i="55" s="1"/>
  <c r="C113" i="55"/>
  <c r="AN117" i="55" s="1"/>
  <c r="C112" i="55"/>
  <c r="AN116" i="55" s="1"/>
  <c r="C111" i="55"/>
  <c r="AN11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44" i="55"/>
  <c r="AO45" i="55"/>
  <c r="AO46" i="55"/>
  <c r="AO47" i="55"/>
  <c r="AO48" i="55"/>
  <c r="AO49" i="55"/>
  <c r="AO55" i="55"/>
  <c r="AO56" i="55"/>
  <c r="AO57" i="55"/>
  <c r="AO58" i="55"/>
  <c r="AO5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59" i="55" s="1"/>
  <c r="C62" i="55"/>
  <c r="AN58" i="55" s="1"/>
  <c r="C61" i="55"/>
  <c r="AN57" i="55" s="1"/>
  <c r="C60" i="55"/>
  <c r="AN56" i="55" s="1"/>
  <c r="C59" i="55"/>
  <c r="AN5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9" i="55" s="1"/>
  <c r="C52" i="55"/>
  <c r="AN48" i="55" s="1"/>
  <c r="C51" i="55"/>
  <c r="AN47" i="55" s="1"/>
  <c r="C50" i="55"/>
  <c r="AN46" i="55" s="1"/>
  <c r="C49" i="55"/>
  <c r="AN45" i="55" s="1"/>
  <c r="C48" i="55"/>
  <c r="AN44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AM74" i="55" l="1"/>
  <c r="C171" i="55" l="1"/>
  <c r="AN170" i="55" s="1"/>
  <c r="C169" i="55"/>
  <c r="AN169" i="55" s="1"/>
  <c r="C168" i="55"/>
  <c r="AN168" i="55" s="1"/>
  <c r="AN167" i="55"/>
  <c r="C164" i="55"/>
  <c r="AN166" i="55" s="1"/>
  <c r="C162" i="55"/>
  <c r="AN165" i="55" s="1"/>
  <c r="C161" i="55"/>
  <c r="AN16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200" i="55"/>
  <c r="AO199" i="55"/>
  <c r="AO102" i="55"/>
  <c r="AO10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105" i="55"/>
  <c r="W105" i="55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X105" i="55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35" i="55"/>
  <c r="Z201" i="55"/>
  <c r="Z200" i="55"/>
  <c r="Z103" i="55"/>
  <c r="Z198" i="55"/>
  <c r="Z101" i="55"/>
  <c r="Z188" i="55"/>
  <c r="Z184" i="55"/>
  <c r="Z183" i="55"/>
  <c r="S259" i="55"/>
  <c r="R258" i="55"/>
  <c r="AO187" i="55"/>
  <c r="P182" i="55"/>
  <c r="Q182" i="55"/>
  <c r="R182" i="55"/>
  <c r="S182" i="55"/>
  <c r="AO188" i="55"/>
  <c r="P183" i="55"/>
  <c r="Q183" i="55"/>
  <c r="R183" i="55"/>
  <c r="S183" i="55"/>
  <c r="AO189" i="55"/>
  <c r="P184" i="55"/>
  <c r="Q184" i="55"/>
  <c r="R184" i="55"/>
  <c r="S184" i="55"/>
  <c r="AO190" i="55"/>
  <c r="Q258" i="55"/>
  <c r="S258" i="55"/>
  <c r="P259" i="55"/>
  <c r="C268" i="55"/>
  <c r="AN267" i="55" s="1"/>
  <c r="C266" i="55"/>
  <c r="AN266" i="55" s="1"/>
  <c r="C265" i="55"/>
  <c r="AN265" i="55" s="1"/>
  <c r="AN264" i="55"/>
  <c r="C261" i="55"/>
  <c r="AN263" i="55" s="1"/>
  <c r="C259" i="55"/>
  <c r="AN262" i="55" s="1"/>
  <c r="C258" i="55"/>
  <c r="AN261" i="55" s="1"/>
  <c r="C201" i="55"/>
  <c r="AN205" i="55" s="1"/>
  <c r="C200" i="55"/>
  <c r="AN204" i="55" s="1"/>
  <c r="C198" i="55"/>
  <c r="AN203" i="55" s="1"/>
  <c r="C192" i="55"/>
  <c r="AN198" i="55" s="1"/>
  <c r="C191" i="55"/>
  <c r="AN197" i="55" s="1"/>
  <c r="C190" i="55"/>
  <c r="AN196" i="55" s="1"/>
  <c r="C189" i="55"/>
  <c r="AN195" i="55" s="1"/>
  <c r="C188" i="55"/>
  <c r="AN194" i="55" s="1"/>
  <c r="C187" i="55"/>
  <c r="AN193" i="55" s="1"/>
  <c r="C186" i="55"/>
  <c r="AN192" i="55" s="1"/>
  <c r="C185" i="55"/>
  <c r="AN191" i="55" s="1"/>
  <c r="C184" i="55"/>
  <c r="AN190" i="55" s="1"/>
  <c r="C183" i="55"/>
  <c r="AN189" i="55" s="1"/>
  <c r="C182" i="55"/>
  <c r="AN188" i="55" s="1"/>
  <c r="C181" i="55"/>
  <c r="AN187" i="55" s="1"/>
  <c r="S261" i="55"/>
  <c r="R261" i="55"/>
  <c r="Q261" i="55"/>
  <c r="P261" i="55"/>
  <c r="R259" i="55"/>
  <c r="Q259" i="55"/>
  <c r="P258" i="55"/>
  <c r="P224" i="55"/>
  <c r="P213" i="55"/>
  <c r="AO205" i="55"/>
  <c r="AO204" i="55"/>
  <c r="AO203" i="55"/>
  <c r="AO202" i="55"/>
  <c r="AN202" i="55"/>
  <c r="AO201" i="55"/>
  <c r="AN201" i="55"/>
  <c r="AO198" i="55"/>
  <c r="S192" i="55"/>
  <c r="R192" i="55"/>
  <c r="Q192" i="55"/>
  <c r="P192" i="55"/>
  <c r="AO197" i="55"/>
  <c r="AO196" i="55"/>
  <c r="S190" i="55"/>
  <c r="R190" i="55"/>
  <c r="Q190" i="55"/>
  <c r="P190" i="55"/>
  <c r="AO195" i="55"/>
  <c r="AO194" i="55"/>
  <c r="S188" i="55"/>
  <c r="R188" i="55"/>
  <c r="Q188" i="55"/>
  <c r="P188" i="55"/>
  <c r="AO193" i="55"/>
  <c r="S187" i="55"/>
  <c r="R187" i="55"/>
  <c r="Q187" i="55"/>
  <c r="P187" i="55"/>
  <c r="AO192" i="55"/>
  <c r="S186" i="55"/>
  <c r="R186" i="55"/>
  <c r="Q186" i="55"/>
  <c r="P186" i="55"/>
  <c r="AO19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104" i="55"/>
  <c r="AO104" i="55"/>
  <c r="AN105" i="55"/>
  <c r="AO105" i="55"/>
  <c r="P99" i="55"/>
  <c r="Q99" i="55"/>
  <c r="R99" i="55"/>
  <c r="S99" i="55"/>
  <c r="AO67" i="55"/>
  <c r="C76" i="55"/>
  <c r="AN6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V213" i="55" s="1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16" i="55"/>
  <c r="V10" i="55"/>
  <c r="X213" i="55"/>
  <c r="Y116" i="55"/>
  <c r="W116" i="55"/>
  <c r="W213" i="55"/>
  <c r="Y213" i="55"/>
  <c r="X116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W235" i="55"/>
  <c r="X235" i="55"/>
  <c r="V200" i="55"/>
  <c r="Y235" i="55"/>
  <c r="W200" i="55"/>
  <c r="X200" i="55"/>
  <c r="Y200" i="55"/>
  <c r="V235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W246" i="55"/>
  <c r="V183" i="55"/>
  <c r="V259" i="55"/>
  <c r="X246" i="55"/>
  <c r="W224" i="55"/>
  <c r="V188" i="55"/>
  <c r="W188" i="55"/>
  <c r="Y246" i="55"/>
  <c r="X224" i="55"/>
  <c r="W201" i="55"/>
  <c r="X188" i="55"/>
  <c r="W258" i="55"/>
  <c r="V258" i="55"/>
  <c r="V246" i="55"/>
  <c r="Y224" i="55"/>
  <c r="X201" i="55"/>
  <c r="X258" i="55"/>
  <c r="V224" i="55"/>
  <c r="Y201" i="55"/>
  <c r="W184" i="55"/>
  <c r="V127" i="55"/>
  <c r="V162" i="55"/>
  <c r="V161" i="55"/>
  <c r="V103" i="55"/>
  <c r="V138" i="55"/>
  <c r="W91" i="55"/>
  <c r="X91" i="55"/>
  <c r="V66" i="55"/>
  <c r="V19" i="55"/>
  <c r="V18" i="55"/>
  <c r="X149" i="55"/>
  <c r="X127" i="55"/>
  <c r="V104" i="55"/>
  <c r="W161" i="55"/>
  <c r="X161" i="55"/>
  <c r="W149" i="55"/>
  <c r="W127" i="55"/>
  <c r="Y161" i="55"/>
  <c r="W162" i="55"/>
  <c r="Y149" i="55"/>
  <c r="Y127" i="55"/>
  <c r="X162" i="55"/>
  <c r="V149" i="55"/>
  <c r="W104" i="55"/>
  <c r="Y162" i="55"/>
  <c r="X104" i="55"/>
  <c r="Y104" i="55"/>
  <c r="X138" i="55"/>
  <c r="W103" i="55"/>
  <c r="X103" i="55"/>
  <c r="Y138" i="55"/>
  <c r="Y103" i="55"/>
  <c r="W138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48" i="55" l="1"/>
  <c r="Y59" i="55" s="1"/>
  <c r="V31" i="55"/>
  <c r="V68" i="55" s="1"/>
  <c r="V37" i="55"/>
  <c r="W49" i="55"/>
  <c r="W60" i="55" s="1"/>
  <c r="W38" i="55"/>
  <c r="W31" i="55"/>
  <c r="W68" i="55" s="1"/>
  <c r="X49" i="55"/>
  <c r="X60" i="55" s="1"/>
  <c r="X38" i="55"/>
  <c r="X31" i="55"/>
  <c r="X68" i="55" s="1"/>
  <c r="X42" i="55"/>
  <c r="X53" i="55" s="1"/>
  <c r="Y49" i="55"/>
  <c r="Y60" i="55" s="1"/>
  <c r="Y38" i="55"/>
  <c r="Y31" i="55"/>
  <c r="Y68" i="55" s="1"/>
  <c r="W48" i="55"/>
  <c r="W59" i="55" s="1"/>
  <c r="V42" i="55"/>
  <c r="V53" i="55" s="1"/>
  <c r="V48" i="55"/>
  <c r="V59" i="55" s="1"/>
  <c r="W37" i="55"/>
  <c r="Y37" i="55"/>
  <c r="V49" i="55"/>
  <c r="V60" i="55" s="1"/>
  <c r="W42" i="55"/>
  <c r="W53" i="55" s="1"/>
  <c r="X37" i="55"/>
  <c r="X48" i="55"/>
  <c r="X59" i="55" s="1"/>
  <c r="Y42" i="55"/>
  <c r="Y53" i="55" s="1"/>
  <c r="V38" i="55"/>
  <c r="X39" i="55"/>
  <c r="V50" i="55"/>
  <c r="V61" i="55" s="1"/>
  <c r="W50" i="55"/>
  <c r="W61" i="55" s="1"/>
  <c r="Y50" i="55"/>
  <c r="Y61" i="55" s="1"/>
  <c r="V39" i="55"/>
  <c r="Y39" i="55"/>
  <c r="X50" i="55"/>
  <c r="X61" i="55" s="1"/>
  <c r="W39" i="55"/>
  <c r="V52" i="55"/>
  <c r="V63" i="55" s="1"/>
  <c r="W52" i="55"/>
  <c r="W63" i="55" s="1"/>
  <c r="V41" i="55"/>
  <c r="Y52" i="55"/>
  <c r="Y63" i="55" s="1"/>
  <c r="X41" i="55"/>
  <c r="Y41" i="55"/>
  <c r="X52" i="55"/>
  <c r="X63" i="55" s="1"/>
  <c r="W40" i="55"/>
  <c r="W41" i="55"/>
  <c r="V51" i="55"/>
  <c r="V62" i="55" s="1"/>
  <c r="Y51" i="55"/>
  <c r="Y62" i="55" s="1"/>
  <c r="X40" i="55"/>
  <c r="Y40" i="55"/>
  <c r="X51" i="55"/>
  <c r="X62" i="55" s="1"/>
  <c r="V40" i="55"/>
  <c r="W51" i="55"/>
  <c r="W62" i="55" s="1"/>
  <c r="V171" i="55"/>
  <c r="W171" i="55"/>
  <c r="Y171" i="55"/>
  <c r="X171" i="55"/>
  <c r="V282" i="55"/>
  <c r="U282" i="55" s="1"/>
  <c r="U283" i="55"/>
  <c r="Y266" i="55" s="1"/>
  <c r="W266" i="55" l="1"/>
  <c r="X266" i="55"/>
  <c r="Y265" i="55"/>
  <c r="V72" i="55"/>
  <c r="Y73" i="55"/>
  <c r="W73" i="55"/>
  <c r="Y72" i="55"/>
  <c r="X73" i="55"/>
  <c r="V73" i="55"/>
  <c r="W72" i="55"/>
  <c r="X72" i="55"/>
  <c r="W26" i="55"/>
  <c r="V28" i="55"/>
  <c r="X26" i="55"/>
  <c r="V27" i="55"/>
  <c r="Y26" i="55"/>
  <c r="W27" i="55"/>
  <c r="X27" i="55"/>
  <c r="V26" i="55"/>
  <c r="Y27" i="55"/>
  <c r="V168" i="55"/>
  <c r="Y168" i="55"/>
  <c r="W169" i="55"/>
  <c r="W168" i="55"/>
  <c r="X168" i="55"/>
  <c r="Y169" i="55"/>
  <c r="X169" i="55"/>
  <c r="V169" i="55"/>
  <c r="X20" i="55"/>
  <c r="Y20" i="55"/>
  <c r="W20" i="55"/>
  <c r="V20" i="55"/>
  <c r="X28" i="55"/>
  <c r="W28" i="55"/>
  <c r="Y28" i="55"/>
  <c r="V30" i="55"/>
  <c r="X30" i="55"/>
  <c r="Y29" i="55"/>
  <c r="Y30" i="55"/>
  <c r="W30" i="55"/>
  <c r="V29" i="55"/>
  <c r="X29" i="55"/>
  <c r="W29" i="55"/>
  <c r="Y101" i="55"/>
  <c r="W198" i="55"/>
  <c r="W101" i="55"/>
  <c r="X198" i="55"/>
  <c r="X101" i="55"/>
  <c r="Y198" i="55"/>
  <c r="V101" i="55"/>
  <c r="V198" i="55"/>
  <c r="W16" i="55"/>
  <c r="X16" i="55"/>
  <c r="Y16" i="55"/>
  <c r="V16" i="55"/>
  <c r="X265" i="55"/>
  <c r="V266" i="55"/>
  <c r="W265" i="55"/>
  <c r="V265" i="55"/>
  <c r="V75" i="55"/>
  <c r="X75" i="55"/>
  <c r="Y75" i="55"/>
  <c r="W75" i="55"/>
  <c r="W211" i="55" l="1"/>
  <c r="W114" i="55"/>
  <c r="W147" i="55"/>
  <c r="W125" i="55"/>
  <c r="W244" i="55"/>
  <c r="W233" i="55"/>
  <c r="W158" i="55"/>
  <c r="W222" i="55"/>
  <c r="W255" i="55"/>
  <c r="W136" i="55"/>
  <c r="V111" i="55"/>
  <c r="V208" i="55"/>
  <c r="V230" i="55"/>
  <c r="V241" i="55"/>
  <c r="V219" i="55"/>
  <c r="V122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109" i="55"/>
  <c r="AO108" i="55"/>
  <c r="AO107" i="55"/>
  <c r="AO106" i="55"/>
  <c r="AO101" i="55"/>
  <c r="AO100" i="55"/>
  <c r="AO99" i="55"/>
  <c r="AO98" i="55"/>
  <c r="AO97" i="55"/>
  <c r="AO96" i="55"/>
  <c r="AO95" i="55"/>
  <c r="AO94" i="55"/>
  <c r="AO93" i="55"/>
  <c r="AO92" i="55"/>
  <c r="AO91" i="55"/>
  <c r="AO90" i="55"/>
  <c r="AO6" i="55"/>
  <c r="AO7" i="55"/>
  <c r="AO8" i="55"/>
  <c r="AO9" i="55"/>
  <c r="AO10" i="55"/>
  <c r="AO11" i="55"/>
  <c r="AO12" i="55"/>
  <c r="AO13" i="55"/>
  <c r="AO14" i="55"/>
  <c r="AO15" i="55"/>
  <c r="AO38" i="55"/>
  <c r="AO60" i="55"/>
  <c r="AO61" i="55"/>
  <c r="AO62" i="55"/>
  <c r="AO63" i="55"/>
  <c r="AO64" i="55"/>
  <c r="AO65" i="55"/>
  <c r="AO66" i="55"/>
  <c r="AO5" i="55"/>
  <c r="AN109" i="55"/>
  <c r="AN108" i="55"/>
  <c r="AN107" i="55"/>
  <c r="AN106" i="55"/>
  <c r="AN101" i="55"/>
  <c r="AN100" i="55"/>
  <c r="AN99" i="55"/>
  <c r="AN98" i="55"/>
  <c r="AN97" i="55"/>
  <c r="AN96" i="55"/>
  <c r="AN95" i="55"/>
  <c r="AN94" i="55"/>
  <c r="AN93" i="55"/>
  <c r="AN92" i="55"/>
  <c r="AN91" i="55"/>
  <c r="AN9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62" i="55" l="1"/>
  <c r="AN66" i="55"/>
  <c r="AN65" i="55"/>
  <c r="AN64" i="55"/>
  <c r="AN63" i="55" l="1"/>
  <c r="AN61" i="55"/>
  <c r="S66" i="55"/>
  <c r="R66" i="55"/>
  <c r="Q66" i="55"/>
  <c r="P66" i="55"/>
  <c r="AN6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<sst xmlns="http://schemas.openxmlformats.org/spreadsheetml/2006/main" count="19572" uniqueCount="794">
  <si>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</si>
  <si>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</si>
  <si>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</si>
  <si>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</si>
  <si>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</si>
  <si>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</si>
  <si>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</si>
  <si>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</si>
  <si>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</si>
  <si>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</si>
  <si>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</si>
  <si>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</si>
  <si>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</si>
  <si>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</si>
  <si>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</si>
  <si>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</si>
  <si>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</si>
  <si>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</si>
  <si>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</si>
  <si>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</si>
  <si>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</si>
  <si>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</si>
  <si>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</si>
  <si>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</si>
  <si>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</si>
  <si>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</si>
  <si>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</si>
  <si>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</si>
  <si>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</si>
  <si>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</si>
  <si>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</si>
  <si>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</si>
  <si>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</si>
  <si>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</si>
  <si>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</si>
  <si>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</si>
  <si>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</si>
  <si>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</si>
  <si>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</si>
  <si>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</si>
  <si>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</si>
  <si>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</si>
  <si>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</si>
  <si>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</si>
  <si>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</si>
  <si>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</si>
  <si>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</si>
  <si>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</si>
  <si>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</si>
  <si>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</si>
  <si>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</si>
  <si>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</si>
  <si>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</si>
  <si>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</si>
  <si>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</si>
  <si>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</si>
  <si>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</si>
  <si>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</si>
  <si>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</si>
  <si>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</si>
  <si>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</si>
  <si>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</si>
  <si>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</si>
  <si>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</si>
  <si>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</si>
  <si>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</si>
  <si>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</si>
  <si>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</si>
  <si>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</si>
  <si>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</si>
  <si>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</si>
  <si>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</si>
  <si>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</si>
  <si>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</si>
  <si>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</si>
  <si>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</si>
  <si>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</si>
  <si>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</si>
  <si>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</si>
  <si>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</si>
  <si>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</si>
  <si>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</si>
  <si>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</si>
  <si>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</si>
  <si>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</si>
  <si>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</si>
  <si>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</si>
  <si>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</si>
  <si>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</si>
  <si>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</si>
  <si>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</si>
  <si>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</si>
  <si>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</si>
  <si>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</si>
  <si>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</si>
  <si>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</si>
  <si>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</si>
  <si>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</si>
  <si>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</si>
  <si>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</si>
  <si>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</si>
  <si>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</si>
  <si>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</si>
  <si>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</si>
  <si>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</si>
  <si>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</si>
  <si>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</si>
  <si>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</si>
  <si>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</si>
  <si>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</si>
  <si>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</si>
  <si>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</si>
  <si>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</si>
  <si>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</si>
  <si>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</si>
  <si>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</si>
  <si>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</si>
  <si>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</si>
  <si>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</si>
  <si>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</si>
  <si>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</si>
  <si>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</si>
  <si>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</si>
  <si>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</si>
  <si>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</si>
  <si>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</si>
  <si>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</si>
  <si>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</si>
  <si>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</si>
  <si>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</si>
  <si>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</si>
  <si>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</si>
  <si>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</si>
  <si>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</si>
  <si>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</si>
  <si>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</si>
  <si>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</si>
  <si>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</si>
  <si>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</si>
  <si>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</si>
  <si>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</si>
  <si>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</si>
  <si>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</si>
  <si>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</si>
  <si>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</si>
  <si>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</si>
  <si>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</si>
  <si>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</si>
  <si>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</si>
  <si>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</si>
  <si>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</si>
  <si>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</si>
  <si>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</si>
  <si>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</si>
  <si>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</si>
  <si>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</si>
  <si>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</si>
  <si>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</si>
  <si>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</si>
  <si>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</si>
  <si>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</si>
  <si>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</si>
  <si>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</si>
  <si>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</si>
  <si>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</si>
  <si>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</si>
  <si>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</si>
  <si>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</si>
  <si>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</si>
  <si>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</si>
  <si>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</si>
  <si>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</si>
  <si>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</si>
  <si>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</si>
  <si>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</si>
  <si>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</si>
  <si>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</si>
  <si>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</si>
  <si>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</si>
  <si>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</si>
  <si>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</si>
  <si>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</si>
  <si>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</si>
  <si>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</si>
  <si>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</si>
  <si>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</si>
  <si>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</si>
  <si>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</si>
  <si>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</si>
  <si>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</si>
  <si>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</si>
  <si>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</si>
  <si>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</si>
  <si>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</si>
  <si>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</si>
  <si>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</si>
  <si>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</si>
  <si>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</si>
  <si>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</si>
  <si>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</si>
  <si>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</si>
  <si>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</si>
  <si>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</si>
  <si>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</si>
  <si>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</si>
  <si>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</si>
  <si>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</si>
  <si>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</si>
  <si>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</si>
  <si>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</si>
  <si>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</si>
  <si>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</si>
  <si>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</si>
  <si>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</si>
  <si>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</si>
  <si>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</si>
  <si>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</si>
  <si>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</si>
  <si>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</si>
  <si>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</si>
  <si>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</si>
  <si>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</si>
  <si>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</si>
  <si>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</si>
  <si>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</si>
  <si>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</si>
  <si>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</si>
  <si>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</si>
  <si>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</si>
  <si>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</si>
  <si>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</si>
  <si>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</si>
  <si>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</si>
  <si>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</si>
  <si>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</si>
  <si>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</si>
  <si>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</si>
  <si>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</si>
  <si>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</si>
  <si>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</si>
  <si>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</si>
  <si>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</si>
  <si>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</si>
  <si>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</si>
  <si>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</si>
  <si>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</si>
  <si>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</si>
  <si>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</si>
  <si>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</si>
  <si>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</si>
  <si>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</si>
  <si>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</si>
  <si>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</si>
  <si>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</si>
  <si>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</si>
  <si>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</si>
  <si>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</si>
  <si>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</si>
  <si>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</si>
  <si>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</si>
  <si>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</si>
  <si>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</si>
  <si>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</si>
  <si>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</si>
  <si>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</si>
  <si>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</si>
  <si>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</si>
  <si>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</si>
  <si>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</si>
  <si>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</si>
  <si>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</si>
  <si>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</si>
  <si>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</si>
  <si>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</si>
  <si>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</si>
  <si>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</si>
  <si>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</si>
  <si>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</si>
  <si>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</si>
  <si>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</si>
  <si>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</si>
  <si>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</si>
  <si>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</si>
  <si>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</si>
  <si>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</si>
  <si>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</si>
  <si>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</si>
  <si>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</si>
  <si>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</si>
  <si>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</si>
  <si>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</si>
  <si>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</si>
  <si>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</si>
  <si>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</si>
  <si>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</si>
  <si>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</si>
  <si>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</si>
  <si>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</si>
  <si>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</si>
  <si>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</si>
  <si>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</si>
  <si>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</si>
  <si>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</si>
  <si>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</si>
  <si>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</si>
  <si>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</si>
  <si>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</si>
  <si>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</si>
  <si>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</si>
  <si>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</si>
  <si>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</si>
  <si>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</si>
  <si>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</si>
  <si>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</si>
  <si>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</si>
  <si>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</si>
  <si>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</si>
  <si>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</si>
  <si>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</si>
  <si>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</si>
  <si>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</si>
  <si>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</si>
  <si>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</si>
  <si>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</si>
  <si>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</si>
  <si>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</si>
  <si>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</si>
  <si>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</si>
  <si>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</si>
  <si>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</si>
  <si>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</si>
  <si>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</si>
  <si>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</si>
  <si>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</si>
  <si>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</si>
  <si>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</si>
  <si>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</si>
  <si>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</si>
  <si>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</si>
  <si>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</si>
  <si>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</si>
  <si>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</si>
  <si>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</si>
  <si>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</si>
  <si>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</si>
  <si>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</si>
  <si>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</si>
  <si>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</si>
  <si>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</si>
  <si>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</si>
  <si>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</si>
  <si>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</si>
  <si>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</si>
  <si>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</si>
  <si>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</si>
  <si>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</si>
  <si>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</si>
  <si>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</si>
  <si>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</si>
  <si>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</si>
  <si>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</si>
  <si>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</si>
  <si>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</si>
  <si>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</si>
  <si>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</si>
  <si>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</si>
  <si>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</si>
  <si>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</si>
  <si>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</si>
  <si>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</si>
  <si>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</si>
  <si>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</si>
  <si>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</si>
  <si>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</si>
  <si>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</si>
  <si>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</si>
  <si>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</si>
  <si>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</si>
  <si>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</si>
  <si>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</si>
  <si>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</si>
  <si>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</si>
  <si>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</si>
  <si>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</si>
  <si>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</si>
  <si>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</si>
  <si>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</si>
  <si>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</si>
  <si>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</si>
  <si>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</si>
  <si>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</si>
  <si>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</si>
  <si>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</si>
  <si>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</si>
  <si>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</si>
  <si>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</si>
  <si>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</si>
  <si>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</si>
  <si>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</si>
  <si>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</si>
  <si>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</si>
  <si>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</si>
  <si>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</si>
  <si>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</si>
  <si>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</si>
  <si>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</si>
  <si>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</si>
  <si>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</si>
  <si>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</si>
  <si>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</si>
  <si>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</si>
  <si>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</si>
  <si>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</si>
  <si>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</si>
  <si>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</si>
  <si>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</si>
  <si>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</si>
  <si>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</si>
  <si>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</si>
  <si>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</si>
  <si>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</si>
  <si>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</si>
  <si>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</si>
  <si>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</si>
  <si>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</si>
  <si>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</si>
  <si>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</si>
  <si>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</si>
  <si>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</si>
  <si>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</si>
  <si>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</si>
  <si>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</si>
  <si>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</si>
  <si>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</si>
  <si>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</si>
  <si>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</si>
  <si>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</si>
  <si>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</si>
  <si>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</si>
  <si>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</si>
  <si>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</si>
  <si>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</si>
  <si>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</si>
  <si>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</si>
  <si>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</si>
  <si>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</si>
  <si>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</si>
  <si>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</si>
  <si>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</si>
  <si>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</si>
  <si>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</si>
  <si>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</si>
  <si>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</si>
  <si>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</si>
  <si>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</si>
  <si>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</si>
  <si>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</si>
  <si>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</si>
  <si>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</si>
  <si>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</si>
  <si>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</si>
  <si>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</si>
  <si>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</si>
  <si>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</si>
  <si>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</si>
  <si>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</si>
  <si>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</si>
  <si>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</si>
  <si>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</si>
  <si>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</si>
  <si>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</si>
  <si>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</si>
  <si>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</si>
  <si>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</si>
  <si>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</si>
  <si>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</si>
  <si>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</si>
  <si>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</si>
  <si>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</si>
  <si>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</si>
  <si>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</si>
  <si>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</si>
  <si>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</si>
  <si>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</si>
  <si>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</si>
  <si>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</si>
  <si>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</si>
  <si>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</si>
  <si>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</si>
  <si>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</si>
  <si>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</si>
  <si>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</si>
  <si>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</si>
  <si>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</si>
  <si>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</si>
  <si>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</si>
  <si>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</si>
  <si>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</si>
  <si>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</si>
  <si>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</si>
  <si>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</si>
  <si>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</si>
  <si>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</si>
  <si>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</si>
  <si>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</si>
  <si>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</si>
  <si>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</si>
  <si>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</si>
  <si>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</si>
  <si>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</si>
  <si>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</si>
  <si>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</si>
  <si>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</si>
  <si>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</si>
  <si>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</si>
  <si>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</si>
  <si>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</si>
  <si>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</si>
  <si>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</si>
  <si>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</si>
  <si>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</si>
  <si>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</si>
  <si>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</si>
  <si>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</si>
  <si>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</si>
  <si>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</si>
  <si>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</si>
  <si>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</si>
  <si>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</si>
  <si>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</si>
  <si>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</si>
  <si>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</si>
  <si>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</si>
  <si>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</si>
  <si>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</si>
  <si>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</si>
  <si>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</si>
  <si>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</si>
  <si>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</si>
  <si>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</si>
  <si>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</si>
  <si>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</si>
  <si>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</si>
  <si>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</si>
  <si>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</si>
  <si>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</si>
  <si>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</si>
  <si>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</si>
  <si>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</si>
  <si>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</si>
  <si>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</si>
  <si>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</si>
  <si>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</si>
  <si>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</si>
  <si>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</si>
  <si>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</si>
  <si>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</si>
  <si>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</si>
  <si>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</si>
  <si>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</si>
  <si>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</si>
  <si>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</si>
  <si>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</si>
  <si>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</si>
  <si>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</si>
  <si>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</si>
  <si>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</si>
  <si>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</si>
  <si>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</si>
  <si>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</si>
  <si>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</si>
  <si>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</si>
  <si>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</si>
  <si>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</si>
  <si>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</si>
  <si>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</si>
  <si>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</si>
  <si>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</si>
  <si>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</si>
  <si>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</si>
  <si>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</si>
  <si>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</si>
  <si>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</si>
  <si>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</si>
  <si>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</si>
  <si>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</si>
  <si>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</si>
  <si>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</si>
  <si>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</si>
  <si>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</si>
  <si>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</si>
  <si>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</si>
  <si>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</si>
  <si>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</si>
  <si>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</si>
  <si>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</si>
  <si>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</si>
  <si>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</si>
  <si>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</si>
  <si>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</si>
  <si>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</si>
  <si>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</si>
  <si>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</si>
  <si>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</si>
  <si>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</si>
  <si>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</si>
  <si>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</si>
  <si>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</si>
  <si>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</si>
  <si>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</si>
  <si>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</si>
  <si>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</si>
  <si>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</si>
  <si>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</si>
  <si>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</si>
  <si>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</si>
  <si>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</si>
  <si>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</si>
  <si>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</si>
  <si>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</si>
  <si>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</si>
  <si>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</si>
  <si>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</si>
  <si>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</si>
  <si>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</si>
  <si>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</si>
  <si>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</si>
  <si>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</si>
  <si>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</si>
  <si>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</si>
  <si>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</si>
  <si>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</si>
  <si>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</si>
  <si>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</si>
  <si>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</si>
  <si>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</si>
  <si>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</si>
  <si>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</si>
  <si>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</si>
  <si>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</si>
  <si>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</si>
  <si>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</si>
  <si>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</si>
  <si>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</si>
  <si>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</si>
  <si>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</si>
  <si>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</si>
  <si>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</si>
  <si>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</si>
  <si>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</si>
  <si>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</si>
  <si>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</si>
  <si>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</si>
  <si>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</si>
  <si>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</si>
  <si>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</si>
  <si>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</si>
  <si>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</si>
  <si>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</si>
  <si>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</si>
  <si>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</si>
  <si>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</si>
  <si>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</si>
  <si>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</si>
  <si>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</si>
  <si>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</si>
  <si>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</si>
  <si>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</si>
  <si>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</si>
  <si>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</si>
  <si>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</si>
  <si>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</si>
  <si>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</si>
  <si>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</si>
  <si>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</si>
  <si>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</si>
  <si>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</si>
  <si>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</si>
  <si>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</si>
  <si>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</si>
  <si>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</si>
  <si>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</si>
  <si>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</si>
  <si>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</si>
  <si>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</si>
  <si>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</si>
  <si>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</si>
  <si>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</si>
  <si>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</si>
  <si>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</si>
  <si>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</si>
  <si>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</si>
  <si>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</si>
  <si>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</si>
  <si>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</si>
  <si>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</si>
  <si>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</si>
  <si>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</si>
  <si>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</si>
  <si>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</si>
  <si>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</si>
  <si>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</si>
  <si>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</si>
  <si>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</si>
  <si>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</si>
  <si>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</si>
  <si>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</si>
  <si>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</si>
  <si>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</si>
  <si>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</si>
  <si>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</si>
  <si>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</si>
  <si>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</si>
  <si>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</si>
  <si>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</si>
  <si>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</si>
  <si>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</si>
  <si>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</si>
  <si>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</si>
  <si>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</si>
  <si>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</si>
  <si>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</si>
  <si>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</si>
  <si>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</si>
  <si>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</si>
  <si>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</si>
  <si>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</si>
  <si>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</si>
  <si>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</si>
  <si>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</si>
  <si>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</si>
  <si>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</si>
  <si>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</si>
  <si>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</si>
  <si>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</si>
  <si>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</si>
  <si>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</si>
  <si>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</si>
  <si>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</si>
  <si>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</si>
  <si>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</si>
  <si>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</si>
  <si>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</si>
  <si>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</si>
  <si>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</si>
  <si>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</si>
  <si>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</si>
  <si>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</si>
  <si>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</si>
  <si>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</si>
  <si>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</si>
  <si>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</si>
  <si>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</si>
  <si>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</si>
  <si>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</si>
  <si>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</si>
  <si>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</si>
  <si>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</si>
  <si>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</si>
  <si>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</si>
  <si>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</si>
  <si>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</si>
  <si>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</si>
  <si>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</si>
  <si>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</si>
  <si>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</si>
  <si>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</si>
  <si>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</si>
  <si>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</si>
  <si>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</si>
  <si>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</si>
  <si>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</si>
  <si>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</si>
  <si>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</si>
  <si>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</si>
  <si>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</si>
  <si>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</si>
  <si>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</si>
  <si>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</si>
  <si>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</si>
  <si>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</si>
  <si>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</si>
  <si>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</si>
  <si>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</si>
  <si>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</si>
  <si>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</si>
  <si>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</si>
  <si>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</si>
  <si>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</si>
  <si>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</si>
  <si>
    <t>CEFF-O</t>
  </si>
  <si>
    <t>CEFF~2030-O</t>
  </si>
  <si>
    <t>CEFF~2040-O</t>
  </si>
  <si>
    <t>CEFF~2050-O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</si>
</sst>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324"/>
  <sheetViews>
    <sheetView tabSelected="1" topLeftCell="F1" zoomScale="115" zoomScaleNormal="115" workbookViewId="0">
      <selection activeCell="L4" sqref="L4:O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790</v>
      </c>
      <c r="I3" s="17" t="s">
        <v>791</v>
      </c>
      <c r="J3" s="17" t="s">
        <v>792</v>
      </c>
      <c r="K3" s="17" t="s">
        <v>793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5" t="s">
        <v>242</v>
      </c>
      <c r="I4" s="626"/>
      <c r="J4" s="626"/>
      <c r="K4" s="627"/>
      <c r="L4" s="625" t="s">
        <v>83</v>
      </c>
      <c r="M4" s="626"/>
      <c r="N4" s="626"/>
      <c r="O4" s="627"/>
      <c r="P4" s="625" t="s">
        <v>84</v>
      </c>
      <c r="Q4" s="626"/>
      <c r="R4" s="626"/>
      <c r="S4" s="627"/>
      <c r="T4" s="625" t="s">
        <v>85</v>
      </c>
      <c r="U4" s="627"/>
      <c r="V4" s="619" t="s">
        <v>86</v>
      </c>
      <c r="W4" s="620"/>
      <c r="X4" s="620"/>
      <c r="Y4" s="621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3:46" ht="15" x14ac:dyDescent="0.25"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3:46" ht="15" x14ac:dyDescent="0.25">
      <c r="C6" s="37" t="s">
        <v>253</v>
      </c>
      <c r="D6" s="38"/>
      <c r="E6" s="38"/>
      <c r="F6" s="38"/>
      <c r="G6" s="39"/>
      <c r="H6" s="622" t="s">
        <v>34</v>
      </c>
      <c r="I6" s="623"/>
      <c r="J6" s="623"/>
      <c r="K6" s="624"/>
      <c r="L6" s="623" t="s">
        <v>34</v>
      </c>
      <c r="M6" s="623"/>
      <c r="N6" s="623"/>
      <c r="O6" s="624"/>
      <c r="P6" s="622" t="s">
        <v>34</v>
      </c>
      <c r="Q6" s="623"/>
      <c r="R6" s="623"/>
      <c r="S6" s="624"/>
      <c r="T6" s="622" t="s">
        <v>68</v>
      </c>
      <c r="U6" s="624"/>
      <c r="V6" s="622" t="s">
        <v>487</v>
      </c>
      <c r="W6" s="623"/>
      <c r="X6" s="623"/>
      <c r="Y6" s="624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3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759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JRC_Data!BC18/1000*($U$283/$U$285)</f>
        <v>9.1054231268355998</v>
      </c>
      <c r="W20" s="513">
        <f>JRC_Data!BD18/1000*($U$283/$U$285)</f>
        <v>9.1054231268355998</v>
      </c>
      <c r="X20" s="513">
        <f>JRC_Data!BE18/1000*($U$283/$U$285)</f>
        <v>8.1948808141520395</v>
      </c>
      <c r="Y20" s="513">
        <f>JRC_Data!BF18/1000*($U$283/$U$285)</f>
        <v>8.1948808141520395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758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9.1054231268355998</v>
      </c>
      <c r="W21" s="23">
        <v>9.1054231268355998</v>
      </c>
      <c r="X21" s="23">
        <v>8.1948808141520395</v>
      </c>
      <c r="Y21" s="23">
        <v>8.1948808141520395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760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9.1054231268355998</v>
      </c>
      <c r="W22" s="29">
        <v>9.1054231268355998</v>
      </c>
      <c r="X22" s="29">
        <v>8.1948808141520395</v>
      </c>
      <c r="Y22" s="29">
        <v>8.1948808141520395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761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9.1054231268355998</v>
      </c>
      <c r="W23" s="23">
        <v>9.1054231268355998</v>
      </c>
      <c r="X23" s="23">
        <v>8.1948808141520395</v>
      </c>
      <c r="Y23" s="23">
        <v>8.1948808141520395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762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9.1054231268355998</v>
      </c>
      <c r="W24" s="29">
        <v>9.1054231268355998</v>
      </c>
      <c r="X24" s="29">
        <v>8.1948808141520395</v>
      </c>
      <c r="Y24" s="29">
        <v>8.1948808141520395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763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9.1054231268355998</v>
      </c>
      <c r="W25" s="26">
        <v>9.1054231268355998</v>
      </c>
      <c r="X25" s="26">
        <v>8.1948808141520395</v>
      </c>
      <c r="Y25" s="26">
        <v>8.1948808141520395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JRC_Data!BC18/1000*($U$283/$U$285)+RSD_Heating!$AH$310/1000</f>
        <v>9.6774176268356005</v>
      </c>
      <c r="W26" s="29">
        <f>JRC_Data!BD18/1000*($U$283/$U$285)+RSD_Heating!$AH$310/1000</f>
        <v>9.6774176268356005</v>
      </c>
      <c r="X26" s="29">
        <f>JRC_Data!BE18/1000*($U$283/$U$285)+RSD_Heating!$AH$310/1000</f>
        <v>8.7668753141520401</v>
      </c>
      <c r="Y26" s="29">
        <f>JRC_Data!BF18/1000*($U$283/$U$285)+RSD_Heating!$AH$310/1000</f>
        <v>8.7668753141520401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v>2019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JRC_Data!BC18/1000*($U$283/$U$285)+RSD_Heating!$AH$311/1000</f>
        <v>10.249412126835599</v>
      </c>
      <c r="W27" s="23">
        <f>JRC_Data!BD18/1000*($U$283/$U$285)+RSD_Heating!$AH$311/1000</f>
        <v>10.249412126835599</v>
      </c>
      <c r="X27" s="23">
        <f>JRC_Data!BE18/1000*($U$283/$U$285)+RSD_Heating!$AH$311/1000</f>
        <v>9.338869814152039</v>
      </c>
      <c r="Y27" s="23">
        <f>JRC_Data!BF18/1000*($U$283/$U$285)+RSD_Heating!$AH$311/1000</f>
        <v>9.338869814152039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v>2019</v>
      </c>
      <c r="AK27" s="544">
        <v>15</v>
      </c>
      <c r="AM27" s="100"/>
      <c r="AN27" s="205" t="str">
        <f t="shared" si="20"/>
        <v>R-SW_Apt_ELC_HPN1-AB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JRC_Data!BC18/1000*($U$283/$U$285)+RSD_Heating!$AH$312/1000</f>
        <v>10.838739793502267</v>
      </c>
      <c r="W28" s="29">
        <f>JRC_Data!BD18/1000*($U$283/$U$285)++RSD_Heating!$AH$312/1000</f>
        <v>10.838739793502267</v>
      </c>
      <c r="X28" s="29">
        <f>JRC_Data!BE18/1000*($U$283/$U$285)+RSD_Heating!$AH$312/1000</f>
        <v>9.9281974808187066</v>
      </c>
      <c r="Y28" s="29">
        <f>JRC_Data!BF18/1000*($U$283/$U$285)+RSD_Heating!$AH$312/1000</f>
        <v>9.9281974808187066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v>2019</v>
      </c>
      <c r="AK28" s="545">
        <v>15</v>
      </c>
      <c r="AM28" s="100"/>
      <c r="AN28" s="205" t="str">
        <f t="shared" ref="AN28:AN32" si="22">C32</f>
        <v>R-SW_Apt_ELC_HPN1-ABC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JRC_Data!BC18/1000*($U$283/$U$285)+RSD_Heating!$AH$313/1000</f>
        <v>11.0203481268356</v>
      </c>
      <c r="W29" s="23">
        <f>JRC_Data!BD18/1000*($U$283/$U$285)+RSD_Heating!$AH$313/1000</f>
        <v>11.0203481268356</v>
      </c>
      <c r="X29" s="23">
        <f>JRC_Data!BE18/1000*($U$283/$U$285)+RSD_Heating!$AH$313/1000</f>
        <v>10.10980581415204</v>
      </c>
      <c r="Y29" s="23">
        <f>JRC_Data!BF18/1000*($U$283/$U$285)+RSD_Heating!$AH$313/1000</f>
        <v>10.10980581415204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v>2019</v>
      </c>
      <c r="AK29" s="544">
        <v>15</v>
      </c>
      <c r="AM29" s="100"/>
      <c r="AN29" s="205" t="str">
        <f t="shared" si="22"/>
        <v>R-SW_Apt_ELC_HPN1-ABD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JRC_Data!BC18/1000*($U$283/$U$285)+RSD_Heating!$AH$314/1000</f>
        <v>11.201956460168933</v>
      </c>
      <c r="W30" s="548">
        <f>JRC_Data!BD18/1000*($U$283/$U$285)+RSD_Heating!$AH$314/1000</f>
        <v>11.201956460168933</v>
      </c>
      <c r="X30" s="548">
        <f>JRC_Data!BE18/1000*($U$283/$U$285)+RSD_Heating!$AH$314/1000</f>
        <v>10.291414147485373</v>
      </c>
      <c r="Y30" s="548">
        <f>JRC_Data!BF18/1000*($U$283/$U$285)+RSD_Heating!$AH$314/1000</f>
        <v>10.291414147485373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v>2019</v>
      </c>
      <c r="AK30" s="551">
        <v>15</v>
      </c>
      <c r="AM30" s="100"/>
      <c r="AN30" s="205" t="str">
        <f t="shared" si="22"/>
        <v>R-SW_Apt_ELC_HPN1-ABE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"R-SW_Apt"&amp;"_"&amp;RIGHT(E31,3)&amp;"_HPN1-AB"</f>
        <v>R-SW_Apt_ELC_HPN1-AB</v>
      </c>
      <c r="D31" s="555" t="s">
        <v>746</v>
      </c>
      <c r="E31" s="555" t="s">
        <v>144</v>
      </c>
      <c r="F31" s="555" t="s">
        <v>539</v>
      </c>
      <c r="G31" s="555" t="s">
        <v>764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JRC_Data!BC18/1000*($U$284/$U$285)</f>
        <v>9.7933884297520652</v>
      </c>
      <c r="W31" s="556">
        <f>JRC_Data!BD18/1000*($U$284/$U$285)</f>
        <v>9.7933884297520652</v>
      </c>
      <c r="X31" s="556">
        <f>JRC_Data!BE18/1000*($U$284/$U$285)</f>
        <v>8.8140495867768589</v>
      </c>
      <c r="Y31" s="556">
        <f>JRC_Data!BF18/1000*($U$284/$U$285)</f>
        <v>8.8140495867768589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R-SW_Apt_ELC_HPN1-ABF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"R-SW_Apt"&amp;"_"&amp;RIGHT(E31,3)&amp;"_HPN1-ABC"</f>
        <v>R-SW_Apt_ELC_HPN1-ABC</v>
      </c>
      <c r="D32" s="30" t="s">
        <v>747</v>
      </c>
      <c r="E32" s="30" t="s">
        <v>144</v>
      </c>
      <c r="F32" s="30" t="s">
        <v>539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9.7933884297520652</v>
      </c>
      <c r="W32" s="29">
        <v>9.7933884297520652</v>
      </c>
      <c r="X32" s="29">
        <v>8.8140495867768589</v>
      </c>
      <c r="Y32" s="29">
        <v>8.8140495867768589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R-SW_Apt_ELC_HPN1-ABG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"R-SW_Apt"&amp;"_"&amp;RIGHT(E32,3)&amp;"_HPN1-ABD"</f>
        <v>R-SW_Apt_ELC_HPN1-ABD</v>
      </c>
      <c r="D33" s="24" t="s">
        <v>748</v>
      </c>
      <c r="E33" s="24" t="s">
        <v>144</v>
      </c>
      <c r="F33" s="24" t="s">
        <v>539</v>
      </c>
      <c r="G33" s="24" t="s">
        <v>743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9.7933884297520652</v>
      </c>
      <c r="W33" s="23">
        <v>9.7933884297520652</v>
      </c>
      <c r="X33" s="23">
        <v>8.8140495867768589</v>
      </c>
      <c r="Y33" s="23">
        <v>8.8140495867768589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"R-SW_Apt"&amp;"_"&amp;RIGHT(E33,3)&amp;"_HPN1-ABE"</f>
        <v>R-SW_Apt_ELC_HPN1-ABE</v>
      </c>
      <c r="D34" s="30" t="s">
        <v>749</v>
      </c>
      <c r="E34" s="30" t="s">
        <v>144</v>
      </c>
      <c r="F34" s="30" t="s">
        <v>539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9.7933884297520652</v>
      </c>
      <c r="W34" s="29">
        <v>9.7933884297520652</v>
      </c>
      <c r="X34" s="29">
        <v>8.8140495867768589</v>
      </c>
      <c r="Y34" s="29">
        <v>8.8140495867768589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"R-SW_Apt"&amp;"_"&amp;RIGHT(E34,3)&amp;"_HPN1-ABF"</f>
        <v>R-SW_Apt_ELC_HPN1-ABF</v>
      </c>
      <c r="D35" s="24" t="s">
        <v>750</v>
      </c>
      <c r="E35" s="24" t="s">
        <v>144</v>
      </c>
      <c r="F35" s="24" t="s">
        <v>539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9.7933884297520652</v>
      </c>
      <c r="W35" s="23">
        <v>9.7933884297520652</v>
      </c>
      <c r="X35" s="23">
        <v>8.8140495867768589</v>
      </c>
      <c r="Y35" s="23">
        <v>8.8140495867768589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"R-SW_Apt"&amp;"_"&amp;RIGHT(E35,3)&amp;"_HPN1-ABG"</f>
        <v>R-SW_Apt_ELC_HPN1-ABG</v>
      </c>
      <c r="D36" s="112" t="s">
        <v>751</v>
      </c>
      <c r="E36" s="112" t="s">
        <v>144</v>
      </c>
      <c r="F36" s="112" t="s">
        <v>539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9.7933884297520652</v>
      </c>
      <c r="W36" s="568">
        <v>9.7933884297520652</v>
      </c>
      <c r="X36" s="568">
        <v>8.8140495867768589</v>
      </c>
      <c r="Y36" s="568">
        <v>8.8140495867768589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JRC_Data!BC18/1000*($U$284/$U$285)</f>
        <v>9.7933884297520652</v>
      </c>
      <c r="W37" s="23">
        <f>JRC_Data!BD18/1000*($U$284/$U$285)</f>
        <v>9.7933884297520652</v>
      </c>
      <c r="X37" s="23">
        <f>JRC_Data!BE18/1000*($U$284/$U$285)</f>
        <v>8.8140495867768589</v>
      </c>
      <c r="Y37" s="23">
        <f>JRC_Data!BF18/1000*($U$284/$U$285)</f>
        <v>8.8140495867768589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v>2019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743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JRC_Data!BC18/1000*($U$284/$U$285)</f>
        <v>9.7933884297520652</v>
      </c>
      <c r="W38" s="29">
        <f>JRC_Data!BD18/1000*($U$284/$U$285)</f>
        <v>9.7933884297520652</v>
      </c>
      <c r="X38" s="29">
        <f>JRC_Data!BE18/1000*($U$284/$U$285)</f>
        <v>8.8140495867768589</v>
      </c>
      <c r="Y38" s="29">
        <f>JRC_Data!BF18/1000*($U$284/$U$285)</f>
        <v>8.8140495867768589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30">
        <v>2019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JRC_Data!BC18/1000*($U$284/$U$285)+RSD_Heating!$AH$312/1000</f>
        <v>11.526705096418732</v>
      </c>
      <c r="W39" s="23">
        <f>JRC_Data!BD18/1000*($U$284/$U$285)+RSD_Heating!$AH$312/1000</f>
        <v>11.526705096418732</v>
      </c>
      <c r="X39" s="23">
        <f>JRC_Data!BE18/1000*($U$284/$U$285)+RSD_Heating!$AH$312/1000</f>
        <v>10.547366253443526</v>
      </c>
      <c r="Y39" s="23">
        <f>JRC_Data!BF18/1000*($U$284/$U$285)+RSD_Heating!$AH$312/1000</f>
        <v>10.547366253443526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v>2019</v>
      </c>
      <c r="AK39" s="544">
        <v>18</v>
      </c>
      <c r="AM39" s="205"/>
      <c r="AN39" s="205" t="str">
        <f t="shared" ref="AN39:AN43" si="36">C43</f>
        <v>R-SH_Apt_ELC_HPN3-ABC</v>
      </c>
      <c r="AO39" s="205" t="str">
        <f t="shared" ref="AO39:AO43" si="37">D43</f>
        <v>Residential Electric Heat Pump AB - Ground to Water - SH - Crated dwelling</v>
      </c>
      <c r="AP39" s="100" t="s">
        <v>13</v>
      </c>
      <c r="AQ39" s="118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JRC_Data!BC18/1000*($U$284/$U$285)+RSD_Heating!$AH$313/1000</f>
        <v>11.708313429752065</v>
      </c>
      <c r="W40" s="29">
        <f>JRC_Data!BD18/1000*($U$284/$U$285)+RSD_Heating!$AH$313/1000</f>
        <v>11.708313429752065</v>
      </c>
      <c r="X40" s="29">
        <f>JRC_Data!BE18/1000*($U$284/$U$285)+RSD_Heating!$AH$313/1000</f>
        <v>10.728974586776859</v>
      </c>
      <c r="Y40" s="29">
        <f>JRC_Data!BF18/1000*($U$284/$U$285)+RSD_Heating!$AH$313/1000</f>
        <v>10.728974586776859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30">
        <v>2019</v>
      </c>
      <c r="AK40" s="545">
        <v>18</v>
      </c>
      <c r="AM40" s="205"/>
      <c r="AN40" s="205" t="str">
        <f t="shared" si="36"/>
        <v>R-SH_Apt_ELC_HPN3-ABD</v>
      </c>
      <c r="AO40" s="205" t="str">
        <f t="shared" si="37"/>
        <v>Residential Electric Heat Pump AB - Ground to Water - SH - D rated dwelling</v>
      </c>
      <c r="AP40" s="100" t="s">
        <v>13</v>
      </c>
      <c r="AQ40" s="118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8">H41*0.7</f>
        <v>0.49399399399399396</v>
      </c>
      <c r="Q41" s="526">
        <f t="shared" ref="Q41" si="39">I41*0.7</f>
        <v>0.54339339339339332</v>
      </c>
      <c r="R41" s="526">
        <f t="shared" ref="R41" si="40">J41*0.7</f>
        <v>0.60925925925925917</v>
      </c>
      <c r="S41" s="561">
        <f t="shared" ref="S41" si="41">K41*0.7</f>
        <v>0.65865865865865858</v>
      </c>
      <c r="T41" s="541">
        <v>20</v>
      </c>
      <c r="U41" s="526"/>
      <c r="V41" s="523">
        <f>JRC_Data!BC18/1000*($U$284/$U$285)+RSD_Heating!$AH$314/1000</f>
        <v>11.889921763085399</v>
      </c>
      <c r="W41" s="526">
        <f>JRC_Data!BD18/1000*($U$284/$U$285)+RSD_Heating!$AH$314/1000</f>
        <v>11.889921763085399</v>
      </c>
      <c r="X41" s="526">
        <f>JRC_Data!BE18/1000*($U$284/$U$285)+RSD_Heating!$AH$314/1000</f>
        <v>10.910582920110192</v>
      </c>
      <c r="Y41" s="526">
        <f>JRC_Data!BF18/1000*($U$284/$U$285)+RSD_Heating!$AH$314/1000</f>
        <v>10.910582920110192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2">31.536*(AK41/1000)</f>
        <v>0.56764799999999993</v>
      </c>
      <c r="AI41" s="524"/>
      <c r="AJ41" s="524">
        <v>2019</v>
      </c>
      <c r="AK41" s="543">
        <v>18</v>
      </c>
      <c r="AM41" s="205"/>
      <c r="AN41" s="205" t="str">
        <f t="shared" si="36"/>
        <v>R-SH_Apt_ELC_HPN3-ABE</v>
      </c>
      <c r="AO41" s="205" t="str">
        <f t="shared" si="37"/>
        <v>Residential Electric Heat Pump AB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x14ac:dyDescent="0.25">
      <c r="C42" s="510" t="str">
        <f>"R-SH_Apt"&amp;"_"&amp;RIGHT(E42,3)&amp;"_HPN3-AB"</f>
        <v>R-SH_Apt_ELC_HPN3-AB</v>
      </c>
      <c r="D42" s="511" t="s">
        <v>752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(JRC_Data!BC20/1000)*($U$284/$U$285)</f>
        <v>12.731404958677686</v>
      </c>
      <c r="W42" s="513">
        <f>(JRC_Data!BD20/1000)*($U$284/$U$285)</f>
        <v>11.75206611570248</v>
      </c>
      <c r="X42" s="513">
        <f>(JRC_Data!BE20/1000)*($U$284/$U$285)</f>
        <v>10.772727272727272</v>
      </c>
      <c r="Y42" s="513">
        <f>(JRC_Data!BF20/1000)*($U$284/$U$285)</f>
        <v>10.772727272727272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6"/>
        <v>R-SH_Apt_ELC_HPN3-ABF</v>
      </c>
      <c r="AO42" s="205" t="str">
        <f t="shared" si="37"/>
        <v>Residential Electric Heat Pump AB - Ground to Water - SH - F rated dwelling</v>
      </c>
      <c r="AP42" s="100" t="s">
        <v>13</v>
      </c>
      <c r="AQ42" s="118" t="s">
        <v>119</v>
      </c>
      <c r="AR42" s="100" t="s">
        <v>684</v>
      </c>
      <c r="AS42" s="100"/>
      <c r="AT42" s="100" t="s">
        <v>75</v>
      </c>
    </row>
    <row r="43" spans="3:47" ht="12" customHeight="1" x14ac:dyDescent="0.25">
      <c r="C43" s="519" t="str">
        <f>"R-SH_Apt"&amp;"_"&amp;RIGHT(E42,3)&amp;"_HPN3-ABC"</f>
        <v>R-SH_Apt_ELC_HPN3-ABC</v>
      </c>
      <c r="D43" s="24" t="s">
        <v>753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12.731404958677686</v>
      </c>
      <c r="W43" s="23">
        <v>11.75206611570248</v>
      </c>
      <c r="X43" s="23">
        <v>10.772727272727272</v>
      </c>
      <c r="Y43" s="23">
        <v>10.772727272727272</v>
      </c>
      <c r="Z43" s="562">
        <f>JRC_Data!BL21/1000</f>
        <v>0.6</v>
      </c>
      <c r="AA43" s="24"/>
      <c r="AB43" s="32"/>
      <c r="AC43" s="32"/>
      <c r="AD43" s="32"/>
      <c r="AE43" s="32"/>
      <c r="AF43" s="32"/>
      <c r="AG43" s="32"/>
      <c r="AH43" s="519">
        <f t="shared" ref="AH43:AH47" si="43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6"/>
        <v>R-SH_Apt_ELC_HPN3-ABG</v>
      </c>
      <c r="AO43" s="205" t="str">
        <f t="shared" si="37"/>
        <v>Residential Electric Heat Pump AB - Ground to Water - SH - G rated dwelling</v>
      </c>
      <c r="AP43" s="100" t="s">
        <v>13</v>
      </c>
      <c r="AQ43" s="118" t="s">
        <v>119</v>
      </c>
      <c r="AR43" s="100" t="s">
        <v>684</v>
      </c>
      <c r="AS43" s="100"/>
      <c r="AT43" s="100" t="s">
        <v>75</v>
      </c>
    </row>
    <row r="44" spans="3:47" ht="12" customHeight="1" x14ac:dyDescent="0.25">
      <c r="C44" s="521" t="str">
        <f>"R-SH_Apt"&amp;"_"&amp;RIGHT(E43,3)&amp;"_HPN3-ABD"</f>
        <v>R-SH_Apt_ELC_HPN3-ABD</v>
      </c>
      <c r="D44" s="30" t="s">
        <v>754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12.731404958677686</v>
      </c>
      <c r="W44" s="29">
        <v>11.75206611570248</v>
      </c>
      <c r="X44" s="29">
        <v>10.772727272727272</v>
      </c>
      <c r="Y44" s="29">
        <v>10.772727272727272</v>
      </c>
      <c r="Z44" s="563">
        <f>JRC_Data!BL22/1000</f>
        <v>0.3</v>
      </c>
      <c r="AA44" s="30"/>
      <c r="AB44" s="31"/>
      <c r="AC44" s="31"/>
      <c r="AD44" s="31"/>
      <c r="AE44" s="31"/>
      <c r="AF44" s="31"/>
      <c r="AG44" s="31"/>
      <c r="AH44" s="521">
        <f t="shared" si="43"/>
        <v>0.47304000000000002</v>
      </c>
      <c r="AI44" s="30"/>
      <c r="AJ44" s="30">
        <v>2019</v>
      </c>
      <c r="AK44" s="545">
        <v>15</v>
      </c>
      <c r="AM44" s="205"/>
      <c r="AN44" s="205" t="str">
        <f t="shared" ref="AN44:AO49" si="44">C48</f>
        <v>R-SH_Apt_ELC_HPN3-C</v>
      </c>
      <c r="AO44" s="205" t="str">
        <f t="shared" si="44"/>
        <v>Residential Electric Heat Pump - Ground to Water - SH - C rated dwelling</v>
      </c>
      <c r="AP44" s="100" t="s">
        <v>13</v>
      </c>
      <c r="AQ44" s="116" t="s">
        <v>119</v>
      </c>
      <c r="AR44" s="100" t="s">
        <v>684</v>
      </c>
      <c r="AS44" s="100"/>
      <c r="AT44" s="100" t="s">
        <v>75</v>
      </c>
    </row>
    <row r="45" spans="3:47" ht="12" customHeight="1" x14ac:dyDescent="0.25">
      <c r="C45" s="519" t="str">
        <f>"R-SH_Apt"&amp;"_"&amp;RIGHT(E44,3)&amp;"_HPN3-ABE"</f>
        <v>R-SH_Apt_ELC_HPN3-ABE</v>
      </c>
      <c r="D45" s="24" t="s">
        <v>755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12.731404958677686</v>
      </c>
      <c r="W45" s="23">
        <v>11.75206611570248</v>
      </c>
      <c r="X45" s="23">
        <v>10.772727272727272</v>
      </c>
      <c r="Y45" s="23">
        <v>10.772727272727272</v>
      </c>
      <c r="Z45" s="562">
        <f>JRC_Data!BL23/1000</f>
        <v>0.3</v>
      </c>
      <c r="AA45" s="24"/>
      <c r="AB45" s="32"/>
      <c r="AC45" s="32"/>
      <c r="AD45" s="32"/>
      <c r="AE45" s="32"/>
      <c r="AF45" s="32"/>
      <c r="AG45" s="32"/>
      <c r="AH45" s="519">
        <f t="shared" si="43"/>
        <v>0.47304000000000002</v>
      </c>
      <c r="AI45" s="24"/>
      <c r="AJ45" s="24">
        <v>2019</v>
      </c>
      <c r="AK45" s="544">
        <v>15</v>
      </c>
      <c r="AM45" s="205"/>
      <c r="AN45" s="205" t="str">
        <f t="shared" si="44"/>
        <v>R-SH_Apt_ELC_HPN3-D</v>
      </c>
      <c r="AO45" s="205" t="str">
        <f t="shared" si="44"/>
        <v>Residential Electric Heat Pump - Ground to Water - SH - D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x14ac:dyDescent="0.25">
      <c r="C46" s="521" t="str">
        <f>"R-SH_Apt"&amp;"_"&amp;RIGHT(E45,3)&amp;"_HPN3-ABF"</f>
        <v>R-SH_Apt_ELC_HPN3-ABF</v>
      </c>
      <c r="D46" s="30" t="s">
        <v>756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12.731404958677686</v>
      </c>
      <c r="W46" s="29">
        <v>11.75206611570248</v>
      </c>
      <c r="X46" s="29">
        <v>10.772727272727272</v>
      </c>
      <c r="Y46" s="29">
        <v>10.772727272727272</v>
      </c>
      <c r="Z46" s="563">
        <f>JRC_Data!BL24/1000</f>
        <v>0.15</v>
      </c>
      <c r="AA46" s="30"/>
      <c r="AB46" s="31"/>
      <c r="AC46" s="31"/>
      <c r="AD46" s="31"/>
      <c r="AE46" s="31"/>
      <c r="AF46" s="31"/>
      <c r="AG46" s="31"/>
      <c r="AH46" s="521">
        <f t="shared" si="43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4"/>
        <v>R-SH_Apt_ELC_HPN3-E</v>
      </c>
      <c r="AO46" s="205" t="str">
        <f t="shared" si="44"/>
        <v>Residential Electric Heat Pump - Ground to Water - SH - E rated dwelling</v>
      </c>
      <c r="AP46" s="100" t="s">
        <v>13</v>
      </c>
      <c r="AQ46" s="118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757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12.731404958677686</v>
      </c>
      <c r="W47" s="26">
        <v>11.75206611570248</v>
      </c>
      <c r="X47" s="26">
        <v>10.772727272727272</v>
      </c>
      <c r="Y47" s="26">
        <v>10.772727272727272</v>
      </c>
      <c r="Z47" s="564">
        <f>JRC_Data!BL25/1000</f>
        <v>0.45</v>
      </c>
      <c r="AA47" s="27"/>
      <c r="AB47" s="50"/>
      <c r="AC47" s="50"/>
      <c r="AD47" s="50"/>
      <c r="AE47" s="50"/>
      <c r="AF47" s="50"/>
      <c r="AG47" s="50"/>
      <c r="AH47" s="552">
        <f t="shared" si="43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4"/>
        <v>R-SH_Apt_ELC_HPN3-F</v>
      </c>
      <c r="AO47" s="205" t="str">
        <f t="shared" si="44"/>
        <v>Residential Electric Heat Pump - Ground to Water - SH - F rated dwelling</v>
      </c>
      <c r="AP47" s="100" t="s">
        <v>13</v>
      </c>
      <c r="AQ47" s="116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(JRC_Data!BC20/1000)*($U$284/$U$285)</f>
        <v>12.731404958677686</v>
      </c>
      <c r="W48" s="29">
        <f>(JRC_Data!BD20/1000)*($U$284/$U$285)</f>
        <v>11.75206611570248</v>
      </c>
      <c r="X48" s="29">
        <f>(JRC_Data!BE20/1000)*($U$284/$U$285)</f>
        <v>10.772727272727272</v>
      </c>
      <c r="Y48" s="29">
        <f>(JRC_Data!BF20/1000)*($U$284/$U$285)</f>
        <v>10.772727272727272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5">31.536*(AK48/1000)</f>
        <v>0.47304000000000002</v>
      </c>
      <c r="AI48" s="30"/>
      <c r="AJ48" s="30">
        <v>2019</v>
      </c>
      <c r="AK48" s="545">
        <v>15</v>
      </c>
      <c r="AM48" s="205"/>
      <c r="AN48" s="205" t="str">
        <f t="shared" si="44"/>
        <v>R-SH_Apt_ELC_HPN3-G</v>
      </c>
      <c r="AO48" s="205" t="str">
        <f t="shared" si="44"/>
        <v>Residential Electric Heat Pump - Ground to Water - SH - G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x14ac:dyDescent="0.25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(JRC_Data!BC20/1000)*($U$284/$U$285)</f>
        <v>12.731404958677686</v>
      </c>
      <c r="W49" s="23">
        <f>(JRC_Data!BD20/1000)*($U$284/$U$285)</f>
        <v>11.75206611570248</v>
      </c>
      <c r="X49" s="23">
        <f>(JRC_Data!BE20/1000)*($U$284/$U$285)</f>
        <v>10.772727272727272</v>
      </c>
      <c r="Y49" s="23">
        <f>(JRC_Data!BF20/1000)*($U$284/$U$285)</f>
        <v>10.772727272727272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5"/>
        <v>0.47304000000000002</v>
      </c>
      <c r="AI49" s="24"/>
      <c r="AJ49" s="24">
        <v>2019</v>
      </c>
      <c r="AK49" s="544">
        <v>15</v>
      </c>
      <c r="AM49" s="205"/>
      <c r="AN49" s="205" t="str">
        <f t="shared" si="44"/>
        <v>R-HC_Apt_ELC_HPN2-AB</v>
      </c>
      <c r="AO49" s="205" t="str">
        <f t="shared" si="44"/>
        <v>Residential Electric Heat Pump - Ground to Water - SH + SC - AB rated dwelling</v>
      </c>
      <c r="AP49" s="100" t="s">
        <v>13</v>
      </c>
      <c r="AQ49" s="118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(JRC_Data!BC20/1000)*($U$284/$U$285)+RSD_Heating!$AH$312/1000</f>
        <v>14.464721625344353</v>
      </c>
      <c r="W50" s="29">
        <f>(JRC_Data!BD20/1000)*($U$284/$U$285)+RSD_Heating!$AH$312/1000</f>
        <v>13.485382782369147</v>
      </c>
      <c r="X50" s="29">
        <f>(JRC_Data!BE20/1000)*($U$284/$U$285)+RSD_Heating!$AH$312/1000</f>
        <v>12.506043939393939</v>
      </c>
      <c r="Y50" s="29">
        <f>(JRC_Data!BF20/1000)*($U$284/$U$285)+RSD_Heating!$AH$312/1000</f>
        <v>12.506043939393939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5"/>
        <v>0.47304000000000002</v>
      </c>
      <c r="AI50" s="30"/>
      <c r="AJ50" s="30">
        <v>2019</v>
      </c>
      <c r="AK50" s="545">
        <v>15</v>
      </c>
      <c r="AM50" s="205"/>
      <c r="AN50" s="205" t="str">
        <f t="shared" ref="AN50:AN54" si="46">C54</f>
        <v>R-HC_Apt_ELC_HPN2-ABC</v>
      </c>
      <c r="AO50" s="205" t="str">
        <f t="shared" ref="AO50:AO54" si="47">D54</f>
        <v>Residential Electric Heat Pump - Ground to Water - SH + SC - C rated dwelling</v>
      </c>
      <c r="AP50" s="100" t="s">
        <v>13</v>
      </c>
      <c r="AQ50" s="118" t="s">
        <v>119</v>
      </c>
      <c r="AR50" s="100" t="s">
        <v>684</v>
      </c>
      <c r="AS50" s="100"/>
      <c r="AT50" s="100" t="s">
        <v>75</v>
      </c>
    </row>
    <row r="51" spans="3:46" ht="12" customHeight="1" x14ac:dyDescent="0.25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(JRC_Data!BC20/1000)*($U$284/$U$285)+RSD_Heating!$AH$313/1000</f>
        <v>14.646329958677686</v>
      </c>
      <c r="W51" s="23">
        <f>(JRC_Data!BD20/1000)*($U$284/$U$285)+RSD_Heating!$AH$313/1000</f>
        <v>13.66699111570248</v>
      </c>
      <c r="X51" s="23">
        <f>(JRC_Data!BE20/1000)*($U$284/$U$285)+RSD_Heating!$AH$313/1000</f>
        <v>12.687652272727272</v>
      </c>
      <c r="Y51" s="23">
        <f>(JRC_Data!BF20/1000)*($U$284/$U$285)+RSD_Heating!$AH$313/1000</f>
        <v>12.687652272727272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5"/>
        <v>0.47304000000000002</v>
      </c>
      <c r="AI51" s="24"/>
      <c r="AJ51" s="24">
        <v>2019</v>
      </c>
      <c r="AK51" s="544">
        <v>15</v>
      </c>
      <c r="AM51" s="205"/>
      <c r="AN51" s="205" t="str">
        <f t="shared" si="46"/>
        <v>R-HC_Apt_ELC_HPN2-ABD</v>
      </c>
      <c r="AO51" s="205" t="str">
        <f t="shared" si="47"/>
        <v>Residential Electric Heat Pump - Ground to Water - SH + SC - D rated dwelling</v>
      </c>
      <c r="AP51" s="100" t="s">
        <v>13</v>
      </c>
      <c r="AQ51" s="118" t="s">
        <v>119</v>
      </c>
      <c r="AR51" s="100" t="s">
        <v>684</v>
      </c>
      <c r="AS51" s="100"/>
      <c r="AT51" s="100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(JRC_Data!BC20/1000)*($U$284/$U$285)+RSD_Heating!$AH$314/1000</f>
        <v>14.827938292011019</v>
      </c>
      <c r="W52" s="548">
        <f>(JRC_Data!BD20/1000)*($U$284/$U$285)+RSD_Heating!$AH$314/1000</f>
        <v>13.848599449035813</v>
      </c>
      <c r="X52" s="548">
        <f>(JRC_Data!BE20/1000)*($U$284/$U$285)+RSD_Heating!$AH$314/1000</f>
        <v>12.869260606060605</v>
      </c>
      <c r="Y52" s="548">
        <f>(JRC_Data!BF20/1000)*($U$284/$U$285)+RSD_Heating!$AH$314/1000</f>
        <v>12.869260606060605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5"/>
        <v>0.47304000000000002</v>
      </c>
      <c r="AI52" s="547"/>
      <c r="AJ52" s="547">
        <v>2019</v>
      </c>
      <c r="AK52" s="551">
        <v>15</v>
      </c>
      <c r="AM52" s="205"/>
      <c r="AN52" s="205" t="str">
        <f t="shared" si="46"/>
        <v>R-HC_Apt_ELC_HPN2-ABE</v>
      </c>
      <c r="AO52" s="205" t="str">
        <f t="shared" si="47"/>
        <v>Residential Electric Heat Pump - Ground to Water - SH + SC -E rated dwelling</v>
      </c>
      <c r="AP52" s="100" t="s">
        <v>13</v>
      </c>
      <c r="AQ52" s="118" t="s">
        <v>119</v>
      </c>
      <c r="AR52" s="100" t="s">
        <v>684</v>
      </c>
      <c r="AS52" s="100"/>
      <c r="AT52" s="100" t="s">
        <v>75</v>
      </c>
    </row>
    <row r="53" spans="3:46" ht="12" customHeight="1" x14ac:dyDescent="0.25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539</v>
      </c>
      <c r="G53" s="555" t="s">
        <v>765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48">I53*0.9</f>
        <v>1.05</v>
      </c>
      <c r="N53" s="556">
        <f t="shared" si="48"/>
        <v>1.2</v>
      </c>
      <c r="O53" s="566">
        <f t="shared" si="48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14.004545454545456</v>
      </c>
      <c r="W53" s="556">
        <f>W42*1.1</f>
        <v>12.927272727272729</v>
      </c>
      <c r="X53" s="556">
        <f>X42*1.1</f>
        <v>11.85</v>
      </c>
      <c r="Y53" s="556">
        <f>Y42*1.1</f>
        <v>11.85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5"/>
      <c r="AN53" s="205" t="str">
        <f t="shared" si="46"/>
        <v>R-HC_Apt_ELC_HPN2-ABF</v>
      </c>
      <c r="AO53" s="205" t="str">
        <f t="shared" si="47"/>
        <v>Residential Electric Heat Pump - Ground to Water - SH + SC -F rated dwelling</v>
      </c>
      <c r="AP53" s="100" t="s">
        <v>13</v>
      </c>
      <c r="AQ53" s="118" t="s">
        <v>119</v>
      </c>
      <c r="AR53" s="100" t="s">
        <v>684</v>
      </c>
      <c r="AS53" s="100"/>
      <c r="AT53" s="100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539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14.004545454545456</v>
      </c>
      <c r="W54" s="29">
        <v>12.927272727272729</v>
      </c>
      <c r="X54" s="29">
        <v>11.85</v>
      </c>
      <c r="Y54" s="29">
        <v>11.85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49">31.536*(AK54/1000)</f>
        <v>0.47304000000000002</v>
      </c>
      <c r="AI54" s="30"/>
      <c r="AJ54" s="30">
        <v>2019</v>
      </c>
      <c r="AK54" s="545">
        <v>15</v>
      </c>
      <c r="AM54" s="205"/>
      <c r="AN54" s="205" t="str">
        <f t="shared" si="46"/>
        <v>R-HC_Apt_ELC_HPN2-ABG</v>
      </c>
      <c r="AO54" s="205" t="str">
        <f t="shared" si="47"/>
        <v>Residential Electric Heat Pump - Ground to Water - SH + SC - G rated dwelling</v>
      </c>
      <c r="AP54" s="100" t="s">
        <v>13</v>
      </c>
      <c r="AQ54" s="118" t="s">
        <v>119</v>
      </c>
      <c r="AR54" s="100" t="s">
        <v>684</v>
      </c>
      <c r="AS54" s="100"/>
      <c r="AT54" s="100" t="s">
        <v>75</v>
      </c>
    </row>
    <row r="55" spans="3:46" ht="12" customHeight="1" x14ac:dyDescent="0.25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539</v>
      </c>
      <c r="G55" s="24" t="s">
        <v>742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14.004545454545456</v>
      </c>
      <c r="W55" s="23">
        <v>12.927272727272729</v>
      </c>
      <c r="X55" s="23">
        <v>11.85</v>
      </c>
      <c r="Y55" s="23">
        <v>11.85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49"/>
        <v>0.47304000000000002</v>
      </c>
      <c r="AI55" s="24"/>
      <c r="AJ55" s="24">
        <v>2019</v>
      </c>
      <c r="AK55" s="544">
        <v>15</v>
      </c>
      <c r="AM55" s="205"/>
      <c r="AN55" s="205" t="str">
        <f t="shared" ref="AN55:AO59" si="50">C59</f>
        <v>R-HC_Apt_ELC_HPN2-C</v>
      </c>
      <c r="AO55" s="205" t="str">
        <f t="shared" si="50"/>
        <v>Residential Electric Heat Pump - Ground to Water - SH + SC - C rated dwelling</v>
      </c>
      <c r="AP55" s="100" t="s">
        <v>13</v>
      </c>
      <c r="AQ55" s="116" t="s">
        <v>119</v>
      </c>
      <c r="AR55" s="100" t="s">
        <v>684</v>
      </c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744</v>
      </c>
      <c r="E56" s="30" t="s">
        <v>144</v>
      </c>
      <c r="F56" s="30" t="s">
        <v>539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14.004545454545456</v>
      </c>
      <c r="W56" s="29">
        <v>12.927272727272729</v>
      </c>
      <c r="X56" s="29">
        <v>11.85</v>
      </c>
      <c r="Y56" s="29">
        <v>11.85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49"/>
        <v>0.47304000000000002</v>
      </c>
      <c r="AI56" s="30"/>
      <c r="AJ56" s="30">
        <v>2019</v>
      </c>
      <c r="AK56" s="545">
        <v>15</v>
      </c>
      <c r="AM56" s="205"/>
      <c r="AN56" s="205" t="str">
        <f t="shared" si="50"/>
        <v>R-HC_Apt_ELC_HPN2-D</v>
      </c>
      <c r="AO56" s="205" t="str">
        <f t="shared" si="50"/>
        <v>Residential Electric Heat Pump - Ground to Water - SH + SC - D rated dwelling</v>
      </c>
      <c r="AP56" s="100" t="s">
        <v>13</v>
      </c>
      <c r="AQ56" s="116" t="s">
        <v>119</v>
      </c>
      <c r="AR56" s="100" t="s">
        <v>684</v>
      </c>
      <c r="AS56" s="100"/>
      <c r="AT56" s="100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745</v>
      </c>
      <c r="E57" s="24" t="s">
        <v>144</v>
      </c>
      <c r="F57" s="24" t="s">
        <v>539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14.004545454545456</v>
      </c>
      <c r="W57" s="23">
        <v>12.927272727272729</v>
      </c>
      <c r="X57" s="23">
        <v>11.85</v>
      </c>
      <c r="Y57" s="23">
        <v>11.85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49"/>
        <v>0.47304000000000002</v>
      </c>
      <c r="AI57" s="24"/>
      <c r="AJ57" s="24">
        <v>2019</v>
      </c>
      <c r="AK57" s="544">
        <v>15</v>
      </c>
      <c r="AM57" s="205"/>
      <c r="AN57" s="205" t="str">
        <f t="shared" si="50"/>
        <v>R-HC_Apt_ELC_HPN2-E</v>
      </c>
      <c r="AO57" s="205" t="str">
        <f t="shared" si="50"/>
        <v>Residential Electric Heat Pump - Ground to Water - SH + SC - E rated dwelling</v>
      </c>
      <c r="AP57" s="100" t="s">
        <v>13</v>
      </c>
      <c r="AQ57" s="118" t="s">
        <v>119</v>
      </c>
      <c r="AR57" s="100" t="s">
        <v>684</v>
      </c>
      <c r="AS57" s="100"/>
      <c r="AT57" s="100" t="s">
        <v>75</v>
      </c>
    </row>
    <row r="58" spans="3:46" ht="12" customHeight="1" x14ac:dyDescent="0.25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539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14.004545454545456</v>
      </c>
      <c r="W58" s="568">
        <v>12.927272727272729</v>
      </c>
      <c r="X58" s="568">
        <v>11.85</v>
      </c>
      <c r="Y58" s="568">
        <v>11.85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49"/>
        <v>0.47304000000000002</v>
      </c>
      <c r="AI58" s="112"/>
      <c r="AJ58" s="112">
        <v>2019</v>
      </c>
      <c r="AK58" s="572">
        <v>15</v>
      </c>
      <c r="AM58" s="205"/>
      <c r="AN58" s="205" t="str">
        <f t="shared" si="50"/>
        <v>R-HC_Apt_ELC_HPN2-F</v>
      </c>
      <c r="AO58" s="205" t="str">
        <f t="shared" si="50"/>
        <v>Residential Electric Heat Pump - Ground to Water - SH + SC - F rated dwelling</v>
      </c>
      <c r="AP58" s="100" t="s">
        <v>13</v>
      </c>
      <c r="AQ58" s="116" t="s">
        <v>119</v>
      </c>
      <c r="AR58" s="100" t="s">
        <v>684</v>
      </c>
      <c r="AS58" s="100"/>
      <c r="AT58" s="100" t="s">
        <v>75</v>
      </c>
    </row>
    <row r="59" spans="3:46" ht="12" customHeight="1" thickBot="1" x14ac:dyDescent="0.3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24" t="s">
        <v>539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51">H59*0.9</f>
        <v>0.85629729729729731</v>
      </c>
      <c r="M59" s="23">
        <f t="shared" si="48"/>
        <v>0.94192702702702691</v>
      </c>
      <c r="N59" s="23">
        <f t="shared" si="48"/>
        <v>1.0561</v>
      </c>
      <c r="O59" s="562">
        <f t="shared" si="48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52">V48*1.1</f>
        <v>14.004545454545456</v>
      </c>
      <c r="W59" s="23">
        <f t="shared" si="52"/>
        <v>12.927272727272729</v>
      </c>
      <c r="X59" s="23">
        <f t="shared" si="52"/>
        <v>11.85</v>
      </c>
      <c r="Y59" s="23">
        <f t="shared" si="52"/>
        <v>11.85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53">31.536*(AK59/1000)</f>
        <v>0.47304000000000002</v>
      </c>
      <c r="AI59" s="24"/>
      <c r="AJ59" s="24">
        <v>2019</v>
      </c>
      <c r="AK59" s="544">
        <v>15</v>
      </c>
      <c r="AM59" s="205"/>
      <c r="AN59" s="205" t="str">
        <f t="shared" si="50"/>
        <v>R-HC_Apt_ELC_HPN2-G</v>
      </c>
      <c r="AO59" s="205" t="str">
        <f t="shared" si="50"/>
        <v>Residential Electric Heat Pump - Ground to Water - SH + SC - G rated dwelling</v>
      </c>
      <c r="AP59" s="100" t="s">
        <v>13</v>
      </c>
      <c r="AQ59" s="116" t="s">
        <v>119</v>
      </c>
      <c r="AR59" s="100" t="s">
        <v>684</v>
      </c>
      <c r="AS59" s="100"/>
      <c r="AT59" s="100" t="s">
        <v>75</v>
      </c>
    </row>
    <row r="60" spans="3:46" ht="12" customHeight="1" x14ac:dyDescent="0.25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539</v>
      </c>
      <c r="G60" s="30" t="s">
        <v>742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51"/>
        <v>0.8125945945945946</v>
      </c>
      <c r="M60" s="29">
        <f t="shared" si="48"/>
        <v>0.89385405405405394</v>
      </c>
      <c r="N60" s="29">
        <f t="shared" si="48"/>
        <v>1.0022000000000002</v>
      </c>
      <c r="O60" s="563">
        <f t="shared" si="48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52"/>
        <v>14.004545454545456</v>
      </c>
      <c r="W60" s="29">
        <f t="shared" si="52"/>
        <v>12.927272727272729</v>
      </c>
      <c r="X60" s="29">
        <f t="shared" si="52"/>
        <v>11.85</v>
      </c>
      <c r="Y60" s="29">
        <f t="shared" si="52"/>
        <v>11.85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53"/>
        <v>0.47304000000000002</v>
      </c>
      <c r="AI60" s="30"/>
      <c r="AJ60" s="30">
        <v>2019</v>
      </c>
      <c r="AK60" s="545">
        <v>15</v>
      </c>
      <c r="AM60" s="107"/>
      <c r="AN60" s="97" t="str">
        <f>C65</f>
        <v>R-SW_Apt_GAS_HPN1</v>
      </c>
      <c r="AO60" s="97" t="str">
        <f>D65</f>
        <v>Residential Gas Absorption Heat Pump - Air to Water - SH + WH</v>
      </c>
      <c r="AP60" s="98" t="s">
        <v>13</v>
      </c>
      <c r="AQ60" s="118" t="s">
        <v>119</v>
      </c>
      <c r="AR60" s="100" t="s">
        <v>684</v>
      </c>
      <c r="AS60" s="98"/>
      <c r="AT60" s="98" t="s">
        <v>75</v>
      </c>
    </row>
    <row r="61" spans="3:46" ht="12" customHeight="1" thickBot="1" x14ac:dyDescent="0.3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539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51"/>
        <v>0.76756756756756761</v>
      </c>
      <c r="M61" s="23">
        <f t="shared" si="48"/>
        <v>0.84432432432432414</v>
      </c>
      <c r="N61" s="23">
        <f t="shared" si="48"/>
        <v>0.94666666666666666</v>
      </c>
      <c r="O61" s="562">
        <f t="shared" si="48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52"/>
        <v>15.911193787878791</v>
      </c>
      <c r="W61" s="23">
        <f t="shared" si="52"/>
        <v>14.833921060606063</v>
      </c>
      <c r="X61" s="23">
        <f t="shared" si="52"/>
        <v>13.756648333333334</v>
      </c>
      <c r="Y61" s="23">
        <f t="shared" si="52"/>
        <v>13.756648333333334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53"/>
        <v>0.47304000000000002</v>
      </c>
      <c r="AI61" s="24"/>
      <c r="AJ61" s="24">
        <v>2019</v>
      </c>
      <c r="AK61" s="544">
        <v>15</v>
      </c>
      <c r="AM61" s="206"/>
      <c r="AN61" s="102" t="str">
        <f>C66</f>
        <v>R-SW_Apt_GAS_HPN2</v>
      </c>
      <c r="AO61" s="102" t="str">
        <f>D66</f>
        <v>Residential Gas Engine Heat Pump - Air to Water - SH + WH</v>
      </c>
      <c r="AP61" s="103" t="s">
        <v>13</v>
      </c>
      <c r="AQ61" s="116" t="s">
        <v>119</v>
      </c>
      <c r="AR61" s="100" t="s">
        <v>684</v>
      </c>
      <c r="AS61" s="103"/>
      <c r="AT61" s="103" t="s">
        <v>75</v>
      </c>
    </row>
    <row r="62" spans="3:46" ht="12" customHeight="1" thickBot="1" x14ac:dyDescent="0.3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539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51"/>
        <v>0.7013513513513514</v>
      </c>
      <c r="M62" s="29">
        <f t="shared" si="48"/>
        <v>0.77148648648648643</v>
      </c>
      <c r="N62" s="29">
        <f t="shared" si="48"/>
        <v>0.8650000000000001</v>
      </c>
      <c r="O62" s="563">
        <f t="shared" si="48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52"/>
        <v>16.110962954545457</v>
      </c>
      <c r="W62" s="29">
        <f t="shared" si="52"/>
        <v>15.033690227272729</v>
      </c>
      <c r="X62" s="29">
        <f t="shared" si="52"/>
        <v>13.956417500000001</v>
      </c>
      <c r="Y62" s="29">
        <f t="shared" si="52"/>
        <v>13.956417500000001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53"/>
        <v>0.47304000000000002</v>
      </c>
      <c r="AI62" s="30"/>
      <c r="AJ62" s="30">
        <v>2019</v>
      </c>
      <c r="AK62" s="545">
        <v>15</v>
      </c>
      <c r="AM62" s="207"/>
      <c r="AN62" s="105" t="str">
        <f>C68</f>
        <v>R-SW_Apt_GAS_HHPN1</v>
      </c>
      <c r="AO62" s="105" t="str">
        <f>D68</f>
        <v>Residential Gas Hybrid Heat Pump - Air to Water - SH + WH</v>
      </c>
      <c r="AP62" s="104" t="s">
        <v>13</v>
      </c>
      <c r="AQ62" s="116" t="s">
        <v>119</v>
      </c>
      <c r="AR62" s="104"/>
      <c r="AS62" s="104"/>
      <c r="AT62" s="104" t="s">
        <v>75</v>
      </c>
    </row>
    <row r="63" spans="3:46" ht="12" customHeight="1" thickBot="1" x14ac:dyDescent="0.3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524" t="s">
        <v>539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51"/>
        <v>0.63513513513513509</v>
      </c>
      <c r="M63" s="526">
        <f t="shared" si="48"/>
        <v>0.69864864864864851</v>
      </c>
      <c r="N63" s="526">
        <f t="shared" si="48"/>
        <v>0.78333333333333333</v>
      </c>
      <c r="O63" s="561">
        <f t="shared" si="48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52"/>
        <v>16.310732121212123</v>
      </c>
      <c r="W63" s="526">
        <f t="shared" si="52"/>
        <v>15.233459393939395</v>
      </c>
      <c r="X63" s="526">
        <f t="shared" si="52"/>
        <v>14.156186666666667</v>
      </c>
      <c r="Y63" s="526">
        <f t="shared" si="52"/>
        <v>14.156186666666667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53"/>
        <v>0.47304000000000002</v>
      </c>
      <c r="AI63" s="524"/>
      <c r="AJ63" s="524">
        <v>2019</v>
      </c>
      <c r="AK63" s="543">
        <v>15</v>
      </c>
      <c r="AM63" s="208"/>
      <c r="AN63" s="504" t="str">
        <f>C70</f>
        <v>R-SW_Apt_HET_N1</v>
      </c>
      <c r="AO63" s="97" t="str">
        <f>D70</f>
        <v>Residential District Heating HIU - SH + WH</v>
      </c>
      <c r="AP63" s="98" t="s">
        <v>13</v>
      </c>
      <c r="AQ63" s="118" t="s">
        <v>119</v>
      </c>
      <c r="AR63" s="100" t="s">
        <v>684</v>
      </c>
      <c r="AS63" s="98"/>
      <c r="AT63" s="98" t="s">
        <v>75</v>
      </c>
    </row>
    <row r="64" spans="3:46" ht="15.75" thickBot="1" x14ac:dyDescent="0.3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208"/>
      <c r="AN64" s="97" t="str">
        <f>C72</f>
        <v>R-WH_Apt_ELC_N1</v>
      </c>
      <c r="AO64" s="97" t="str">
        <f>D72</f>
        <v xml:space="preserve">Residential Electric Water Heater </v>
      </c>
      <c r="AP64" s="98" t="s">
        <v>13</v>
      </c>
      <c r="AQ64" s="116" t="s">
        <v>119</v>
      </c>
      <c r="AR64" s="100" t="s">
        <v>684</v>
      </c>
      <c r="AS64" s="98"/>
      <c r="AT64" s="98" t="s">
        <v>75</v>
      </c>
    </row>
    <row r="65" spans="3:46" ht="15.75" thickBot="1" x14ac:dyDescent="0.3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4">I65*0.7</f>
        <v>1.2530864197530862</v>
      </c>
      <c r="R65" s="513">
        <f t="shared" si="54"/>
        <v>1.4691358024691357</v>
      </c>
      <c r="S65" s="560">
        <f t="shared" si="54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5">31.536*(AK65/1000)</f>
        <v>0.56764799999999993</v>
      </c>
      <c r="AI65" s="511"/>
      <c r="AJ65" s="511">
        <v>2019</v>
      </c>
      <c r="AK65" s="540">
        <v>18</v>
      </c>
      <c r="AM65" s="106"/>
      <c r="AN65" s="106" t="str">
        <f>C73</f>
        <v>R-WH_Apt_SOL_N1</v>
      </c>
      <c r="AO65" s="106" t="str">
        <f>D73</f>
        <v xml:space="preserve">Residential Solar Water Heater </v>
      </c>
      <c r="AP65" s="100" t="s">
        <v>13</v>
      </c>
      <c r="AQ65" s="116" t="s">
        <v>119</v>
      </c>
      <c r="AR65" s="100"/>
      <c r="AS65" s="100"/>
      <c r="AT65" s="100" t="s">
        <v>75</v>
      </c>
    </row>
    <row r="66" spans="3:46" ht="15.75" thickBot="1" x14ac:dyDescent="0.3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6">I66*0.7</f>
        <v>1.2055555555555555</v>
      </c>
      <c r="R66" s="526">
        <f t="shared" ref="R66" si="57">J66*0.7</f>
        <v>1.2055555555555555</v>
      </c>
      <c r="S66" s="561">
        <f t="shared" ref="S66" si="58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5"/>
        <v>0.56764799999999993</v>
      </c>
      <c r="AI66" s="524"/>
      <c r="AJ66" s="524">
        <v>2019</v>
      </c>
      <c r="AK66" s="543">
        <v>18</v>
      </c>
      <c r="AM66" s="2"/>
      <c r="AN66" s="99" t="str">
        <f>C75</f>
        <v>R-SC_Apt_ELC_N1</v>
      </c>
      <c r="AO66" s="99" t="str">
        <f>D75</f>
        <v>Room Residential Electric Air Conditioning</v>
      </c>
      <c r="AP66" s="98" t="s">
        <v>13</v>
      </c>
      <c r="AQ66" s="118" t="s">
        <v>119</v>
      </c>
      <c r="AR66" s="100" t="s">
        <v>684</v>
      </c>
      <c r="AS66" s="98"/>
      <c r="AT66" s="98" t="s">
        <v>75</v>
      </c>
    </row>
    <row r="67" spans="3:46" ht="15" x14ac:dyDescent="0.25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N67" s="99" t="str">
        <f>C76</f>
        <v>R-SC_Apt_ELC_N2</v>
      </c>
      <c r="AO67" s="99" t="str">
        <f>D76</f>
        <v>Centralized Residential Electric Air Conditioning</v>
      </c>
      <c r="AP67" s="100" t="s">
        <v>13</v>
      </c>
      <c r="AQ67" s="116" t="s">
        <v>119</v>
      </c>
      <c r="AR67" s="100" t="s">
        <v>684</v>
      </c>
      <c r="AS67" s="100"/>
      <c r="AT67" s="100" t="s">
        <v>75</v>
      </c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59">J68*0.7</f>
        <v>2.9050000000000002</v>
      </c>
      <c r="S68" s="59">
        <f t="shared" si="59"/>
        <v>2.9050000000000002</v>
      </c>
      <c r="T68" s="230">
        <v>20</v>
      </c>
      <c r="U68" s="231"/>
      <c r="V68" s="78">
        <f>(V31+V10)*0.8</f>
        <v>10.085546186839629</v>
      </c>
      <c r="W68" s="78">
        <f>(W31+W10)*0.8</f>
        <v>10.085546186839629</v>
      </c>
      <c r="X68" s="78">
        <f>(X31+X10)*0.8</f>
        <v>9.3020751124594625</v>
      </c>
      <c r="Y68" s="78">
        <f>(Y31+Y10)*0.8</f>
        <v>9.3020751124594625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60">31.536*(AK70/1000)</f>
        <v>0.56764799999999993</v>
      </c>
      <c r="AI70" s="87"/>
      <c r="AJ70" s="87">
        <v>2019</v>
      </c>
      <c r="AK70" s="87">
        <v>18</v>
      </c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" t="s">
        <v>548</v>
      </c>
      <c r="AN71" s="4"/>
      <c r="AO71" s="4"/>
      <c r="AP71" s="4"/>
      <c r="AQ71" s="4"/>
      <c r="AR71" s="4"/>
      <c r="AS71" s="4"/>
      <c r="AT71" s="4"/>
    </row>
    <row r="72" spans="3:46" ht="15.75" thickBot="1" x14ac:dyDescent="0.25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61">31.536*(AK72/1000)</f>
        <v>9.4608000000000012E-2</v>
      </c>
      <c r="AI72" s="87"/>
      <c r="AJ72" s="87">
        <v>2019</v>
      </c>
      <c r="AK72" s="87">
        <v>3</v>
      </c>
      <c r="AM72" s="121" t="s">
        <v>549</v>
      </c>
      <c r="AN72" s="121" t="s">
        <v>550</v>
      </c>
      <c r="AO72" s="121" t="s">
        <v>551</v>
      </c>
      <c r="AP72" s="121" t="s">
        <v>552</v>
      </c>
      <c r="AQ72" s="121" t="s">
        <v>553</v>
      </c>
      <c r="AR72" s="121" t="s">
        <v>554</v>
      </c>
      <c r="AS72" s="121" t="s">
        <v>555</v>
      </c>
      <c r="AT72" s="121" t="s">
        <v>556</v>
      </c>
    </row>
    <row r="73" spans="3:46" ht="48.75" thickBot="1" x14ac:dyDescent="0.25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61"/>
        <v>9.4608000000000012E-2</v>
      </c>
      <c r="AI73" s="66"/>
      <c r="AJ73" s="66">
        <v>2019</v>
      </c>
      <c r="AK73" s="66">
        <v>3</v>
      </c>
      <c r="AM73" s="411" t="s">
        <v>557</v>
      </c>
      <c r="AN73" s="411" t="s">
        <v>558</v>
      </c>
      <c r="AO73" s="411" t="s">
        <v>559</v>
      </c>
      <c r="AP73" s="412" t="s">
        <v>552</v>
      </c>
      <c r="AQ73" s="412" t="s">
        <v>560</v>
      </c>
      <c r="AR73" s="412" t="s">
        <v>561</v>
      </c>
      <c r="AS73" s="412" t="s">
        <v>562</v>
      </c>
      <c r="AT73" s="412" t="s">
        <v>563</v>
      </c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 t="str">
        <f>AK79&amp;"NRG"</f>
        <v>NRG</v>
      </c>
      <c r="AN74" s="413" t="s">
        <v>564</v>
      </c>
      <c r="AO74" s="413" t="s">
        <v>641</v>
      </c>
      <c r="AP74" s="414" t="s">
        <v>13</v>
      </c>
      <c r="AQ74" s="413" t="s">
        <v>434</v>
      </c>
      <c r="AR74" s="413"/>
      <c r="AS74" s="413" t="s">
        <v>434</v>
      </c>
      <c r="AT74" s="413" t="s">
        <v>434</v>
      </c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62">31.536*(AK75/1000)</f>
        <v>9.4608000000000012E-2</v>
      </c>
      <c r="AI75" s="87"/>
      <c r="AJ75" s="87">
        <v>2019</v>
      </c>
      <c r="AK75" s="87">
        <v>3</v>
      </c>
      <c r="AM75" s="413"/>
      <c r="AN75" s="413"/>
      <c r="AO75" s="413"/>
      <c r="AP75" s="414"/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62"/>
        <v>9.4608000000000012E-2</v>
      </c>
      <c r="AI76" s="67"/>
      <c r="AJ76" s="67">
        <v>2019</v>
      </c>
      <c r="AK76" s="67">
        <v>3</v>
      </c>
      <c r="AM76" s="413"/>
      <c r="AN76" s="413"/>
      <c r="AO76" s="413"/>
      <c r="AP76" s="414"/>
      <c r="AQ76" s="413"/>
      <c r="AR76" s="413"/>
      <c r="AS76" s="413"/>
      <c r="AT76" s="413"/>
    </row>
    <row r="77" spans="3:46" x14ac:dyDescent="0.2">
      <c r="AM77" s="413"/>
      <c r="AN77" s="413"/>
      <c r="AO77" s="413"/>
      <c r="AP77" s="414"/>
      <c r="AQ77" s="413"/>
      <c r="AR77" s="413"/>
      <c r="AS77" s="413"/>
      <c r="AT77" s="413"/>
    </row>
    <row r="78" spans="3:46" x14ac:dyDescent="0.2">
      <c r="AM78" s="413"/>
      <c r="AN78" s="413"/>
      <c r="AO78" s="413"/>
      <c r="AP78" s="414"/>
      <c r="AQ78" s="413"/>
      <c r="AR78" s="413"/>
      <c r="AS78" s="413"/>
      <c r="AT78" s="413"/>
    </row>
    <row r="79" spans="3:46" x14ac:dyDescent="0.2">
      <c r="H79" s="5" t="s">
        <v>19</v>
      </c>
      <c r="AM79" s="413"/>
      <c r="AN79" s="413"/>
      <c r="AO79" s="413"/>
      <c r="AP79" s="414"/>
      <c r="AQ79" s="413"/>
      <c r="AR79" s="413"/>
      <c r="AS79" s="413"/>
      <c r="AT79" s="413"/>
    </row>
    <row r="80" spans="3:46" ht="45.75" thickBot="1" x14ac:dyDescent="0.25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790</v>
      </c>
      <c r="I80" s="17" t="s">
        <v>791</v>
      </c>
      <c r="J80" s="17" t="s">
        <v>792</v>
      </c>
      <c r="K80" s="17" t="s">
        <v>793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413"/>
      <c r="AN80" s="413"/>
      <c r="AO80" s="413"/>
      <c r="AP80" s="414"/>
      <c r="AQ80" s="413"/>
      <c r="AR80" s="413"/>
      <c r="AS80" s="413"/>
      <c r="AT80" s="413"/>
    </row>
    <row r="81" spans="3:47" ht="38.25" x14ac:dyDescent="0.2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5" t="s">
        <v>82</v>
      </c>
      <c r="I81" s="626"/>
      <c r="J81" s="626"/>
      <c r="K81" s="627"/>
      <c r="L81" s="625" t="s">
        <v>83</v>
      </c>
      <c r="M81" s="626"/>
      <c r="N81" s="626"/>
      <c r="O81" s="627"/>
      <c r="P81" s="625" t="s">
        <v>84</v>
      </c>
      <c r="Q81" s="626"/>
      <c r="R81" s="626"/>
      <c r="S81" s="627"/>
      <c r="T81" s="625" t="s">
        <v>85</v>
      </c>
      <c r="U81" s="627"/>
      <c r="V81" s="619" t="s">
        <v>86</v>
      </c>
      <c r="W81" s="620"/>
      <c r="X81" s="620"/>
      <c r="Y81" s="621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413"/>
      <c r="AN81" s="413"/>
      <c r="AO81" s="413"/>
      <c r="AP81" s="414"/>
      <c r="AQ81" s="413"/>
      <c r="AR81" s="413"/>
      <c r="AS81" s="413"/>
      <c r="AT81" s="413"/>
    </row>
    <row r="82" spans="3:47" ht="15.75" thickBot="1" x14ac:dyDescent="0.25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413"/>
      <c r="AN82" s="413"/>
      <c r="AO82" s="413"/>
      <c r="AP82" s="414"/>
      <c r="AQ82" s="413"/>
      <c r="AR82" s="413"/>
      <c r="AS82" s="413"/>
      <c r="AT82" s="413"/>
    </row>
    <row r="83" spans="3:47" x14ac:dyDescent="0.2">
      <c r="C83" s="37" t="s">
        <v>253</v>
      </c>
      <c r="D83" s="38"/>
      <c r="E83" s="38"/>
      <c r="F83" s="38"/>
      <c r="G83" s="39"/>
      <c r="H83" s="622" t="s">
        <v>34</v>
      </c>
      <c r="I83" s="623"/>
      <c r="J83" s="623"/>
      <c r="K83" s="624"/>
      <c r="L83" s="623" t="s">
        <v>34</v>
      </c>
      <c r="M83" s="623"/>
      <c r="N83" s="623"/>
      <c r="O83" s="624"/>
      <c r="P83" s="622" t="s">
        <v>34</v>
      </c>
      <c r="Q83" s="623"/>
      <c r="R83" s="623"/>
      <c r="S83" s="624"/>
      <c r="T83" s="628" t="s">
        <v>68</v>
      </c>
      <c r="U83" s="629"/>
      <c r="V83" s="628" t="s">
        <v>487</v>
      </c>
      <c r="W83" s="630"/>
      <c r="X83" s="630"/>
      <c r="Y83" s="629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413"/>
      <c r="AN83" s="413"/>
      <c r="AO83" s="413"/>
      <c r="AP83" s="414"/>
      <c r="AQ83" s="413"/>
      <c r="AR83" s="413"/>
      <c r="AS83" s="413"/>
      <c r="AT83" s="413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3">W88*1.3</f>
        <v>4.2250000000000005</v>
      </c>
      <c r="X84" s="349">
        <f t="shared" si="63"/>
        <v>4.2250000000000005</v>
      </c>
      <c r="Y84" s="349">
        <f t="shared" si="63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4">31.536*(AK84/1000)</f>
        <v>0.63072000000000006</v>
      </c>
      <c r="AI84" s="65"/>
      <c r="AJ84" s="65">
        <v>2019</v>
      </c>
      <c r="AK84" s="65">
        <v>20</v>
      </c>
      <c r="AM84" s="413"/>
      <c r="AN84" s="413"/>
      <c r="AO84" s="413"/>
      <c r="AP84" s="414"/>
      <c r="AQ84" s="413"/>
      <c r="AR84" s="413"/>
      <c r="AS84" s="413"/>
      <c r="AT84" s="413"/>
      <c r="AU84" s="4"/>
    </row>
    <row r="85" spans="3:47" x14ac:dyDescent="0.2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5">I85*0.7</f>
        <v>0.77</v>
      </c>
      <c r="R85" s="23">
        <f t="shared" ref="R85:R87" si="66">J85*0.7</f>
        <v>0.80499999999999994</v>
      </c>
      <c r="S85" s="57">
        <f t="shared" ref="S85:S87" si="67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68">W89*1.3</f>
        <v>4.2773760330578519</v>
      </c>
      <c r="X85" s="350">
        <f t="shared" si="68"/>
        <v>4.2773760330578519</v>
      </c>
      <c r="Y85" s="350">
        <f t="shared" si="68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4"/>
        <v>0.7884000000000001</v>
      </c>
      <c r="AI85" s="66"/>
      <c r="AJ85" s="66">
        <v>2019</v>
      </c>
      <c r="AK85" s="66">
        <v>25</v>
      </c>
      <c r="AM85" s="413"/>
      <c r="AN85" s="413"/>
      <c r="AO85" s="413"/>
      <c r="AP85" s="414"/>
      <c r="AQ85" s="413"/>
      <c r="AR85" s="413"/>
      <c r="AS85" s="413"/>
      <c r="AT85" s="413"/>
      <c r="AU85" s="4"/>
    </row>
    <row r="86" spans="3:47" x14ac:dyDescent="0.2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5"/>
        <v>0.81899999999999995</v>
      </c>
      <c r="R86" s="29">
        <f t="shared" si="66"/>
        <v>0.84</v>
      </c>
      <c r="S86" s="58">
        <f t="shared" si="67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4"/>
        <v>0.7884000000000001</v>
      </c>
      <c r="AI86" s="65"/>
      <c r="AJ86" s="65">
        <v>2019</v>
      </c>
      <c r="AK86" s="65">
        <v>25</v>
      </c>
      <c r="AU86" s="4"/>
    </row>
    <row r="87" spans="3:47" x14ac:dyDescent="0.2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5"/>
        <v>0.76300000000000001</v>
      </c>
      <c r="R87" s="23">
        <f t="shared" si="66"/>
        <v>0.79099999999999993</v>
      </c>
      <c r="S87" s="57">
        <f t="shared" si="67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4" t="s">
        <v>20</v>
      </c>
      <c r="AN87" s="11"/>
      <c r="AO87" s="11"/>
      <c r="AP87" s="11"/>
      <c r="AQ87" s="11"/>
      <c r="AR87" s="11"/>
      <c r="AS87" s="11"/>
      <c r="AU87" s="4"/>
    </row>
    <row r="88" spans="3:47" ht="25.5" x14ac:dyDescent="0.2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69">3.25</f>
        <v>3.25</v>
      </c>
      <c r="X88" s="349">
        <f t="shared" si="69"/>
        <v>3.25</v>
      </c>
      <c r="Y88" s="349">
        <f t="shared" si="69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4"/>
        <v>0.63072000000000006</v>
      </c>
      <c r="AI88" s="65"/>
      <c r="AJ88" s="65">
        <v>2019</v>
      </c>
      <c r="AK88" s="65">
        <v>20</v>
      </c>
      <c r="AM88" s="12" t="s">
        <v>27</v>
      </c>
      <c r="AN88" s="12" t="s">
        <v>21</v>
      </c>
      <c r="AO88" s="12" t="s">
        <v>22</v>
      </c>
      <c r="AP88" s="12" t="s">
        <v>28</v>
      </c>
      <c r="AQ88" s="12" t="s">
        <v>29</v>
      </c>
      <c r="AR88" s="12" t="s">
        <v>131</v>
      </c>
      <c r="AS88" s="12" t="s">
        <v>30</v>
      </c>
      <c r="AT88" s="12" t="s">
        <v>67</v>
      </c>
      <c r="AU88" s="4"/>
    </row>
    <row r="89" spans="3:47" ht="45" x14ac:dyDescent="0.2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70">I89*0.7</f>
        <v>0.77</v>
      </c>
      <c r="R89" s="23">
        <f t="shared" ref="R89:R91" si="71">J89*0.7</f>
        <v>0.80499999999999994</v>
      </c>
      <c r="S89" s="57">
        <f t="shared" ref="S89:S91" si="72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4"/>
        <v>0.7884000000000001</v>
      </c>
      <c r="AI89" s="66"/>
      <c r="AJ89" s="66">
        <v>2019</v>
      </c>
      <c r="AK89" s="66">
        <v>25</v>
      </c>
      <c r="AM89" s="204" t="s">
        <v>69</v>
      </c>
      <c r="AN89" s="204" t="s">
        <v>70</v>
      </c>
      <c r="AO89" s="204" t="s">
        <v>33</v>
      </c>
      <c r="AP89" s="204" t="s">
        <v>71</v>
      </c>
      <c r="AQ89" s="204" t="s">
        <v>72</v>
      </c>
      <c r="AR89" s="204" t="s">
        <v>683</v>
      </c>
      <c r="AS89" s="204" t="s">
        <v>73</v>
      </c>
      <c r="AT89" s="204" t="s">
        <v>74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70"/>
        <v>0.81899999999999995</v>
      </c>
      <c r="R90" s="29">
        <f t="shared" si="71"/>
        <v>0.84</v>
      </c>
      <c r="S90" s="58">
        <f t="shared" si="72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4"/>
        <v>0.7884000000000001</v>
      </c>
      <c r="AI90" s="65"/>
      <c r="AJ90" s="65">
        <v>2019</v>
      </c>
      <c r="AK90" s="65">
        <v>25</v>
      </c>
      <c r="AM90" s="100" t="s">
        <v>31</v>
      </c>
      <c r="AN90" s="99" t="str">
        <f t="shared" ref="AN90:AN101" si="73">C84</f>
        <v>R-SH_Att_KER_N1</v>
      </c>
      <c r="AO90" s="99" t="str">
        <f t="shared" ref="AO90:AO101" si="74">D84</f>
        <v>Residential Kerosene Heating Oil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70"/>
        <v>0.76300000000000001</v>
      </c>
      <c r="R91" s="23">
        <f t="shared" si="71"/>
        <v>0.79099999999999993</v>
      </c>
      <c r="S91" s="57">
        <f t="shared" si="72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4"/>
        <v>0.7884000000000001</v>
      </c>
      <c r="AI91" s="66"/>
      <c r="AJ91" s="66">
        <v>2019</v>
      </c>
      <c r="AK91" s="66">
        <v>25</v>
      </c>
      <c r="AM91" s="100"/>
      <c r="AN91" s="99" t="str">
        <f t="shared" si="73"/>
        <v>R-SW_Att_KER_N1</v>
      </c>
      <c r="AO91" s="99" t="str">
        <f t="shared" si="74"/>
        <v>Residential Kerosene Heating Oil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4"/>
        <v>0.63072000000000006</v>
      </c>
      <c r="AI92" s="65"/>
      <c r="AJ92" s="65">
        <v>2019</v>
      </c>
      <c r="AK92" s="65">
        <v>20</v>
      </c>
      <c r="AM92" s="100"/>
      <c r="AN92" s="99" t="str">
        <f t="shared" si="73"/>
        <v>R-SW_Att_KER_N2</v>
      </c>
      <c r="AO92" s="99" t="str">
        <f t="shared" si="74"/>
        <v>Residential Kerosene Heating Oil - New 3 SH+WH + Solar</v>
      </c>
      <c r="AP92" s="100" t="s">
        <v>13</v>
      </c>
      <c r="AQ92" s="116" t="s">
        <v>119</v>
      </c>
      <c r="AR92" s="100"/>
      <c r="AT92" s="100" t="s">
        <v>75</v>
      </c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5">I93*0.7</f>
        <v>0.77</v>
      </c>
      <c r="R93" s="23">
        <f t="shared" ref="R93" si="76">J93*0.7</f>
        <v>0.80499999999999994</v>
      </c>
      <c r="S93" s="57">
        <f t="shared" ref="S93" si="77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4"/>
        <v>0.7884000000000001</v>
      </c>
      <c r="AI93" s="66"/>
      <c r="AJ93" s="66">
        <v>2019</v>
      </c>
      <c r="AK93" s="66">
        <v>25</v>
      </c>
      <c r="AM93" s="100"/>
      <c r="AN93" s="99" t="str">
        <f t="shared" si="73"/>
        <v>R-SW_Att_KER_N3</v>
      </c>
      <c r="AO93" s="99" t="str">
        <f t="shared" si="74"/>
        <v>Residential Kerosene Heating Oil - New 3 SH+WH + Wood Stove</v>
      </c>
      <c r="AP93" s="101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4"/>
        <v>0.63072000000000006</v>
      </c>
      <c r="AI94" s="65"/>
      <c r="AJ94" s="65">
        <v>2019</v>
      </c>
      <c r="AK94" s="65">
        <v>20</v>
      </c>
      <c r="AM94" s="100"/>
      <c r="AN94" s="99" t="str">
        <f t="shared" si="73"/>
        <v>R-SH_Att_GAS_N1</v>
      </c>
      <c r="AO94" s="99" t="str">
        <f t="shared" si="74"/>
        <v>Residential Natural Gas Heating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78">H95*0.7</f>
        <v>0.72799999999999998</v>
      </c>
      <c r="Q95" s="23">
        <f t="shared" si="78"/>
        <v>0.76300000000000001</v>
      </c>
      <c r="R95" s="23">
        <f t="shared" si="78"/>
        <v>0.79099999999999993</v>
      </c>
      <c r="S95" s="57">
        <f t="shared" si="78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4"/>
        <v>0.7884000000000001</v>
      </c>
      <c r="AI95" s="66"/>
      <c r="AJ95" s="66">
        <v>2019</v>
      </c>
      <c r="AK95" s="66">
        <v>25</v>
      </c>
      <c r="AM95" s="100"/>
      <c r="AN95" s="99" t="str">
        <f t="shared" si="73"/>
        <v>R-SW_Att_GAS_N1</v>
      </c>
      <c r="AO95" s="99" t="str">
        <f t="shared" si="74"/>
        <v>Residential Natural Gas Heating - New 2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4"/>
        <v>0.63072000000000006</v>
      </c>
      <c r="AI96" s="66"/>
      <c r="AJ96" s="65">
        <v>2018</v>
      </c>
      <c r="AK96" s="66">
        <v>20</v>
      </c>
      <c r="AM96" s="100"/>
      <c r="AN96" s="99" t="str">
        <f t="shared" si="73"/>
        <v>R-SW_Att_GAS_N2</v>
      </c>
      <c r="AO96" s="99" t="str">
        <f t="shared" si="74"/>
        <v>Residential Natural Gas Heating - New 3 SH + WH + Solar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79">H97*0.7</f>
        <v>0.38500000000000001</v>
      </c>
      <c r="Q97" s="23">
        <f t="shared" ref="Q97" si="80">I97*0.7</f>
        <v>0.38500000000000001</v>
      </c>
      <c r="R97" s="23">
        <f t="shared" ref="R97" si="81">J97*0.7</f>
        <v>0.38500000000000001</v>
      </c>
      <c r="S97" s="57">
        <f t="shared" ref="S97" si="82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4"/>
        <v>0.63072000000000006</v>
      </c>
      <c r="AI97" s="66"/>
      <c r="AJ97" s="66">
        <v>2018</v>
      </c>
      <c r="AK97" s="66">
        <v>20</v>
      </c>
      <c r="AM97" s="100"/>
      <c r="AN97" s="99" t="str">
        <f t="shared" si="73"/>
        <v>R-SW_Att_GAS_N3</v>
      </c>
      <c r="AO97" s="99" t="str">
        <f t="shared" si="74"/>
        <v>Residential Natural Gas Heating - New 4 SH + WH + Wood Stove</v>
      </c>
      <c r="AP97" s="100" t="s">
        <v>13</v>
      </c>
      <c r="AQ97" s="116" t="s">
        <v>119</v>
      </c>
      <c r="AR97" s="100"/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3">W84</f>
        <v>4.2250000000000005</v>
      </c>
      <c r="X98" s="62">
        <f t="shared" si="83"/>
        <v>4.2250000000000005</v>
      </c>
      <c r="Y98" s="62">
        <f t="shared" si="83"/>
        <v>4.2250000000000005</v>
      </c>
      <c r="Z98" s="62">
        <f t="shared" si="83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99" t="str">
        <f t="shared" si="73"/>
        <v>R-SH_Att_LPG_N1</v>
      </c>
      <c r="AO98" s="99" t="str">
        <f t="shared" si="74"/>
        <v>Residential Liquid Petroleum Gas- New 1 SH</v>
      </c>
      <c r="AP98" s="100" t="s">
        <v>13</v>
      </c>
      <c r="AQ98" s="116" t="s">
        <v>119</v>
      </c>
      <c r="AR98" s="100"/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78"/>
        <v>0.73499999999999999</v>
      </c>
      <c r="Q99" s="26">
        <f t="shared" si="78"/>
        <v>0.77</v>
      </c>
      <c r="R99" s="26">
        <f t="shared" si="78"/>
        <v>0.80499999999999994</v>
      </c>
      <c r="S99" s="59">
        <f t="shared" si="78"/>
        <v>0.84</v>
      </c>
      <c r="T99" s="55">
        <v>20</v>
      </c>
      <c r="U99" s="28"/>
      <c r="V99" s="62">
        <f>V85</f>
        <v>4.2773760330578519</v>
      </c>
      <c r="W99" s="62">
        <f t="shared" ref="W99:Y99" si="84">W85</f>
        <v>4.2773760330578519</v>
      </c>
      <c r="X99" s="62">
        <f t="shared" si="84"/>
        <v>4.2773760330578519</v>
      </c>
      <c r="Y99" s="62">
        <f t="shared" si="84"/>
        <v>4.2773760330578519</v>
      </c>
      <c r="Z99" s="62">
        <f t="shared" si="83"/>
        <v>0.12</v>
      </c>
      <c r="AA99" s="66"/>
      <c r="AB99" s="44"/>
      <c r="AC99" s="72"/>
      <c r="AD99" s="72"/>
      <c r="AE99" s="72"/>
      <c r="AF99" s="72"/>
      <c r="AG99" s="72"/>
      <c r="AH99" s="63">
        <f t="shared" si="64"/>
        <v>0.7884000000000001</v>
      </c>
      <c r="AI99" s="67"/>
      <c r="AJ99" s="67">
        <v>2019</v>
      </c>
      <c r="AK99" s="67">
        <v>25</v>
      </c>
      <c r="AM99" s="100"/>
      <c r="AN99" s="205" t="str">
        <f t="shared" si="73"/>
        <v>R-SW_Att_LPG_N1</v>
      </c>
      <c r="AO99" s="205" t="str">
        <f t="shared" si="74"/>
        <v>Residential Liquid Petroleum Gas- New 2 SH + WH</v>
      </c>
      <c r="AP99" s="100" t="s">
        <v>13</v>
      </c>
      <c r="AQ99" s="116" t="s">
        <v>119</v>
      </c>
      <c r="AR99" s="100"/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si="73"/>
        <v>R-SH_Att_WOO_N1</v>
      </c>
      <c r="AO100" s="205" t="str">
        <f t="shared" si="74"/>
        <v>Residential Biomass Boiler - New 1 SH</v>
      </c>
      <c r="AP100" s="100" t="s">
        <v>13</v>
      </c>
      <c r="AQ100" s="116" t="s">
        <v>119</v>
      </c>
      <c r="AR100" s="100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4"/>
        <v>0.63072000000000006</v>
      </c>
      <c r="AI101" s="82"/>
      <c r="AJ101" s="82">
        <v>2019</v>
      </c>
      <c r="AK101" s="82">
        <v>20</v>
      </c>
      <c r="AM101" s="100"/>
      <c r="AN101" s="205" t="str">
        <f t="shared" si="73"/>
        <v>R-SW_Att_WOO_N1</v>
      </c>
      <c r="AO101" s="205" t="str">
        <f t="shared" si="74"/>
        <v>Residential Biomass Boiler - New 2 SH + WH</v>
      </c>
      <c r="AP101" s="100" t="s">
        <v>13</v>
      </c>
      <c r="AQ101" s="116" t="s">
        <v>119</v>
      </c>
      <c r="AR101" s="100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">
        <v>542</v>
      </c>
      <c r="AO102" s="205" t="str">
        <f>D96</f>
        <v>Residential  Stove New 1 - SH</v>
      </c>
      <c r="AP102" s="100" t="s">
        <v>13</v>
      </c>
      <c r="AQ102" s="116" t="s">
        <v>119</v>
      </c>
      <c r="AR102" s="100"/>
      <c r="AT102" s="100"/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4"/>
        <v>0.63072000000000006</v>
      </c>
      <c r="AI103" s="516"/>
      <c r="AJ103" s="516">
        <v>2100</v>
      </c>
      <c r="AK103" s="518">
        <v>20</v>
      </c>
      <c r="AM103" s="100"/>
      <c r="AN103" s="205" t="s">
        <v>543</v>
      </c>
      <c r="AO103" s="205" t="str">
        <f>D97</f>
        <v>Residential  Stove with back boiler New 1 - SH +WH</v>
      </c>
      <c r="AP103" s="100" t="s">
        <v>13</v>
      </c>
      <c r="AQ103" s="116" t="s">
        <v>119</v>
      </c>
      <c r="AR103" s="100"/>
      <c r="AT103" s="100"/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5">I104*0.9</f>
        <v>0.96</v>
      </c>
      <c r="N104" s="542">
        <f t="shared" si="85"/>
        <v>1.1100000000000001</v>
      </c>
      <c r="O104" s="579">
        <f t="shared" si="85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4"/>
        <v>0.7884000000000001</v>
      </c>
      <c r="AI104" s="529"/>
      <c r="AJ104" s="529">
        <v>2100</v>
      </c>
      <c r="AK104" s="531">
        <v>25</v>
      </c>
      <c r="AM104" s="100"/>
      <c r="AN104" s="205" t="str">
        <f>C98</f>
        <v>R-SH_Att_BDL_N1</v>
      </c>
      <c r="AO104" s="205" t="str">
        <f>D98</f>
        <v>Residential  Biodiesel boiler  - New 1 SH</v>
      </c>
      <c r="AP104" s="100" t="s">
        <v>13</v>
      </c>
      <c r="AQ104" s="116" t="s">
        <v>119</v>
      </c>
      <c r="AR104" s="100"/>
      <c r="AT104" s="100" t="s">
        <v>75</v>
      </c>
    </row>
    <row r="105" spans="3:46" ht="12" customHeight="1" x14ac:dyDescent="0.25">
      <c r="C105" s="510" t="str">
        <f>"R-SH_Att"&amp;"_"&amp;RIGHT(E105,3)&amp;"_HPN2-AB"</f>
        <v>R-SH_Att_ELC_HPN2-AB</v>
      </c>
      <c r="D105" s="513" t="s">
        <v>759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v>8.5299999999999994</v>
      </c>
      <c r="W105" s="515">
        <f>V105*0.91</f>
        <v>7.7622999999999998</v>
      </c>
      <c r="X105" s="515">
        <f>W105*0.91</f>
        <v>7.0636929999999998</v>
      </c>
      <c r="Y105" s="515">
        <f>V105*0.82</f>
        <v>6.9945999999999993</v>
      </c>
      <c r="Z105" s="514">
        <v>0.1</v>
      </c>
      <c r="AA105" s="516"/>
      <c r="AB105" s="573"/>
      <c r="AC105" s="517"/>
      <c r="AD105" s="517"/>
      <c r="AE105" s="517"/>
      <c r="AF105" s="517"/>
      <c r="AG105" s="577"/>
      <c r="AH105" s="515">
        <f t="shared" si="64"/>
        <v>0.63072000000000006</v>
      </c>
      <c r="AI105" s="516"/>
      <c r="AJ105" s="516">
        <v>2019</v>
      </c>
      <c r="AK105" s="518">
        <v>20</v>
      </c>
      <c r="AM105" s="100"/>
      <c r="AN105" s="205" t="str">
        <f>C99</f>
        <v>R-SW_Att_BDL_N1</v>
      </c>
      <c r="AO105" s="205" t="str">
        <f>D99</f>
        <v>Residential  Biodiesel boiler - New 1 SH + WH</v>
      </c>
      <c r="AP105" s="100" t="s">
        <v>13</v>
      </c>
      <c r="AQ105" s="116" t="s">
        <v>119</v>
      </c>
      <c r="AR105" s="100"/>
      <c r="AT105" s="100" t="s">
        <v>75</v>
      </c>
    </row>
    <row r="106" spans="3:46" ht="12" customHeight="1" x14ac:dyDescent="0.25">
      <c r="C106" s="519" t="str">
        <f>"R-SH_Att"&amp;"_"&amp;RIGHT(E106,3)&amp;"_HPN2-ABC"</f>
        <v>R-SH_Att_ELC_HPN2-ABC</v>
      </c>
      <c r="D106" s="23" t="s">
        <v>758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8.5299999999999994</v>
      </c>
      <c r="W106" s="63">
        <v>7.7622999999999998</v>
      </c>
      <c r="X106" s="63">
        <v>7.0636929999999998</v>
      </c>
      <c r="Y106" s="63">
        <v>6.9945999999999993</v>
      </c>
      <c r="Z106" s="58">
        <v>0.1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>C101</f>
        <v>R-SH_Att_ELC_N1</v>
      </c>
      <c r="AO106" s="205" t="str">
        <f>D101</f>
        <v>Residential Electric Heater - New 1 SH</v>
      </c>
      <c r="AP106" s="100" t="s">
        <v>13</v>
      </c>
      <c r="AQ106" s="116" t="s">
        <v>119</v>
      </c>
      <c r="AR106" s="100"/>
      <c r="AT106" s="100" t="s">
        <v>75</v>
      </c>
    </row>
    <row r="107" spans="3:46" ht="12" customHeight="1" x14ac:dyDescent="0.25">
      <c r="C107" s="521" t="str">
        <f>"R-SH_Att"&amp;"_"&amp;RIGHT(E107,3)&amp;"_HPN2-ABD"</f>
        <v>R-SH_Att_ELC_HPN2-ABD</v>
      </c>
      <c r="D107" s="29" t="s">
        <v>760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8.5299999999999994</v>
      </c>
      <c r="W107" s="62">
        <v>7.7622999999999998</v>
      </c>
      <c r="X107" s="62">
        <v>7.0636929999999998</v>
      </c>
      <c r="Y107" s="62">
        <v>6.9945999999999993</v>
      </c>
      <c r="Z107" s="58">
        <v>0.1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ref="AN107:AO109" si="86">C103</f>
        <v>R-SH_Att_ELC_HPN1</v>
      </c>
      <c r="AO107" s="205" t="str">
        <f t="shared" si="86"/>
        <v>Residential Electric Heat Pump - Air to Air - SH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x14ac:dyDescent="0.25">
      <c r="C108" s="519" t="str">
        <f>"R-SH_Att"&amp;"_"&amp;RIGHT(E108,3)&amp;"_HPN2-ABE"</f>
        <v>R-SH_Att_ELC_HPN2-ABE</v>
      </c>
      <c r="D108" s="23" t="s">
        <v>761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8.5299999999999994</v>
      </c>
      <c r="W108" s="63">
        <v>7.7622999999999998</v>
      </c>
      <c r="X108" s="63">
        <v>7.0636929999999998</v>
      </c>
      <c r="Y108" s="63">
        <v>6.9945999999999993</v>
      </c>
      <c r="Z108" s="58">
        <v>0.1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6"/>
        <v>R-HC_Att_ELC_HPN1</v>
      </c>
      <c r="AO108" s="205" t="str">
        <f t="shared" si="86"/>
        <v>Residential Electric Heat Pump - Air to Air - SH + SC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x14ac:dyDescent="0.25">
      <c r="C109" s="521" t="str">
        <f>"R-SH_Att"&amp;"_"&amp;RIGHT(E109,3)&amp;"_HPN2-ABF"</f>
        <v>R-SH_Att_ELC_HPN2-ABF</v>
      </c>
      <c r="D109" s="29" t="s">
        <v>782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8.5299999999999994</v>
      </c>
      <c r="W109" s="62">
        <v>7.7622999999999998</v>
      </c>
      <c r="X109" s="62">
        <v>7.0636929999999998</v>
      </c>
      <c r="Y109" s="62">
        <v>6.9945999999999993</v>
      </c>
      <c r="Z109" s="58">
        <v>0.1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6"/>
        <v>R-SH_Att_ELC_HPN2-AB</v>
      </c>
      <c r="AO109" s="205" t="str">
        <f t="shared" si="86"/>
        <v>Residential Electric Heat Pump AB - Air to Water - SH - AB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x14ac:dyDescent="0.25">
      <c r="C110" s="519" t="str">
        <f>"R-SH_Att"&amp;"_"&amp;RIGHT(E110,3)&amp;"_HPN2-ABG"</f>
        <v>R-SH_Att_ELC_HPN2-ABG</v>
      </c>
      <c r="D110" s="23" t="s">
        <v>763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8.5299999999999994</v>
      </c>
      <c r="W110" s="63">
        <v>7.7622999999999998</v>
      </c>
      <c r="X110" s="63">
        <v>7.0636929999999998</v>
      </c>
      <c r="Y110" s="63">
        <v>6.9945999999999993</v>
      </c>
      <c r="Z110" s="58">
        <v>0.1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ref="AN110:AO110" si="87">C106</f>
        <v>R-SH_Att_ELC_HPN2-ABC</v>
      </c>
      <c r="AO110" s="205" t="str">
        <f t="shared" si="87"/>
        <v>Residential Electric Heat Pump AB - Air to Water - SH - C rated dwelling</v>
      </c>
      <c r="AP110" s="100" t="s">
        <v>13</v>
      </c>
      <c r="AQ110" s="116" t="s">
        <v>119</v>
      </c>
      <c r="AR110" s="100" t="s">
        <v>684</v>
      </c>
      <c r="AS110" s="4"/>
      <c r="AT110" s="100" t="s">
        <v>75</v>
      </c>
    </row>
    <row r="111" spans="3:46" ht="12" customHeight="1" x14ac:dyDescent="0.25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 t="shared" ref="V111:Y115" si="88">V26/$V$20*$V$105</f>
        <v>9.0658469361649114</v>
      </c>
      <c r="W111" s="62">
        <f t="shared" si="88"/>
        <v>9.0658469361649114</v>
      </c>
      <c r="X111" s="62">
        <f t="shared" si="88"/>
        <v>8.2128469361649117</v>
      </c>
      <c r="Y111" s="62">
        <f t="shared" si="88"/>
        <v>8.2128469361649117</v>
      </c>
      <c r="Z111" s="58">
        <v>0.1</v>
      </c>
      <c r="AA111" s="65"/>
      <c r="AB111" s="42"/>
      <c r="AC111" s="71"/>
      <c r="AD111" s="71"/>
      <c r="AE111" s="71"/>
      <c r="AF111" s="71"/>
      <c r="AG111" s="209"/>
      <c r="AH111" s="62">
        <f t="shared" si="64"/>
        <v>0.63072000000000006</v>
      </c>
      <c r="AI111" s="65"/>
      <c r="AJ111" s="65">
        <v>2019</v>
      </c>
      <c r="AK111" s="522">
        <v>20</v>
      </c>
      <c r="AM111" s="100"/>
      <c r="AN111" s="205" t="str">
        <f t="shared" ref="AN111:AO111" si="89">C107</f>
        <v>R-SH_Att_ELC_HPN2-ABD</v>
      </c>
      <c r="AO111" s="205" t="str">
        <f t="shared" si="89"/>
        <v>Residential Electric Heat Pump AB - Air to Water - SH - D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x14ac:dyDescent="0.25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88"/>
        <v>9.6016938723298253</v>
      </c>
      <c r="W112" s="63">
        <f t="shared" si="88"/>
        <v>9.6016938723298253</v>
      </c>
      <c r="X112" s="63">
        <f t="shared" si="88"/>
        <v>8.7486938723298238</v>
      </c>
      <c r="Y112" s="63">
        <f t="shared" si="88"/>
        <v>8.7486938723298238</v>
      </c>
      <c r="Z112" s="58">
        <v>0.1</v>
      </c>
      <c r="AA112" s="66"/>
      <c r="AB112" s="44"/>
      <c r="AC112" s="72"/>
      <c r="AD112" s="72"/>
      <c r="AE112" s="72"/>
      <c r="AF112" s="72"/>
      <c r="AG112" s="66"/>
      <c r="AH112" s="63">
        <f t="shared" si="64"/>
        <v>0.63072000000000006</v>
      </c>
      <c r="AI112" s="66"/>
      <c r="AJ112" s="66">
        <v>2019</v>
      </c>
      <c r="AK112" s="520">
        <v>20</v>
      </c>
      <c r="AM112" s="100"/>
      <c r="AN112" s="205" t="str">
        <f t="shared" ref="AN112:AO112" si="90">C108</f>
        <v>R-SH_Att_ELC_HPN2-ABE</v>
      </c>
      <c r="AO112" s="205" t="str">
        <f t="shared" si="90"/>
        <v>Residential Electric Heat Pump AB - Air to Water - SH - E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x14ac:dyDescent="0.25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88"/>
        <v>10.15377859443913</v>
      </c>
      <c r="W113" s="63">
        <f t="shared" si="88"/>
        <v>10.15377859443913</v>
      </c>
      <c r="X113" s="63">
        <f t="shared" si="88"/>
        <v>9.3007785944391301</v>
      </c>
      <c r="Y113" s="63">
        <f t="shared" si="88"/>
        <v>9.3007785944391301</v>
      </c>
      <c r="Z113" s="58">
        <v>0.1</v>
      </c>
      <c r="AA113" s="66"/>
      <c r="AB113" s="44"/>
      <c r="AC113" s="72"/>
      <c r="AD113" s="72"/>
      <c r="AE113" s="72"/>
      <c r="AF113" s="72"/>
      <c r="AG113" s="66"/>
      <c r="AH113" s="63">
        <f t="shared" si="64"/>
        <v>0.63072000000000006</v>
      </c>
      <c r="AI113" s="66"/>
      <c r="AJ113" s="66">
        <v>2019</v>
      </c>
      <c r="AK113" s="520">
        <v>20</v>
      </c>
      <c r="AM113" s="100"/>
      <c r="AN113" s="205" t="str">
        <f t="shared" ref="AN113:AO113" si="91">C109</f>
        <v>R-SH_Att_ELC_HPN2-ABF</v>
      </c>
      <c r="AO113" s="205" t="str">
        <f t="shared" si="91"/>
        <v>Residential Electric Heat Pump AB - Air to Water - SH - F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x14ac:dyDescent="0.25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88"/>
        <v>10.323910071225503</v>
      </c>
      <c r="W114" s="62">
        <f t="shared" si="88"/>
        <v>10.323910071225503</v>
      </c>
      <c r="X114" s="62">
        <f t="shared" si="88"/>
        <v>9.4709100712255037</v>
      </c>
      <c r="Y114" s="62">
        <f t="shared" si="88"/>
        <v>9.4709100712255037</v>
      </c>
      <c r="Z114" s="58">
        <v>0.1</v>
      </c>
      <c r="AA114" s="65"/>
      <c r="AB114" s="42"/>
      <c r="AC114" s="71"/>
      <c r="AD114" s="71"/>
      <c r="AE114" s="71"/>
      <c r="AF114" s="71"/>
      <c r="AG114" s="209"/>
      <c r="AH114" s="62">
        <f t="shared" si="64"/>
        <v>0.63072000000000006</v>
      </c>
      <c r="AI114" s="65"/>
      <c r="AJ114" s="65">
        <v>2019</v>
      </c>
      <c r="AK114" s="522">
        <v>20</v>
      </c>
      <c r="AM114" s="100"/>
      <c r="AN114" s="205" t="str">
        <f t="shared" ref="AN114:AO114" si="92">C110</f>
        <v>R-SH_Att_ELC_HPN2-ABG</v>
      </c>
      <c r="AO114" s="205" t="str">
        <f t="shared" si="92"/>
        <v>Residential Electric Heat Pump AB - Air to Water - SH - G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88"/>
        <v>10.494041548011877</v>
      </c>
      <c r="W115" s="528">
        <f t="shared" si="88"/>
        <v>10.494041548011877</v>
      </c>
      <c r="X115" s="528">
        <f t="shared" si="88"/>
        <v>9.6410415480118754</v>
      </c>
      <c r="Y115" s="528">
        <f t="shared" si="88"/>
        <v>9.6410415480118754</v>
      </c>
      <c r="Z115" s="582">
        <v>0.1</v>
      </c>
      <c r="AA115" s="529"/>
      <c r="AB115" s="578"/>
      <c r="AC115" s="530"/>
      <c r="AD115" s="530"/>
      <c r="AE115" s="530"/>
      <c r="AF115" s="530"/>
      <c r="AG115" s="529"/>
      <c r="AH115" s="528">
        <f t="shared" si="64"/>
        <v>0.63072000000000006</v>
      </c>
      <c r="AI115" s="529"/>
      <c r="AJ115" s="529">
        <v>2019</v>
      </c>
      <c r="AK115" s="531">
        <v>20</v>
      </c>
      <c r="AM115" s="100"/>
      <c r="AN115" s="205" t="str">
        <f t="shared" ref="AN115:AO120" si="93">C111</f>
        <v>R-SH_Att_ELC_HPN2-C</v>
      </c>
      <c r="AO115" s="205" t="str">
        <f t="shared" si="93"/>
        <v>Residential Electric Heat Pump - Air to Water - SH - C rated dwelling</v>
      </c>
      <c r="AP115" s="100" t="s">
        <v>13</v>
      </c>
      <c r="AQ115" s="116" t="s">
        <v>119</v>
      </c>
      <c r="AR115" s="100" t="s">
        <v>684</v>
      </c>
      <c r="AT115" s="100" t="s">
        <v>75</v>
      </c>
      <c r="AU115" s="4"/>
    </row>
    <row r="116" spans="3:47" ht="12" customHeight="1" x14ac:dyDescent="0.25">
      <c r="C116" s="510" t="str">
        <f>"R-SW_Att"&amp;"_"&amp;RIGHT(E116,3)&amp;"_HPN1-AB"</f>
        <v>R-SW_Att_ELC_HPN1-AB</v>
      </c>
      <c r="D116" s="513" t="s">
        <v>746</v>
      </c>
      <c r="E116" s="511" t="s">
        <v>144</v>
      </c>
      <c r="F116" s="511" t="s">
        <v>565</v>
      </c>
      <c r="G116" s="514" t="s">
        <v>766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4">I116*0.7</f>
        <v>0.76999999999999991</v>
      </c>
      <c r="R116" s="513">
        <f t="shared" ref="R116:R137" si="95">J116*0.7</f>
        <v>0.86333333333333329</v>
      </c>
      <c r="S116" s="514">
        <f t="shared" ref="S116:S137" si="96">K116*0.7</f>
        <v>0.93333333333333324</v>
      </c>
      <c r="T116" s="575">
        <v>20</v>
      </c>
      <c r="U116" s="576"/>
      <c r="V116" s="515">
        <f>V105*($U$287/$U$286)</f>
        <v>8.6019831223628689</v>
      </c>
      <c r="W116" s="515">
        <f>W105*($U$287/$U$286)</f>
        <v>7.8278046413502116</v>
      </c>
      <c r="X116" s="515">
        <f>X105*($U$287/$U$286)</f>
        <v>7.1233022236286923</v>
      </c>
      <c r="Y116" s="515">
        <f>Y105*($U$287/$U$286)</f>
        <v>7.0536261603375525</v>
      </c>
      <c r="Z116" s="514">
        <v>0.1</v>
      </c>
      <c r="AA116" s="516"/>
      <c r="AB116" s="573"/>
      <c r="AC116" s="517"/>
      <c r="AD116" s="517"/>
      <c r="AE116" s="517"/>
      <c r="AF116" s="517"/>
      <c r="AG116" s="577"/>
      <c r="AH116" s="515">
        <f t="shared" si="64"/>
        <v>0.7884000000000001</v>
      </c>
      <c r="AI116" s="516"/>
      <c r="AJ116" s="516">
        <v>2019</v>
      </c>
      <c r="AK116" s="518">
        <v>25</v>
      </c>
      <c r="AM116" s="100"/>
      <c r="AN116" s="205" t="str">
        <f t="shared" si="93"/>
        <v>R-SH_Att_ELC_HPN2-D</v>
      </c>
      <c r="AO116" s="205" t="str">
        <f t="shared" si="93"/>
        <v>Residential Electric Heat Pump - Air to Water - SH - Drated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x14ac:dyDescent="0.25">
      <c r="C117" s="519" t="str">
        <f>"R-SW_Att"&amp;"_"&amp;RIGHT(E117,3)&amp;"_HPN1-ABC"</f>
        <v>R-SW_Att_ELC_HPN1-ABC</v>
      </c>
      <c r="D117" s="23" t="s">
        <v>747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8.6019831223628689</v>
      </c>
      <c r="W117" s="63">
        <v>7.8278046413502116</v>
      </c>
      <c r="X117" s="63">
        <v>7.1233022236286923</v>
      </c>
      <c r="Y117" s="63">
        <v>7.0536261603375525</v>
      </c>
      <c r="Z117" s="58">
        <v>0.1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97">31.536*(AK117/1000)</f>
        <v>0.7884000000000001</v>
      </c>
      <c r="AI117" s="66"/>
      <c r="AJ117" s="66">
        <v>2019</v>
      </c>
      <c r="AK117" s="520">
        <v>25</v>
      </c>
      <c r="AM117" s="100"/>
      <c r="AN117" s="205" t="str">
        <f t="shared" si="93"/>
        <v>R-SH_Att_ELC_HPN2-E</v>
      </c>
      <c r="AO117" s="205" t="str">
        <f t="shared" si="93"/>
        <v>Residential Electric Heat Pump - Air to Water - SH - E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x14ac:dyDescent="0.25">
      <c r="C118" s="521" t="str">
        <f>"R-SW_Att"&amp;"_"&amp;RIGHT(E118,3)&amp;"_HPN1-ABD"</f>
        <v>R-SW_Att_ELC_HPN1-ABD</v>
      </c>
      <c r="D118" s="29" t="s">
        <v>748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8.6019831223628689</v>
      </c>
      <c r="W118" s="62">
        <v>7.8278046413502116</v>
      </c>
      <c r="X118" s="62">
        <v>7.1233022236286923</v>
      </c>
      <c r="Y118" s="62">
        <v>7.0536261603375525</v>
      </c>
      <c r="Z118" s="58">
        <v>0.1</v>
      </c>
      <c r="AA118" s="65"/>
      <c r="AB118" s="42"/>
      <c r="AC118" s="71"/>
      <c r="AD118" s="71"/>
      <c r="AE118" s="71"/>
      <c r="AF118" s="71"/>
      <c r="AG118" s="209"/>
      <c r="AH118" s="62">
        <f t="shared" si="97"/>
        <v>0.7884000000000001</v>
      </c>
      <c r="AI118" s="65"/>
      <c r="AJ118" s="65">
        <v>2019</v>
      </c>
      <c r="AK118" s="522">
        <v>25</v>
      </c>
      <c r="AM118" s="100"/>
      <c r="AN118" s="205" t="str">
        <f t="shared" si="93"/>
        <v>R-SH_Att_ELC_HPN2-F</v>
      </c>
      <c r="AO118" s="205" t="str">
        <f t="shared" si="93"/>
        <v>Residential Electric Heat Pump - Air to Water - SH - F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x14ac:dyDescent="0.25">
      <c r="C119" s="519" t="str">
        <f>"R-SW_Att"&amp;"_"&amp;RIGHT(E119,3)&amp;"_HPN1-ABE"</f>
        <v>R-SW_Att_ELC_HPN1-ABE</v>
      </c>
      <c r="D119" s="23" t="s">
        <v>749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8.6019831223628689</v>
      </c>
      <c r="W119" s="63">
        <v>7.8278046413502116</v>
      </c>
      <c r="X119" s="63">
        <v>7.1233022236286923</v>
      </c>
      <c r="Y119" s="63">
        <v>7.0536261603375525</v>
      </c>
      <c r="Z119" s="58">
        <v>0.1</v>
      </c>
      <c r="AA119" s="66"/>
      <c r="AB119" s="44"/>
      <c r="AC119" s="72"/>
      <c r="AD119" s="72"/>
      <c r="AE119" s="72"/>
      <c r="AF119" s="72"/>
      <c r="AG119" s="66"/>
      <c r="AH119" s="63">
        <f t="shared" si="97"/>
        <v>0.7884000000000001</v>
      </c>
      <c r="AI119" s="66"/>
      <c r="AJ119" s="66">
        <v>2019</v>
      </c>
      <c r="AK119" s="520">
        <v>25</v>
      </c>
      <c r="AM119" s="100"/>
      <c r="AN119" s="205" t="str">
        <f t="shared" si="93"/>
        <v>R-SH_Att_ELC_HPN2-G</v>
      </c>
      <c r="AO119" s="205" t="str">
        <f t="shared" si="93"/>
        <v>Residential Electric Heat Pump - Air to Water - SH - G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x14ac:dyDescent="0.25">
      <c r="C120" s="521" t="str">
        <f>"R-SW_Att"&amp;"_"&amp;RIGHT(E120,3)&amp;"_HPN1-ABF"</f>
        <v>R-SW_Att_ELC_HPN1-ABF</v>
      </c>
      <c r="D120" s="29" t="s">
        <v>750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8.6019831223628689</v>
      </c>
      <c r="W120" s="62">
        <v>7.8278046413502116</v>
      </c>
      <c r="X120" s="62">
        <v>7.1233022236286923</v>
      </c>
      <c r="Y120" s="62">
        <v>7.0536261603375525</v>
      </c>
      <c r="Z120" s="58">
        <v>0.1</v>
      </c>
      <c r="AA120" s="65"/>
      <c r="AB120" s="42"/>
      <c r="AC120" s="71"/>
      <c r="AD120" s="71"/>
      <c r="AE120" s="71"/>
      <c r="AF120" s="71"/>
      <c r="AG120" s="209"/>
      <c r="AH120" s="62">
        <f t="shared" si="97"/>
        <v>0.7884000000000001</v>
      </c>
      <c r="AI120" s="65"/>
      <c r="AJ120" s="65">
        <v>2019</v>
      </c>
      <c r="AK120" s="522">
        <v>25</v>
      </c>
      <c r="AM120" s="100"/>
      <c r="AN120" s="205" t="str">
        <f t="shared" si="93"/>
        <v>R-SW_Att_ELC_HPN1-AB</v>
      </c>
      <c r="AO120" s="205" t="str">
        <f t="shared" si="93"/>
        <v>Residential Electric Heat Pump AB - Air to Water - SH + WH - AB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x14ac:dyDescent="0.25">
      <c r="C121" s="519" t="str">
        <f>"R-SW_Att"&amp;"_"&amp;RIGHT(E121,3)&amp;"_HPN1-ABG"</f>
        <v>R-SW_Att_ELC_HPN1-ABG</v>
      </c>
      <c r="D121" s="23" t="s">
        <v>751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8.6019831223628689</v>
      </c>
      <c r="W121" s="63">
        <v>7.8278046413502116</v>
      </c>
      <c r="X121" s="63">
        <v>7.1233022236286923</v>
      </c>
      <c r="Y121" s="63">
        <v>7.0536261603375525</v>
      </c>
      <c r="Z121" s="58">
        <v>0.1</v>
      </c>
      <c r="AA121" s="66"/>
      <c r="AB121" s="44"/>
      <c r="AC121" s="72"/>
      <c r="AD121" s="72"/>
      <c r="AE121" s="72"/>
      <c r="AF121" s="72"/>
      <c r="AG121" s="66"/>
      <c r="AH121" s="63">
        <f t="shared" si="97"/>
        <v>0.7884000000000001</v>
      </c>
      <c r="AI121" s="66"/>
      <c r="AJ121" s="66">
        <v>2019</v>
      </c>
      <c r="AK121" s="520">
        <v>25</v>
      </c>
      <c r="AM121" s="100"/>
      <c r="AN121" s="205" t="str">
        <f t="shared" ref="AN121:AO121" si="98">C117</f>
        <v>R-SW_Att_ELC_HPN1-ABC</v>
      </c>
      <c r="AO121" s="205" t="str">
        <f t="shared" si="98"/>
        <v>Residential Electric Heat Pump AB - Air to Water - SH + WH - C rated dwelling</v>
      </c>
      <c r="AP121" s="100" t="s">
        <v>13</v>
      </c>
      <c r="AQ121" s="116" t="s">
        <v>119</v>
      </c>
      <c r="AR121" s="100" t="s">
        <v>684</v>
      </c>
      <c r="AS121" s="4"/>
      <c r="AT121" s="100" t="s">
        <v>75</v>
      </c>
    </row>
    <row r="122" spans="3:47" ht="12" customHeight="1" x14ac:dyDescent="0.25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99">H111</f>
        <v>0.92642642642642636</v>
      </c>
      <c r="I122" s="29">
        <f t="shared" si="99"/>
        <v>1.0190690690690689</v>
      </c>
      <c r="J122" s="29">
        <f t="shared" si="99"/>
        <v>1.1425925925925926</v>
      </c>
      <c r="K122" s="58">
        <f t="shared" si="99"/>
        <v>1.2352352352352352</v>
      </c>
      <c r="L122" s="42"/>
      <c r="M122" s="31"/>
      <c r="N122" s="31"/>
      <c r="O122" s="43"/>
      <c r="P122" s="40">
        <f t="shared" ref="P122:P126" si="100">H122*0.7</f>
        <v>0.64849849849849839</v>
      </c>
      <c r="Q122" s="29">
        <f t="shared" si="94"/>
        <v>0.71334834834834815</v>
      </c>
      <c r="R122" s="29">
        <f t="shared" si="95"/>
        <v>0.79981481481481476</v>
      </c>
      <c r="S122" s="58">
        <f t="shared" si="96"/>
        <v>0.86466466466466452</v>
      </c>
      <c r="T122" s="54">
        <v>20</v>
      </c>
      <c r="U122" s="41"/>
      <c r="V122" s="62">
        <f t="shared" ref="V122:Y126" si="101">V26/$V$20*$V$116</f>
        <v>9.1423519736009027</v>
      </c>
      <c r="W122" s="62">
        <f t="shared" si="101"/>
        <v>9.1423519736009027</v>
      </c>
      <c r="X122" s="62">
        <f t="shared" si="101"/>
        <v>8.2821536613646174</v>
      </c>
      <c r="Y122" s="62">
        <f t="shared" si="101"/>
        <v>8.2821536613646174</v>
      </c>
      <c r="Z122" s="58">
        <v>0.1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65">
        <v>2019</v>
      </c>
      <c r="AK122" s="522">
        <v>25</v>
      </c>
      <c r="AM122" s="100"/>
      <c r="AN122" s="205" t="str">
        <f t="shared" ref="AN122:AO122" si="102">C118</f>
        <v>R-SW_Att_ELC_HPN1-ABD</v>
      </c>
      <c r="AO122" s="205" t="str">
        <f t="shared" si="102"/>
        <v>Residential Electric Heat Pump AB - Air to Water - SH + WH - D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x14ac:dyDescent="0.25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99"/>
        <v>0.85285285285285284</v>
      </c>
      <c r="I123" s="23">
        <f t="shared" si="99"/>
        <v>0.93813813813813796</v>
      </c>
      <c r="J123" s="23">
        <f t="shared" si="99"/>
        <v>1.0518518518518518</v>
      </c>
      <c r="K123" s="57">
        <f t="shared" si="99"/>
        <v>1.137137137137137</v>
      </c>
      <c r="L123" s="44"/>
      <c r="M123" s="32"/>
      <c r="N123" s="32"/>
      <c r="O123" s="45"/>
      <c r="P123" s="22">
        <f t="shared" si="100"/>
        <v>0.59699699699699693</v>
      </c>
      <c r="Q123" s="23">
        <f t="shared" si="94"/>
        <v>0.6566966966966965</v>
      </c>
      <c r="R123" s="23">
        <f t="shared" si="95"/>
        <v>0.73629629629629623</v>
      </c>
      <c r="S123" s="57">
        <f t="shared" si="96"/>
        <v>0.79599599599599591</v>
      </c>
      <c r="T123" s="53">
        <v>20</v>
      </c>
      <c r="U123" s="25"/>
      <c r="V123" s="63">
        <f t="shared" si="101"/>
        <v>9.6827208248389383</v>
      </c>
      <c r="W123" s="63">
        <f t="shared" si="101"/>
        <v>9.6827208248389383</v>
      </c>
      <c r="X123" s="63">
        <f t="shared" si="101"/>
        <v>8.8225225126026512</v>
      </c>
      <c r="Y123" s="63">
        <f t="shared" si="101"/>
        <v>8.8225225126026512</v>
      </c>
      <c r="Z123" s="58">
        <v>0.1</v>
      </c>
      <c r="AA123" s="66"/>
      <c r="AB123" s="44"/>
      <c r="AC123" s="72"/>
      <c r="AD123" s="72"/>
      <c r="AE123" s="72"/>
      <c r="AF123" s="72"/>
      <c r="AG123" s="66"/>
      <c r="AH123" s="63">
        <f t="shared" si="64"/>
        <v>0.7884000000000001</v>
      </c>
      <c r="AI123" s="66"/>
      <c r="AJ123" s="66">
        <v>2019</v>
      </c>
      <c r="AK123" s="520">
        <v>25</v>
      </c>
      <c r="AM123" s="100"/>
      <c r="AN123" s="205" t="str">
        <f t="shared" ref="AN123:AO123" si="103">C119</f>
        <v>R-SW_Att_ELC_HPN1-ABE</v>
      </c>
      <c r="AO123" s="205" t="str">
        <f t="shared" si="103"/>
        <v>Residential Electric Heat Pump AB - Air to Water - SH + WH - E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x14ac:dyDescent="0.25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99"/>
        <v>0.80380380380380378</v>
      </c>
      <c r="I124" s="29">
        <f t="shared" si="99"/>
        <v>0.8841841841841841</v>
      </c>
      <c r="J124" s="29">
        <f t="shared" si="99"/>
        <v>0.99135802469135803</v>
      </c>
      <c r="K124" s="58">
        <f t="shared" si="99"/>
        <v>1.0717384050717382</v>
      </c>
      <c r="L124" s="42"/>
      <c r="M124" s="31"/>
      <c r="N124" s="31"/>
      <c r="O124" s="43"/>
      <c r="P124" s="40">
        <f t="shared" si="100"/>
        <v>0.56266266266266263</v>
      </c>
      <c r="Q124" s="29">
        <f t="shared" si="94"/>
        <v>0.61892892892892881</v>
      </c>
      <c r="R124" s="29">
        <f t="shared" si="95"/>
        <v>0.69395061728395058</v>
      </c>
      <c r="S124" s="58">
        <f t="shared" si="96"/>
        <v>0.75021688355021676</v>
      </c>
      <c r="T124" s="54">
        <v>20</v>
      </c>
      <c r="U124" s="41"/>
      <c r="V124" s="62">
        <f t="shared" si="101"/>
        <v>10.239464489750853</v>
      </c>
      <c r="W124" s="62">
        <f t="shared" si="101"/>
        <v>10.239464489750853</v>
      </c>
      <c r="X124" s="62">
        <f t="shared" si="101"/>
        <v>9.379266177514566</v>
      </c>
      <c r="Y124" s="62">
        <f t="shared" si="101"/>
        <v>9.379266177514566</v>
      </c>
      <c r="Z124" s="58">
        <v>0.1</v>
      </c>
      <c r="AA124" s="65"/>
      <c r="AB124" s="42"/>
      <c r="AC124" s="71"/>
      <c r="AD124" s="71"/>
      <c r="AE124" s="71"/>
      <c r="AF124" s="71"/>
      <c r="AG124" s="209"/>
      <c r="AH124" s="62">
        <f t="shared" si="64"/>
        <v>0.7884000000000001</v>
      </c>
      <c r="AI124" s="65"/>
      <c r="AJ124" s="65">
        <v>2019</v>
      </c>
      <c r="AK124" s="522">
        <v>25</v>
      </c>
      <c r="AM124" s="205"/>
      <c r="AN124" s="205" t="str">
        <f t="shared" ref="AN124:AO124" si="104">C120</f>
        <v>R-SW_Att_ELC_HPN1-ABF</v>
      </c>
      <c r="AO124" s="205" t="str">
        <f t="shared" si="104"/>
        <v>Residential Electric Heat Pump AB - Air to Water - SH + WH - F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x14ac:dyDescent="0.25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99"/>
        <v>0.75475475475475473</v>
      </c>
      <c r="I125" s="23">
        <f t="shared" si="99"/>
        <v>0.83023023023023013</v>
      </c>
      <c r="J125" s="23">
        <f t="shared" si="99"/>
        <v>0.93086419753086425</v>
      </c>
      <c r="K125" s="57">
        <f t="shared" si="99"/>
        <v>1.0063396730063396</v>
      </c>
      <c r="L125" s="44"/>
      <c r="M125" s="32"/>
      <c r="N125" s="32"/>
      <c r="O125" s="45"/>
      <c r="P125" s="22">
        <f t="shared" si="100"/>
        <v>0.52832832832832832</v>
      </c>
      <c r="Q125" s="23">
        <f t="shared" si="94"/>
        <v>0.58116116116116101</v>
      </c>
      <c r="R125" s="23">
        <f t="shared" si="95"/>
        <v>0.65160493827160493</v>
      </c>
      <c r="S125" s="57">
        <f t="shared" si="96"/>
        <v>0.70443777110443773</v>
      </c>
      <c r="T125" s="53">
        <v>20</v>
      </c>
      <c r="U125" s="25"/>
      <c r="V125" s="63">
        <f t="shared" si="101"/>
        <v>10.411031675202091</v>
      </c>
      <c r="W125" s="63">
        <f t="shared" si="101"/>
        <v>10.411031675202091</v>
      </c>
      <c r="X125" s="63">
        <f t="shared" si="101"/>
        <v>9.5508333629658022</v>
      </c>
      <c r="Y125" s="63">
        <f t="shared" si="101"/>
        <v>9.5508333629658022</v>
      </c>
      <c r="Z125" s="58">
        <v>0.1</v>
      </c>
      <c r="AA125" s="66"/>
      <c r="AB125" s="44"/>
      <c r="AC125" s="72"/>
      <c r="AD125" s="72"/>
      <c r="AE125" s="72"/>
      <c r="AF125" s="72"/>
      <c r="AG125" s="66"/>
      <c r="AH125" s="63">
        <f t="shared" si="64"/>
        <v>0.7884000000000001</v>
      </c>
      <c r="AI125" s="66"/>
      <c r="AJ125" s="66">
        <v>2019</v>
      </c>
      <c r="AK125" s="520">
        <v>25</v>
      </c>
      <c r="AM125" s="205"/>
      <c r="AN125" s="205" t="str">
        <f t="shared" ref="AN125:AO125" si="105">C121</f>
        <v>R-SW_Att_ELC_HPN1-ABG</v>
      </c>
      <c r="AO125" s="205" t="str">
        <f t="shared" si="105"/>
        <v>Residential Electric Heat Pump AB - Air to Water - SH + WH - G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99"/>
        <v>0.70570570570570568</v>
      </c>
      <c r="I126" s="548">
        <f t="shared" si="99"/>
        <v>0.77627627627627616</v>
      </c>
      <c r="J126" s="548">
        <f t="shared" si="99"/>
        <v>0.87037037037037035</v>
      </c>
      <c r="K126" s="582">
        <f t="shared" si="99"/>
        <v>0.94094094094094083</v>
      </c>
      <c r="L126" s="584"/>
      <c r="M126" s="550"/>
      <c r="N126" s="550"/>
      <c r="O126" s="585"/>
      <c r="P126" s="583">
        <f t="shared" si="100"/>
        <v>0.49399399399399396</v>
      </c>
      <c r="Q126" s="548">
        <f t="shared" si="94"/>
        <v>0.54339339339339332</v>
      </c>
      <c r="R126" s="548">
        <f t="shared" si="95"/>
        <v>0.60925925925925917</v>
      </c>
      <c r="S126" s="582">
        <f t="shared" si="96"/>
        <v>0.65865865865865858</v>
      </c>
      <c r="T126" s="586">
        <v>20</v>
      </c>
      <c r="U126" s="587"/>
      <c r="V126" s="588">
        <f t="shared" si="101"/>
        <v>10.582598860653327</v>
      </c>
      <c r="W126" s="588">
        <f t="shared" si="101"/>
        <v>10.582598860653327</v>
      </c>
      <c r="X126" s="588">
        <f t="shared" si="101"/>
        <v>9.7224005484170402</v>
      </c>
      <c r="Y126" s="588">
        <f t="shared" si="101"/>
        <v>9.7224005484170402</v>
      </c>
      <c r="Z126" s="582">
        <v>0.1</v>
      </c>
      <c r="AA126" s="589"/>
      <c r="AB126" s="584"/>
      <c r="AC126" s="590"/>
      <c r="AD126" s="590"/>
      <c r="AE126" s="590"/>
      <c r="AF126" s="590"/>
      <c r="AG126" s="591"/>
      <c r="AH126" s="588">
        <f t="shared" si="64"/>
        <v>0.7884000000000001</v>
      </c>
      <c r="AI126" s="589"/>
      <c r="AJ126" s="589">
        <v>2019</v>
      </c>
      <c r="AK126" s="592">
        <v>25</v>
      </c>
      <c r="AM126" s="205"/>
      <c r="AN126" s="205" t="str">
        <f t="shared" ref="AN126:AO131" si="106">C122</f>
        <v>R-SW_Att_ELC_HPN1-C</v>
      </c>
      <c r="AO126" s="205" t="str">
        <f t="shared" si="106"/>
        <v>Residential Electric Heat Pump - Air to Water - SH + WH - C rated dwelling</v>
      </c>
      <c r="AP126" s="100" t="s">
        <v>13</v>
      </c>
      <c r="AQ126" s="116" t="s">
        <v>119</v>
      </c>
      <c r="AR126" s="100" t="s">
        <v>684</v>
      </c>
      <c r="AT126" s="100" t="s">
        <v>75</v>
      </c>
    </row>
    <row r="127" spans="3:47" ht="12" customHeight="1" x14ac:dyDescent="0.25">
      <c r="C127" s="554" t="str">
        <f>"R-SW_Att"&amp;"_"&amp;RIGHT(E127,3)&amp;"_HPN2-AB"</f>
        <v>R-SW_Att_ELC_HPN2-AB</v>
      </c>
      <c r="D127" s="556" t="s">
        <v>767</v>
      </c>
      <c r="E127" s="555" t="s">
        <v>531</v>
      </c>
      <c r="F127" s="555" t="s">
        <v>565</v>
      </c>
      <c r="G127" s="593" t="s">
        <v>766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4"/>
        <v>0.77700000000000002</v>
      </c>
      <c r="R127" s="556">
        <f t="shared" si="95"/>
        <v>0.83299999999999996</v>
      </c>
      <c r="S127" s="593">
        <f t="shared" si="96"/>
        <v>0.83299999999999996</v>
      </c>
      <c r="T127" s="597">
        <v>20</v>
      </c>
      <c r="U127" s="598"/>
      <c r="V127" s="599">
        <f>((JRC_Data!BB18+JRC_Data!BB45)*0.8/1000)*($U$289/$U$288)</f>
        <v>13.282644628099174</v>
      </c>
      <c r="W127" s="599">
        <f>((JRC_Data!BC18+JRC_Data!BC45)*0.8/1000)*($U$289/$U$288)</f>
        <v>12.229752066115703</v>
      </c>
      <c r="X127" s="599">
        <f>((JRC_Data!BD18+JRC_Data!BD45)*0.8/1000)*($U$289/$U$288)</f>
        <v>11.824793388429752</v>
      </c>
      <c r="Y127" s="599">
        <f>((JRC_Data!BE18+JRC_Data!BE45)*0.8/1000)*($U$289/$U$288)</f>
        <v>10.285950413223141</v>
      </c>
      <c r="Z127" s="514">
        <f>((JRC_Data!BL18+JRC_Data!BL45)*0.8)/1000</f>
        <v>0.16960000000000003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4"/>
        <v>0.7884000000000001</v>
      </c>
      <c r="AI127" s="600"/>
      <c r="AJ127" s="600">
        <v>2019</v>
      </c>
      <c r="AK127" s="602">
        <v>25</v>
      </c>
      <c r="AM127" s="205"/>
      <c r="AN127" s="205" t="str">
        <f t="shared" si="106"/>
        <v>R-SW_Att_ELC_HPN1-D</v>
      </c>
      <c r="AO127" s="205" t="str">
        <f t="shared" si="106"/>
        <v>Residential Electric Heat Pump - Air to Water - SH + WH - D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x14ac:dyDescent="0.25">
      <c r="C128" s="521" t="str">
        <f>"R-SW_Att"&amp;"_"&amp;RIGHT(E128,3)&amp;"_HPN2-ABC"</f>
        <v>R-SW_Att_ELC_HPN2-ABC</v>
      </c>
      <c r="D128" s="29" t="s">
        <v>768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13.282644628099174</v>
      </c>
      <c r="W128" s="62">
        <v>12.229752066115703</v>
      </c>
      <c r="X128" s="62">
        <v>11.824793388429752</v>
      </c>
      <c r="Y128" s="62">
        <v>10.285950413223141</v>
      </c>
      <c r="Z128" s="58">
        <v>0.16960000000000003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06"/>
        <v>R-SW_Att_ELC_HPN1-E</v>
      </c>
      <c r="AO128" s="205" t="str">
        <f t="shared" si="106"/>
        <v>Residential Electric Heat Pump - Air to Water - SH + WH - E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x14ac:dyDescent="0.25">
      <c r="C129" s="519" t="str">
        <f>"R-SW_Att"&amp;"_"&amp;RIGHT(E129,3)&amp;"_HPN2-ABD"</f>
        <v>R-SW_Att_ELC_HPN2-ABD</v>
      </c>
      <c r="D129" s="23" t="s">
        <v>769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13.282644628099174</v>
      </c>
      <c r="W129" s="63">
        <v>12.229752066115703</v>
      </c>
      <c r="X129" s="63">
        <v>11.824793388429752</v>
      </c>
      <c r="Y129" s="63">
        <v>10.285950413223141</v>
      </c>
      <c r="Z129" s="58">
        <v>0.16960000000000003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06"/>
        <v>R-SW_Att_ELC_HPN1-F</v>
      </c>
      <c r="AO129" s="205" t="str">
        <f t="shared" si="106"/>
        <v>Residential Electric Heat Pump - Air to Water - SH + WH - F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x14ac:dyDescent="0.25">
      <c r="C130" s="521" t="str">
        <f>"R-SW_Att"&amp;"_"&amp;RIGHT(E130,3)&amp;"_HPN2-ABE"</f>
        <v>R-SW_Att_ELC_HPN2-ABE</v>
      </c>
      <c r="D130" s="29" t="s">
        <v>770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13.282644628099174</v>
      </c>
      <c r="W130" s="62">
        <v>12.229752066115703</v>
      </c>
      <c r="X130" s="62">
        <v>11.824793388429752</v>
      </c>
      <c r="Y130" s="62">
        <v>10.285950413223141</v>
      </c>
      <c r="Z130" s="58">
        <v>0.16960000000000003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06"/>
        <v>R-SW_Att_ELC_HPN1-G</v>
      </c>
      <c r="AO130" s="205" t="str">
        <f t="shared" si="106"/>
        <v>Residential Electric Heat Pump - Air to Water - SH + WH - G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x14ac:dyDescent="0.25">
      <c r="C131" s="519" t="str">
        <f>"R-SW_Att"&amp;"_"&amp;RIGHT(E131,3)&amp;"_HPN2-ABF"</f>
        <v>R-SW_Att_ELC_HPN2-ABF</v>
      </c>
      <c r="D131" s="23" t="s">
        <v>771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13.282644628099174</v>
      </c>
      <c r="W131" s="63">
        <v>12.229752066115703</v>
      </c>
      <c r="X131" s="63">
        <v>11.824793388429752</v>
      </c>
      <c r="Y131" s="63">
        <v>10.285950413223141</v>
      </c>
      <c r="Z131" s="58">
        <v>0.16960000000000003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06"/>
        <v>R-SW_Att_ELC_HPN2-AB</v>
      </c>
      <c r="AO131" s="205" t="str">
        <f t="shared" si="106"/>
        <v>Residential Electric Heat Pump AB - Air to Water - SH + WH + Solar - AB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x14ac:dyDescent="0.25">
      <c r="C132" s="521" t="str">
        <f>"R-SW_Att"&amp;"_"&amp;RIGHT(E132,3)&amp;"_HPN2-ABG"</f>
        <v>R-SW_Att_ELC_HPN2-ABG</v>
      </c>
      <c r="D132" s="29" t="s">
        <v>772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13.282644628099174</v>
      </c>
      <c r="W132" s="62">
        <v>12.229752066115703</v>
      </c>
      <c r="X132" s="62">
        <v>11.824793388429752</v>
      </c>
      <c r="Y132" s="62">
        <v>10.285950413223141</v>
      </c>
      <c r="Z132" s="58">
        <v>0.16960000000000003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ref="AN132:AO132" si="107">C128</f>
        <v>R-SW_Att_ELC_HPN2-ABC</v>
      </c>
      <c r="AO132" s="205" t="str">
        <f t="shared" si="107"/>
        <v>Residential Electric Heat Pump AB - Air to Water - SH + WH + Solar - C rated dwelling</v>
      </c>
      <c r="AP132" s="100" t="s">
        <v>13</v>
      </c>
      <c r="AQ132" s="116" t="s">
        <v>119</v>
      </c>
      <c r="AR132" s="100" t="s">
        <v>684</v>
      </c>
      <c r="AS132" s="4"/>
      <c r="AT132" s="100" t="s">
        <v>75</v>
      </c>
    </row>
    <row r="133" spans="3:46" ht="12" customHeight="1" x14ac:dyDescent="0.25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08">H133*0.7</f>
        <v>0.64849849849849839</v>
      </c>
      <c r="Q133" s="23">
        <f t="shared" si="94"/>
        <v>0.71983333333333333</v>
      </c>
      <c r="R133" s="23">
        <f t="shared" si="95"/>
        <v>0.77171321321321307</v>
      </c>
      <c r="S133" s="57">
        <f t="shared" si="96"/>
        <v>0.77171321321321307</v>
      </c>
      <c r="T133" s="53">
        <v>20</v>
      </c>
      <c r="U133" s="25"/>
      <c r="V133" s="63">
        <f t="shared" ref="V133:Y137" si="109">V26/$V$20*$V$127</f>
        <v>14.117048429756183</v>
      </c>
      <c r="W133" s="63">
        <f t="shared" si="109"/>
        <v>14.117048429756183</v>
      </c>
      <c r="X133" s="63">
        <f t="shared" si="109"/>
        <v>12.788783966946266</v>
      </c>
      <c r="Y133" s="63">
        <f t="shared" si="109"/>
        <v>12.788783966946266</v>
      </c>
      <c r="Z133" s="58">
        <f>((JRC_Data!BL18+JRC_Data!BL45)*0.8)/1000</f>
        <v>0.16960000000000003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4"/>
        <v>0.7884000000000001</v>
      </c>
      <c r="AI133" s="66"/>
      <c r="AJ133" s="66">
        <v>2019</v>
      </c>
      <c r="AK133" s="520">
        <v>25</v>
      </c>
      <c r="AM133" s="2"/>
      <c r="AN133" s="205" t="str">
        <f t="shared" ref="AN133:AO133" si="110">C129</f>
        <v>R-SW_Att_ELC_HPN2-ABD</v>
      </c>
      <c r="AO133" s="205" t="str">
        <f t="shared" si="110"/>
        <v>Residential Electric Heat Pump AB - Air to Water - SH + WH + Solar - D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x14ac:dyDescent="0.25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08"/>
        <v>0.59699699699699693</v>
      </c>
      <c r="Q134" s="29">
        <f t="shared" si="94"/>
        <v>0.66266666666666674</v>
      </c>
      <c r="R134" s="29">
        <f t="shared" si="95"/>
        <v>0.71042642642642628</v>
      </c>
      <c r="S134" s="58">
        <f t="shared" si="96"/>
        <v>0.71042642642642628</v>
      </c>
      <c r="T134" s="54">
        <v>20</v>
      </c>
      <c r="U134" s="41"/>
      <c r="V134" s="62">
        <f t="shared" si="109"/>
        <v>14.951452231413191</v>
      </c>
      <c r="W134" s="62">
        <f t="shared" si="109"/>
        <v>14.951452231413191</v>
      </c>
      <c r="X134" s="62">
        <f t="shared" si="109"/>
        <v>13.623187768603273</v>
      </c>
      <c r="Y134" s="62">
        <f t="shared" si="109"/>
        <v>13.623187768603273</v>
      </c>
      <c r="Z134" s="58">
        <f>((JRC_Data!BL18+JRC_Data!BL45)*0.8)/1000</f>
        <v>0.16960000000000003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4"/>
        <v>0.7884000000000001</v>
      </c>
      <c r="AI134" s="65"/>
      <c r="AJ134" s="65">
        <v>2019</v>
      </c>
      <c r="AK134" s="522">
        <v>25</v>
      </c>
      <c r="AM134" s="2"/>
      <c r="AN134" s="205" t="str">
        <f t="shared" ref="AN134:AO134" si="111">C130</f>
        <v>R-SW_Att_ELC_HPN2-ABE</v>
      </c>
      <c r="AO134" s="205" t="str">
        <f t="shared" si="111"/>
        <v>Residential Electric Heat Pump AB - Air to Water - SH + WH + Solar - E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x14ac:dyDescent="0.25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08"/>
        <v>0.56266266266266263</v>
      </c>
      <c r="Q135" s="23">
        <f t="shared" si="94"/>
        <v>0.62455555555555553</v>
      </c>
      <c r="R135" s="23">
        <f t="shared" si="95"/>
        <v>0.6695685685685685</v>
      </c>
      <c r="S135" s="57">
        <f t="shared" si="96"/>
        <v>0.6695685685685685</v>
      </c>
      <c r="T135" s="53">
        <v>20</v>
      </c>
      <c r="U135" s="25"/>
      <c r="V135" s="63">
        <f t="shared" si="109"/>
        <v>15.811140996756777</v>
      </c>
      <c r="W135" s="63">
        <f t="shared" si="109"/>
        <v>15.811140996756777</v>
      </c>
      <c r="X135" s="63">
        <f t="shared" si="109"/>
        <v>14.482876533946857</v>
      </c>
      <c r="Y135" s="63">
        <f t="shared" si="109"/>
        <v>14.482876533946857</v>
      </c>
      <c r="Z135" s="58">
        <f>((JRC_Data!BL18+JRC_Data!BL45)*0.8)/1000</f>
        <v>0.16960000000000003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4"/>
        <v>0.7884000000000001</v>
      </c>
      <c r="AI135" s="66"/>
      <c r="AJ135" s="66">
        <v>2019</v>
      </c>
      <c r="AK135" s="520">
        <v>25</v>
      </c>
      <c r="AM135" s="2"/>
      <c r="AN135" s="205" t="str">
        <f t="shared" ref="AN135:AO135" si="112">C131</f>
        <v>R-SW_Att_ELC_HPN2-ABF</v>
      </c>
      <c r="AO135" s="205" t="str">
        <f t="shared" si="112"/>
        <v>Residential Electric Heat Pump AB - Air to Water - SH + WH + Solar -F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x14ac:dyDescent="0.25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08"/>
        <v>0.52832832832832832</v>
      </c>
      <c r="Q136" s="29">
        <f t="shared" si="94"/>
        <v>0.58644444444444443</v>
      </c>
      <c r="R136" s="29">
        <f t="shared" si="95"/>
        <v>0.62871071071071061</v>
      </c>
      <c r="S136" s="58">
        <f t="shared" si="96"/>
        <v>0.62871071071071061</v>
      </c>
      <c r="T136" s="54">
        <v>20</v>
      </c>
      <c r="U136" s="41"/>
      <c r="V136" s="62">
        <f t="shared" si="109"/>
        <v>16.076064319876014</v>
      </c>
      <c r="W136" s="62">
        <f t="shared" si="109"/>
        <v>16.076064319876014</v>
      </c>
      <c r="X136" s="62">
        <f t="shared" si="109"/>
        <v>14.747799857066095</v>
      </c>
      <c r="Y136" s="62">
        <f t="shared" si="109"/>
        <v>14.747799857066095</v>
      </c>
      <c r="Z136" s="58">
        <f>((JRC_Data!BL18+JRC_Data!BL45)*0.8)/1000</f>
        <v>0.16960000000000003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4"/>
        <v>0.7884000000000001</v>
      </c>
      <c r="AI136" s="65"/>
      <c r="AJ136" s="65">
        <v>2019</v>
      </c>
      <c r="AK136" s="522">
        <v>25</v>
      </c>
      <c r="AM136" s="2"/>
      <c r="AN136" s="205" t="str">
        <f t="shared" ref="AN136:AO136" si="113">C132</f>
        <v>R-SW_Att_ELC_HPN2-ABG</v>
      </c>
      <c r="AO136" s="205" t="str">
        <f t="shared" si="113"/>
        <v>Residential Electric Heat Pump AB - Air to Water - SH + WH + Solar - G 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08"/>
        <v>0.49399399399399396</v>
      </c>
      <c r="Q137" s="526">
        <f t="shared" si="94"/>
        <v>0.54833333333333334</v>
      </c>
      <c r="R137" s="526">
        <f t="shared" si="95"/>
        <v>0.58785285285285271</v>
      </c>
      <c r="S137" s="527">
        <f t="shared" si="96"/>
        <v>0.58785285285285271</v>
      </c>
      <c r="T137" s="580">
        <v>20</v>
      </c>
      <c r="U137" s="581"/>
      <c r="V137" s="528">
        <f t="shared" si="109"/>
        <v>16.340987642995252</v>
      </c>
      <c r="W137" s="528">
        <f t="shared" si="109"/>
        <v>16.340987642995252</v>
      </c>
      <c r="X137" s="528">
        <f t="shared" si="109"/>
        <v>15.012723180185334</v>
      </c>
      <c r="Y137" s="528">
        <f t="shared" si="109"/>
        <v>15.012723180185334</v>
      </c>
      <c r="Z137" s="582">
        <f>((JRC_Data!BL18+JRC_Data!BL45)*0.8)/1000</f>
        <v>0.16960000000000003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4"/>
        <v>0.7884000000000001</v>
      </c>
      <c r="AI137" s="529"/>
      <c r="AJ137" s="529">
        <v>2019</v>
      </c>
      <c r="AK137" s="531">
        <v>25</v>
      </c>
      <c r="AM137" s="2"/>
      <c r="AN137" s="205" t="str">
        <f t="shared" ref="AN137:AO142" si="114">C133</f>
        <v>R-SW_Att_ELC_HPN2-C</v>
      </c>
      <c r="AO137" s="205" t="str">
        <f t="shared" si="114"/>
        <v>Residential Electric Heat Pump - Air to Water - SH + WH + Solar - C rated dwelling</v>
      </c>
      <c r="AP137" s="100" t="s">
        <v>13</v>
      </c>
      <c r="AQ137" s="116" t="s">
        <v>119</v>
      </c>
      <c r="AR137" s="100" t="s">
        <v>684</v>
      </c>
      <c r="AT137" s="100" t="s">
        <v>75</v>
      </c>
    </row>
    <row r="138" spans="3:46" ht="12" customHeight="1" x14ac:dyDescent="0.25">
      <c r="C138" s="510" t="str">
        <f>"R-SH_Att"&amp;"_"&amp;RIGHT(E138,3)&amp;"_HPN3-AB"</f>
        <v>R-SH_Att_ELC_HPN3-AB</v>
      </c>
      <c r="D138" s="513" t="s">
        <v>752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(JRC_Data!BB20/1000)*($U$288/$U$289)</f>
        <v>13.828571428571429</v>
      </c>
      <c r="W138" s="515">
        <f>(JRC_Data!BC20/1000)*($U$288/$U$289)</f>
        <v>12.840816326530613</v>
      </c>
      <c r="X138" s="515">
        <f>(JRC_Data!BD20/1000)*($U$288/$U$289)</f>
        <v>11.853061224489796</v>
      </c>
      <c r="Y138" s="515">
        <f>(JRC_Data!BE20/1000)*($U$288/$U$289)</f>
        <v>10.865306122448981</v>
      </c>
      <c r="Z138" s="514">
        <f>JRC_Data!BL20/1000</f>
        <v>0.2</v>
      </c>
      <c r="AA138" s="516"/>
      <c r="AB138" s="573"/>
      <c r="AC138" s="517"/>
      <c r="AD138" s="517"/>
      <c r="AE138" s="517"/>
      <c r="AF138" s="517"/>
      <c r="AG138" s="577"/>
      <c r="AH138" s="515">
        <f t="shared" si="64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si="114"/>
        <v>R-SW_Att_ELC_HPN2-D</v>
      </c>
      <c r="AO138" s="205" t="str">
        <f t="shared" si="114"/>
        <v>Residential Electric Heat Pump - Air to Water - SH + WH + Solar - D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x14ac:dyDescent="0.25">
      <c r="C139" s="519" t="str">
        <f>"R-SH_Att"&amp;"_"&amp;RIGHT(E139,3)&amp;"_HPN3-ABC"</f>
        <v>R-SH_Att_ELC_HPN3-ABC</v>
      </c>
      <c r="D139" s="23" t="s">
        <v>773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13.828571428571429</v>
      </c>
      <c r="W139" s="63">
        <v>12.840816326530613</v>
      </c>
      <c r="X139" s="63">
        <v>11.853061224489796</v>
      </c>
      <c r="Y139" s="63">
        <v>10.865306122448981</v>
      </c>
      <c r="Z139" s="58">
        <v>0.2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14"/>
        <v>R-SW_Att_ELC_HPN2-E</v>
      </c>
      <c r="AO139" s="205" t="str">
        <f t="shared" si="114"/>
        <v>Residential Electric Heat Pump - Air to Water - SH + WH + Solar - E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x14ac:dyDescent="0.25">
      <c r="C140" s="521" t="str">
        <f>"R-SH_Att"&amp;"_"&amp;RIGHT(E140,3)&amp;"_HPN3-ABD"</f>
        <v>R-SH_Att_ELC_HPN3-ABD</v>
      </c>
      <c r="D140" s="29" t="s">
        <v>754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13.828571428571429</v>
      </c>
      <c r="W140" s="62">
        <v>12.840816326530613</v>
      </c>
      <c r="X140" s="62">
        <v>11.853061224489796</v>
      </c>
      <c r="Y140" s="62">
        <v>10.865306122448981</v>
      </c>
      <c r="Z140" s="58">
        <v>0.2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14"/>
        <v>R-SW_Att_ELC_HPN2-F</v>
      </c>
      <c r="AO140" s="205" t="str">
        <f t="shared" si="114"/>
        <v>Residential Electric Heat Pump - Air to Water - SH + WH + Solar - F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x14ac:dyDescent="0.25">
      <c r="C141" s="519" t="str">
        <f>"R-SH_Att"&amp;"_"&amp;RIGHT(E141,3)&amp;"_HPN3-ABE"</f>
        <v>R-SH_Att_ELC_HPN3-ABE</v>
      </c>
      <c r="D141" s="23" t="s">
        <v>755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13.828571428571429</v>
      </c>
      <c r="W141" s="63">
        <v>12.840816326530613</v>
      </c>
      <c r="X141" s="63">
        <v>11.853061224489796</v>
      </c>
      <c r="Y141" s="63">
        <v>10.865306122448981</v>
      </c>
      <c r="Z141" s="58">
        <v>0.2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14"/>
        <v>R-SW_Att_ELC_HPN2-G</v>
      </c>
      <c r="AO141" s="205" t="str">
        <f t="shared" si="114"/>
        <v>Residential Electric Heat Pump - Air to Water - SH + WH + Solar - G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x14ac:dyDescent="0.25">
      <c r="C142" s="521" t="str">
        <f>"R-SH_Att"&amp;"_"&amp;RIGHT(E142,3)&amp;"_HPN3-ABF"</f>
        <v>R-SH_Att_ELC_HPN3-ABF</v>
      </c>
      <c r="D142" s="29" t="s">
        <v>774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13.828571428571429</v>
      </c>
      <c r="W142" s="62">
        <v>12.840816326530613</v>
      </c>
      <c r="X142" s="62">
        <v>11.853061224489796</v>
      </c>
      <c r="Y142" s="62">
        <v>10.865306122448981</v>
      </c>
      <c r="Z142" s="58">
        <v>0.2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14"/>
        <v>R-SH_Att_ELC_HPN3-AB</v>
      </c>
      <c r="AO142" s="205" t="str">
        <f t="shared" si="114"/>
        <v>Residential Electric Heat Pump AB - Ground to Water - SH - AB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x14ac:dyDescent="0.25">
      <c r="C143" s="519" t="str">
        <f>"R-SH_Att"&amp;"_"&amp;RIGHT(E143,3)&amp;"_HPN3-ABG"</f>
        <v>R-SH_Att_ELC_HPN3-ABG</v>
      </c>
      <c r="D143" s="23" t="s">
        <v>757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13.828571428571429</v>
      </c>
      <c r="W143" s="63">
        <v>12.840816326530613</v>
      </c>
      <c r="X143" s="63">
        <v>11.853061224489796</v>
      </c>
      <c r="Y143" s="63">
        <v>10.865306122448981</v>
      </c>
      <c r="Z143" s="58">
        <v>0.2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ref="AN143:AO143" si="115">C139</f>
        <v>R-SH_Att_ELC_HPN3-ABC</v>
      </c>
      <c r="AO143" s="205" t="str">
        <f t="shared" si="115"/>
        <v>Residential Electric Heat Pump AB - Ground to Water - SH - C rated dwelling</v>
      </c>
      <c r="AP143" s="100" t="s">
        <v>13</v>
      </c>
      <c r="AQ143" s="116" t="s">
        <v>119</v>
      </c>
      <c r="AR143" s="100" t="s">
        <v>684</v>
      </c>
      <c r="AS143" s="4"/>
      <c r="AT143" s="100" t="s">
        <v>75</v>
      </c>
    </row>
    <row r="144" spans="3:46" ht="12" customHeight="1" x14ac:dyDescent="0.25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16">V26/$V$20*$V$138</f>
        <v>14.69726986134255</v>
      </c>
      <c r="W144" s="62">
        <f t="shared" si="116"/>
        <v>14.69726986134255</v>
      </c>
      <c r="X144" s="62">
        <f t="shared" si="116"/>
        <v>13.314412718485407</v>
      </c>
      <c r="Y144" s="62">
        <f t="shared" si="116"/>
        <v>13.314412718485407</v>
      </c>
      <c r="Z144" s="58">
        <f>JRC_Data!BL20/1000</f>
        <v>0.2</v>
      </c>
      <c r="AA144" s="65"/>
      <c r="AB144" s="42"/>
      <c r="AC144" s="71"/>
      <c r="AD144" s="71"/>
      <c r="AE144" s="71"/>
      <c r="AF144" s="71"/>
      <c r="AG144" s="209"/>
      <c r="AH144" s="62">
        <f t="shared" si="64"/>
        <v>0.63072000000000006</v>
      </c>
      <c r="AI144" s="65"/>
      <c r="AJ144" s="65">
        <v>2019</v>
      </c>
      <c r="AK144" s="522">
        <v>20</v>
      </c>
      <c r="AM144" s="2"/>
      <c r="AN144" s="205" t="str">
        <f t="shared" ref="AN144:AO144" si="117">C140</f>
        <v>R-SH_Att_ELC_HPN3-ABD</v>
      </c>
      <c r="AO144" s="205" t="str">
        <f t="shared" si="117"/>
        <v>Residential Electric Heat Pump AB - Ground to Water - SH - D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x14ac:dyDescent="0.25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16"/>
        <v>15.56596829411367</v>
      </c>
      <c r="W145" s="63">
        <f t="shared" si="116"/>
        <v>15.56596829411367</v>
      </c>
      <c r="X145" s="63">
        <f t="shared" si="116"/>
        <v>14.183111151256526</v>
      </c>
      <c r="Y145" s="63">
        <f t="shared" si="116"/>
        <v>14.183111151256526</v>
      </c>
      <c r="Z145" s="58">
        <f>JRC_Data!BL20/1000</f>
        <v>0.2</v>
      </c>
      <c r="AA145" s="66"/>
      <c r="AB145" s="44"/>
      <c r="AC145" s="72"/>
      <c r="AD145" s="72"/>
      <c r="AE145" s="72"/>
      <c r="AF145" s="72"/>
      <c r="AG145" s="66"/>
      <c r="AH145" s="63">
        <f t="shared" si="64"/>
        <v>0.63072000000000006</v>
      </c>
      <c r="AI145" s="66"/>
      <c r="AJ145" s="66">
        <v>2019</v>
      </c>
      <c r="AK145" s="520">
        <v>20</v>
      </c>
      <c r="AM145" s="2"/>
      <c r="AN145" s="205" t="str">
        <f t="shared" ref="AN145:AO145" si="118">C141</f>
        <v>R-SH_Att_ELC_HPN3-ABE</v>
      </c>
      <c r="AO145" s="205" t="str">
        <f t="shared" si="118"/>
        <v>Residential Electric Heat Pump AB - Ground to Water - SH - E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x14ac:dyDescent="0.25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16"/>
        <v>16.460990921817249</v>
      </c>
      <c r="W146" s="62">
        <f t="shared" si="116"/>
        <v>16.460990921817249</v>
      </c>
      <c r="X146" s="62">
        <f t="shared" si="116"/>
        <v>15.078133778960105</v>
      </c>
      <c r="Y146" s="62">
        <f t="shared" si="116"/>
        <v>15.078133778960105</v>
      </c>
      <c r="Z146" s="58">
        <f>JRC_Data!BL20/1000</f>
        <v>0.2</v>
      </c>
      <c r="AA146" s="65"/>
      <c r="AB146" s="42"/>
      <c r="AC146" s="71"/>
      <c r="AD146" s="71"/>
      <c r="AE146" s="71"/>
      <c r="AF146" s="71"/>
      <c r="AG146" s="209"/>
      <c r="AH146" s="62">
        <f t="shared" si="64"/>
        <v>0.63072000000000006</v>
      </c>
      <c r="AI146" s="65"/>
      <c r="AJ146" s="65">
        <v>2019</v>
      </c>
      <c r="AK146" s="522">
        <v>20</v>
      </c>
      <c r="AM146" s="2"/>
      <c r="AN146" s="205" t="str">
        <f t="shared" ref="AN146:AO146" si="119">C142</f>
        <v>R-SH_Att_ELC_HPN3-ABF</v>
      </c>
      <c r="AO146" s="205" t="str">
        <f t="shared" si="119"/>
        <v>Residential Electric Heat Pump AB - Ground to Water - SH - Frated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x14ac:dyDescent="0.25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16"/>
        <v>16.736802795086735</v>
      </c>
      <c r="W147" s="63">
        <f t="shared" si="116"/>
        <v>16.736802795086735</v>
      </c>
      <c r="X147" s="63">
        <f t="shared" si="116"/>
        <v>15.353945652229589</v>
      </c>
      <c r="Y147" s="63">
        <f t="shared" si="116"/>
        <v>15.353945652229589</v>
      </c>
      <c r="Z147" s="58">
        <f>JRC_Data!BL20/1000</f>
        <v>0.2</v>
      </c>
      <c r="AA147" s="66"/>
      <c r="AB147" s="44"/>
      <c r="AC147" s="72"/>
      <c r="AD147" s="72"/>
      <c r="AE147" s="72"/>
      <c r="AF147" s="72"/>
      <c r="AG147" s="66"/>
      <c r="AH147" s="63">
        <f t="shared" si="64"/>
        <v>0.63072000000000006</v>
      </c>
      <c r="AI147" s="66"/>
      <c r="AJ147" s="66">
        <v>2019</v>
      </c>
      <c r="AK147" s="520">
        <v>20</v>
      </c>
      <c r="AM147" s="2"/>
      <c r="AN147" s="205" t="str">
        <f t="shared" ref="AN147:AO147" si="120">C143</f>
        <v>R-SH_Att_ELC_HPN3-ABG</v>
      </c>
      <c r="AO147" s="205" t="str">
        <f t="shared" si="120"/>
        <v>Residential Electric Heat Pump AB - Ground to Water - SH - G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16"/>
        <v>17.012614668356218</v>
      </c>
      <c r="W148" s="588">
        <f t="shared" si="116"/>
        <v>17.012614668356218</v>
      </c>
      <c r="X148" s="588">
        <f t="shared" si="116"/>
        <v>15.629757525499073</v>
      </c>
      <c r="Y148" s="588">
        <f t="shared" si="116"/>
        <v>15.629757525499073</v>
      </c>
      <c r="Z148" s="582">
        <f>JRC_Data!BL20/1000</f>
        <v>0.2</v>
      </c>
      <c r="AA148" s="589"/>
      <c r="AB148" s="584"/>
      <c r="AC148" s="590"/>
      <c r="AD148" s="590"/>
      <c r="AE148" s="590"/>
      <c r="AF148" s="590"/>
      <c r="AG148" s="591"/>
      <c r="AH148" s="588">
        <f t="shared" si="64"/>
        <v>0.63072000000000006</v>
      </c>
      <c r="AI148" s="589"/>
      <c r="AJ148" s="589">
        <v>2019</v>
      </c>
      <c r="AK148" s="592">
        <v>20</v>
      </c>
      <c r="AM148" s="2"/>
      <c r="AN148" s="205" t="str">
        <f t="shared" ref="AN148:AO153" si="121">C144</f>
        <v>R-SH_Att_ELC_HPN3-C</v>
      </c>
      <c r="AO148" s="205" t="str">
        <f t="shared" si="121"/>
        <v>Residential Electric Heat Pump - Ground to Water - SH - C rated dwelling</v>
      </c>
      <c r="AP148" s="100" t="s">
        <v>13</v>
      </c>
      <c r="AQ148" s="116" t="s">
        <v>119</v>
      </c>
      <c r="AR148" s="100" t="s">
        <v>684</v>
      </c>
      <c r="AT148" s="100" t="s">
        <v>75</v>
      </c>
    </row>
    <row r="149" spans="1:46" ht="12" customHeight="1" x14ac:dyDescent="0.25">
      <c r="A149" s="2"/>
      <c r="C149" s="554" t="str">
        <f>"R-HC_Att"&amp;"_"&amp;RIGHT(E149,3)&amp;"_HPN2-AB"</f>
        <v>R-HC_Att_ELC_HPN2-AB</v>
      </c>
      <c r="D149" s="556" t="s">
        <v>776</v>
      </c>
      <c r="E149" s="555" t="s">
        <v>144</v>
      </c>
      <c r="F149" s="555" t="s">
        <v>539</v>
      </c>
      <c r="G149" s="593" t="s">
        <v>775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22">I149*0.9</f>
        <v>1.05</v>
      </c>
      <c r="N149" s="558">
        <f t="shared" si="122"/>
        <v>1.2</v>
      </c>
      <c r="O149" s="596">
        <f t="shared" si="122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(JRC_Data!BB20/1000)*($U$289/$U$289)</f>
        <v>14</v>
      </c>
      <c r="W149" s="599">
        <f>(JRC_Data!BC20/1000)*($U$289/$U$289)</f>
        <v>13</v>
      </c>
      <c r="X149" s="599">
        <f>(JRC_Data!BD20/1000)*($U$289/$U$289)</f>
        <v>12</v>
      </c>
      <c r="Y149" s="599">
        <f>(JRC_Data!BE20/1000)*($U$289/$U$289)</f>
        <v>11</v>
      </c>
      <c r="Z149" s="514">
        <f>JRC_Data!BL20/1000</f>
        <v>0.2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si="121"/>
        <v>R-SH_Att_ELC_HPN3-D</v>
      </c>
      <c r="AO149" s="205" t="str">
        <f t="shared" si="121"/>
        <v>Residential Electric Heat Pump - Ground to Water - SH - D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x14ac:dyDescent="0.25">
      <c r="C150" s="521" t="str">
        <f>"R-HC_Att"&amp;"_"&amp;RIGHT(E150,3)&amp;"_HPN2-ABC"</f>
        <v>R-HC_Att_ELC_HPN2-ABC</v>
      </c>
      <c r="D150" s="29" t="s">
        <v>777</v>
      </c>
      <c r="E150" s="30" t="s">
        <v>144</v>
      </c>
      <c r="F150" s="30" t="s">
        <v>539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14</v>
      </c>
      <c r="W150" s="62">
        <v>13</v>
      </c>
      <c r="X150" s="62">
        <v>12</v>
      </c>
      <c r="Y150" s="62">
        <v>11</v>
      </c>
      <c r="Z150" s="58">
        <v>0.2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1"/>
        <v>R-SH_Att_ELC_HPN3-E</v>
      </c>
      <c r="AO150" s="205" t="str">
        <f t="shared" si="121"/>
        <v>Residential Electric Heat Pump - Ground to Water - SH - E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x14ac:dyDescent="0.25">
      <c r="C151" s="519" t="str">
        <f>"R-HC_Att"&amp;"_"&amp;RIGHT(E151,3)&amp;"_HPN2-ABD"</f>
        <v>R-HC_Att_ELC_HPN2-ABD</v>
      </c>
      <c r="D151" s="23" t="s">
        <v>778</v>
      </c>
      <c r="E151" s="24" t="s">
        <v>144</v>
      </c>
      <c r="F151" s="24" t="s">
        <v>539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14</v>
      </c>
      <c r="W151" s="63">
        <v>13</v>
      </c>
      <c r="X151" s="63">
        <v>12</v>
      </c>
      <c r="Y151" s="63">
        <v>11</v>
      </c>
      <c r="Z151" s="58">
        <v>0.2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1"/>
        <v>R-SH_Att_ELC_HPN3-F</v>
      </c>
      <c r="AO151" s="205" t="str">
        <f t="shared" si="121"/>
        <v>Residential Electric Heat Pump - Ground to Water - SH - F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x14ac:dyDescent="0.25">
      <c r="C152" s="521" t="str">
        <f>"R-HC_Att"&amp;"_"&amp;RIGHT(E152,3)&amp;"_HPN2-ABE"</f>
        <v>R-HC_Att_ELC_HPN2-ABE</v>
      </c>
      <c r="D152" s="29" t="s">
        <v>779</v>
      </c>
      <c r="E152" s="30" t="s">
        <v>144</v>
      </c>
      <c r="F152" s="30" t="s">
        <v>539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14</v>
      </c>
      <c r="W152" s="62">
        <v>13</v>
      </c>
      <c r="X152" s="62">
        <v>12</v>
      </c>
      <c r="Y152" s="62">
        <v>11</v>
      </c>
      <c r="Z152" s="58">
        <v>0.2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1"/>
        <v>R-SH_Att_ELC_HPN3-G</v>
      </c>
      <c r="AO152" s="205" t="str">
        <f t="shared" si="121"/>
        <v>Residential Electric Heat Pump - Ground to Water - SH - G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x14ac:dyDescent="0.25">
      <c r="C153" s="519" t="str">
        <f>"R-HC_Att"&amp;"_"&amp;RIGHT(E153,3)&amp;"_HPN2-ABF"</f>
        <v>R-HC_Att_ELC_HPN2-ABF</v>
      </c>
      <c r="D153" s="23" t="s">
        <v>780</v>
      </c>
      <c r="E153" s="24" t="s">
        <v>144</v>
      </c>
      <c r="F153" s="24" t="s">
        <v>539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14</v>
      </c>
      <c r="W153" s="63">
        <v>13</v>
      </c>
      <c r="X153" s="63">
        <v>12</v>
      </c>
      <c r="Y153" s="63">
        <v>11</v>
      </c>
      <c r="Z153" s="58">
        <v>0.2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1"/>
        <v>R-HC_Att_ELC_HPN2-AB</v>
      </c>
      <c r="AO153" s="205" t="str">
        <f t="shared" si="121"/>
        <v>Residential Electric Heat Pump AB - Ground to Water - SH + SC - AB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x14ac:dyDescent="0.25">
      <c r="C154" s="521" t="str">
        <f>"R-HC_Att"&amp;"_"&amp;RIGHT(E154,3)&amp;"_HPN2-ABG"</f>
        <v>R-HC_Att_ELC_HPN2-ABG</v>
      </c>
      <c r="D154" s="29" t="s">
        <v>781</v>
      </c>
      <c r="E154" s="30" t="s">
        <v>144</v>
      </c>
      <c r="F154" s="30" t="s">
        <v>539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14</v>
      </c>
      <c r="W154" s="62">
        <v>13</v>
      </c>
      <c r="X154" s="62">
        <v>12</v>
      </c>
      <c r="Y154" s="62">
        <v>11</v>
      </c>
      <c r="Z154" s="58">
        <v>0.2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 t="shared" ref="AN154:AO154" si="123">C150</f>
        <v>R-HC_Att_ELC_HPN2-ABC</v>
      </c>
      <c r="AO154" s="205" t="str">
        <f t="shared" si="123"/>
        <v>Residential Electric Heat Pump AB - Ground to Water - SH + SC -  C rated dwelling</v>
      </c>
      <c r="AP154" s="100" t="s">
        <v>13</v>
      </c>
      <c r="AQ154" s="116" t="s">
        <v>119</v>
      </c>
      <c r="AR154" s="100" t="s">
        <v>684</v>
      </c>
      <c r="AS154" s="4"/>
      <c r="AT154" s="100" t="s">
        <v>75</v>
      </c>
    </row>
    <row r="155" spans="1:46" ht="12" customHeight="1" x14ac:dyDescent="0.25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24" t="s">
        <v>539</v>
      </c>
      <c r="G155" s="57" t="s">
        <v>727</v>
      </c>
      <c r="H155" s="22">
        <f t="shared" ref="H155:K159" si="124">H144</f>
        <v>1.0190690690690689</v>
      </c>
      <c r="I155" s="23">
        <f t="shared" si="124"/>
        <v>1.0808308308308308</v>
      </c>
      <c r="J155" s="23">
        <f t="shared" si="124"/>
        <v>1.2352352352352352</v>
      </c>
      <c r="K155" s="57">
        <f t="shared" si="124"/>
        <v>1.3896396396396395</v>
      </c>
      <c r="L155" s="44">
        <f t="shared" ref="L155:L159" si="125">H155*0.9</f>
        <v>0.91716216216216206</v>
      </c>
      <c r="M155" s="32">
        <f t="shared" si="122"/>
        <v>0.97274774774774775</v>
      </c>
      <c r="N155" s="32">
        <f t="shared" si="122"/>
        <v>1.1117117117117117</v>
      </c>
      <c r="O155" s="45">
        <f t="shared" si="122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26">V26/$V$20*$V$149</f>
        <v>14.879467421607126</v>
      </c>
      <c r="W155" s="63">
        <f t="shared" si="126"/>
        <v>14.879467421607126</v>
      </c>
      <c r="X155" s="63">
        <f t="shared" si="126"/>
        <v>13.479467421607126</v>
      </c>
      <c r="Y155" s="63">
        <f t="shared" si="126"/>
        <v>13.479467421607126</v>
      </c>
      <c r="Z155" s="58">
        <f>JRC_Data!BL20/1000</f>
        <v>0.2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27">31.536*(AK155/1000)</f>
        <v>0.7884000000000001</v>
      </c>
      <c r="AI155" s="66"/>
      <c r="AJ155" s="66">
        <v>2019</v>
      </c>
      <c r="AK155" s="520">
        <v>25</v>
      </c>
      <c r="AM155" s="2"/>
      <c r="AN155" s="205" t="str">
        <f t="shared" ref="AN155:AO155" si="128">C151</f>
        <v>R-HC_Att_ELC_HPN2-ABD</v>
      </c>
      <c r="AO155" s="205" t="str">
        <f t="shared" si="128"/>
        <v>Residential Electric Heat Pump AB - Ground to Water - SH + SC - D rated dwelling</v>
      </c>
      <c r="AP155" s="100" t="s">
        <v>13</v>
      </c>
      <c r="AQ155" s="116" t="s">
        <v>119</v>
      </c>
      <c r="AR155" s="100" t="s">
        <v>684</v>
      </c>
      <c r="AS155" s="4"/>
      <c r="AT155" s="100" t="s">
        <v>75</v>
      </c>
    </row>
    <row r="156" spans="1:46" ht="12" customHeight="1" x14ac:dyDescent="0.25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539</v>
      </c>
      <c r="G156" s="58" t="s">
        <v>728</v>
      </c>
      <c r="H156" s="40">
        <f t="shared" si="124"/>
        <v>0.93813813813813796</v>
      </c>
      <c r="I156" s="29">
        <f t="shared" si="124"/>
        <v>0.994994994994995</v>
      </c>
      <c r="J156" s="29">
        <f t="shared" si="124"/>
        <v>1.137137137137137</v>
      </c>
      <c r="K156" s="58">
        <f t="shared" si="124"/>
        <v>1.2792792792792793</v>
      </c>
      <c r="L156" s="42">
        <f t="shared" si="125"/>
        <v>0.84432432432432414</v>
      </c>
      <c r="M156" s="31">
        <f t="shared" si="122"/>
        <v>0.89549549549549556</v>
      </c>
      <c r="N156" s="31">
        <f t="shared" si="122"/>
        <v>1.0234234234234234</v>
      </c>
      <c r="O156" s="43">
        <f t="shared" si="122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26"/>
        <v>15.758934843214252</v>
      </c>
      <c r="W156" s="62">
        <f t="shared" si="126"/>
        <v>15.758934843214252</v>
      </c>
      <c r="X156" s="62">
        <f t="shared" si="126"/>
        <v>14.35893484321425</v>
      </c>
      <c r="Y156" s="62">
        <f t="shared" si="126"/>
        <v>14.35893484321425</v>
      </c>
      <c r="Z156" s="58">
        <f>JRC_Data!BL20/1000</f>
        <v>0.2</v>
      </c>
      <c r="AA156" s="65"/>
      <c r="AB156" s="42"/>
      <c r="AC156" s="71"/>
      <c r="AD156" s="71"/>
      <c r="AE156" s="71"/>
      <c r="AF156" s="71"/>
      <c r="AG156" s="209"/>
      <c r="AH156" s="62">
        <f t="shared" si="127"/>
        <v>0.7884000000000001</v>
      </c>
      <c r="AI156" s="65"/>
      <c r="AJ156" s="65">
        <v>2019</v>
      </c>
      <c r="AK156" s="522">
        <v>25</v>
      </c>
      <c r="AM156" s="2"/>
      <c r="AN156" s="205" t="str">
        <f t="shared" ref="AN156:AO156" si="129">C152</f>
        <v>R-HC_Att_ELC_HPN2-ABE</v>
      </c>
      <c r="AO156" s="205" t="str">
        <f t="shared" si="129"/>
        <v>Residential Electric Heat Pump AB - Ground to Water - SH + SC - E rated dwelling</v>
      </c>
      <c r="AP156" s="100" t="s">
        <v>13</v>
      </c>
      <c r="AQ156" s="116" t="s">
        <v>119</v>
      </c>
      <c r="AR156" s="100" t="s">
        <v>684</v>
      </c>
      <c r="AS156" s="4"/>
      <c r="AT156" s="100" t="s">
        <v>75</v>
      </c>
    </row>
    <row r="157" spans="1:46" ht="12" customHeight="1" x14ac:dyDescent="0.25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539</v>
      </c>
      <c r="G157" s="57" t="s">
        <v>729</v>
      </c>
      <c r="H157" s="22">
        <f t="shared" si="124"/>
        <v>0.8841841841841841</v>
      </c>
      <c r="I157" s="23">
        <f t="shared" si="124"/>
        <v>0.93777110443777112</v>
      </c>
      <c r="J157" s="23">
        <f t="shared" si="124"/>
        <v>0</v>
      </c>
      <c r="K157" s="57">
        <f t="shared" si="124"/>
        <v>1.2057057057057057</v>
      </c>
      <c r="L157" s="44">
        <f t="shared" si="125"/>
        <v>0.79576576576576574</v>
      </c>
      <c r="M157" s="32">
        <f t="shared" si="122"/>
        <v>0.843993993993994</v>
      </c>
      <c r="N157" s="32">
        <f t="shared" si="122"/>
        <v>0</v>
      </c>
      <c r="O157" s="45">
        <f t="shared" si="122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26"/>
        <v>16.665052792748867</v>
      </c>
      <c r="W157" s="63">
        <f t="shared" si="126"/>
        <v>16.665052792748867</v>
      </c>
      <c r="X157" s="63">
        <f t="shared" si="126"/>
        <v>15.265052792748865</v>
      </c>
      <c r="Y157" s="63">
        <f t="shared" si="126"/>
        <v>15.265052792748865</v>
      </c>
      <c r="Z157" s="58">
        <f>JRC_Data!BL20/1000</f>
        <v>0.2</v>
      </c>
      <c r="AA157" s="66"/>
      <c r="AB157" s="44"/>
      <c r="AC157" s="72"/>
      <c r="AD157" s="72"/>
      <c r="AE157" s="72"/>
      <c r="AF157" s="72"/>
      <c r="AG157" s="66"/>
      <c r="AH157" s="63">
        <f t="shared" si="127"/>
        <v>0.7884000000000001</v>
      </c>
      <c r="AI157" s="66"/>
      <c r="AJ157" s="66">
        <v>2019</v>
      </c>
      <c r="AK157" s="520">
        <v>25</v>
      </c>
      <c r="AM157" s="2"/>
      <c r="AN157" s="205" t="str">
        <f t="shared" ref="AN157:AO157" si="130">C153</f>
        <v>R-HC_Att_ELC_HPN2-ABF</v>
      </c>
      <c r="AO157" s="205" t="str">
        <f t="shared" si="130"/>
        <v>Residential Electric Heat Pump AB - Ground to Water - SH + SC - F rated dwelling</v>
      </c>
      <c r="AP157" s="100" t="s">
        <v>13</v>
      </c>
      <c r="AQ157" s="116" t="s">
        <v>119</v>
      </c>
      <c r="AR157" s="100" t="s">
        <v>684</v>
      </c>
      <c r="AS157" s="4"/>
      <c r="AT157" s="100" t="s">
        <v>75</v>
      </c>
    </row>
    <row r="158" spans="1:46" ht="12" customHeight="1" x14ac:dyDescent="0.25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539</v>
      </c>
      <c r="G158" s="58" t="s">
        <v>730</v>
      </c>
      <c r="H158" s="40">
        <f t="shared" si="124"/>
        <v>0.83023023023023013</v>
      </c>
      <c r="I158" s="29">
        <f t="shared" si="124"/>
        <v>0.88054721388054724</v>
      </c>
      <c r="J158" s="29">
        <f t="shared" si="124"/>
        <v>0</v>
      </c>
      <c r="K158" s="58">
        <f t="shared" si="124"/>
        <v>1.132132132132132</v>
      </c>
      <c r="L158" s="42">
        <f t="shared" si="125"/>
        <v>0.74720720720720712</v>
      </c>
      <c r="M158" s="31">
        <f t="shared" si="122"/>
        <v>0.79249249249249254</v>
      </c>
      <c r="N158" s="31">
        <f t="shared" si="122"/>
        <v>0</v>
      </c>
      <c r="O158" s="43">
        <f t="shared" si="122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26"/>
        <v>16.944283821472105</v>
      </c>
      <c r="W158" s="62">
        <f t="shared" si="126"/>
        <v>16.944283821472105</v>
      </c>
      <c r="X158" s="62">
        <f t="shared" si="126"/>
        <v>15.544283821472105</v>
      </c>
      <c r="Y158" s="62">
        <f t="shared" si="126"/>
        <v>15.544283821472105</v>
      </c>
      <c r="Z158" s="58">
        <f>JRC_Data!BL20/1000</f>
        <v>0.2</v>
      </c>
      <c r="AA158" s="65"/>
      <c r="AB158" s="42"/>
      <c r="AC158" s="71"/>
      <c r="AD158" s="71"/>
      <c r="AE158" s="71"/>
      <c r="AF158" s="71"/>
      <c r="AG158" s="209"/>
      <c r="AH158" s="62">
        <f t="shared" si="127"/>
        <v>0.7884000000000001</v>
      </c>
      <c r="AI158" s="65"/>
      <c r="AJ158" s="65">
        <v>2019</v>
      </c>
      <c r="AK158" s="522">
        <v>25</v>
      </c>
      <c r="AM158" s="2"/>
      <c r="AN158" s="205" t="str">
        <f t="shared" ref="AN158:AO158" si="131">C154</f>
        <v>R-HC_Att_ELC_HPN2-ABG</v>
      </c>
      <c r="AO158" s="205" t="str">
        <f t="shared" si="131"/>
        <v>Residential Electric Heat Pump AB - Ground to Water - SH + SC - G rated dwelling</v>
      </c>
      <c r="AP158" s="100" t="s">
        <v>13</v>
      </c>
      <c r="AQ158" s="116" t="s">
        <v>119</v>
      </c>
      <c r="AR158" s="100" t="s">
        <v>684</v>
      </c>
      <c r="AS158" s="4"/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524" t="s">
        <v>539</v>
      </c>
      <c r="G159" s="527" t="s">
        <v>731</v>
      </c>
      <c r="H159" s="525">
        <f t="shared" si="124"/>
        <v>0.77627627627627616</v>
      </c>
      <c r="I159" s="526">
        <f t="shared" si="124"/>
        <v>0.82332332332332336</v>
      </c>
      <c r="J159" s="526">
        <f t="shared" si="124"/>
        <v>0.79979979979979976</v>
      </c>
      <c r="K159" s="527">
        <f t="shared" si="124"/>
        <v>1.0585585585585586</v>
      </c>
      <c r="L159" s="578">
        <f t="shared" si="125"/>
        <v>0.69864864864864851</v>
      </c>
      <c r="M159" s="542">
        <f t="shared" si="122"/>
        <v>0.74099099099099108</v>
      </c>
      <c r="N159" s="542">
        <f t="shared" si="122"/>
        <v>0.7198198198198198</v>
      </c>
      <c r="O159" s="579">
        <f t="shared" si="122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26"/>
        <v>17.223514850195343</v>
      </c>
      <c r="W159" s="528">
        <f t="shared" si="126"/>
        <v>17.223514850195343</v>
      </c>
      <c r="X159" s="528">
        <f t="shared" si="126"/>
        <v>15.823514850195343</v>
      </c>
      <c r="Y159" s="528">
        <f t="shared" si="126"/>
        <v>15.823514850195343</v>
      </c>
      <c r="Z159" s="582">
        <f>JRC_Data!BL20/1000</f>
        <v>0.2</v>
      </c>
      <c r="AA159" s="529"/>
      <c r="AB159" s="578"/>
      <c r="AC159" s="530"/>
      <c r="AD159" s="530"/>
      <c r="AE159" s="530"/>
      <c r="AF159" s="530"/>
      <c r="AG159" s="529"/>
      <c r="AH159" s="528">
        <f t="shared" si="127"/>
        <v>0.7884000000000001</v>
      </c>
      <c r="AI159" s="529"/>
      <c r="AJ159" s="529">
        <v>2019</v>
      </c>
      <c r="AK159" s="531">
        <v>25</v>
      </c>
      <c r="AM159" s="2"/>
      <c r="AN159" s="205" t="str">
        <f t="shared" ref="AN159:AO163" si="132">C155</f>
        <v>R-HC_Att_ELC_HPN2-C</v>
      </c>
      <c r="AO159" s="205" t="str">
        <f t="shared" si="132"/>
        <v>Residential Electric Heat Pump - Ground to Water - SH + SC - C rated dwelling</v>
      </c>
      <c r="AP159" s="100" t="s">
        <v>13</v>
      </c>
      <c r="AQ159" s="116" t="s">
        <v>119</v>
      </c>
      <c r="AR159" s="100" t="s">
        <v>684</v>
      </c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 t="shared" si="132"/>
        <v>R-HC_Att_ELC_HPN2-D</v>
      </c>
      <c r="AO160" s="205" t="str">
        <f t="shared" si="132"/>
        <v>Residential Electric Heat Pump - Ground to Water - SH + SC - D rated dwelling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33">I161*0.7</f>
        <v>1.2530864197530862</v>
      </c>
      <c r="R161" s="20">
        <f t="shared" ref="R161:R162" si="134">J161*0.7</f>
        <v>1.4691358024691357</v>
      </c>
      <c r="S161" s="56">
        <f t="shared" ref="S161:S162" si="135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4"/>
        <v>0.7884000000000001</v>
      </c>
      <c r="AI161" s="87"/>
      <c r="AJ161" s="87">
        <v>2019</v>
      </c>
      <c r="AK161" s="87">
        <v>25</v>
      </c>
      <c r="AM161" s="2"/>
      <c r="AN161" s="205" t="str">
        <f t="shared" si="132"/>
        <v>R-HC_Att_ELC_HPN2-E</v>
      </c>
      <c r="AO161" s="205" t="str">
        <f t="shared" si="132"/>
        <v>Residential Electric Heat Pump - Ground to Water - SH + SC - E rated dwelling</v>
      </c>
      <c r="AP161" s="100" t="s">
        <v>13</v>
      </c>
      <c r="AQ161" s="116" t="s">
        <v>119</v>
      </c>
      <c r="AR161" s="100" t="s">
        <v>684</v>
      </c>
      <c r="AT161" s="100" t="s">
        <v>75</v>
      </c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33"/>
        <v>1.2055555555555555</v>
      </c>
      <c r="R162" s="26">
        <f t="shared" si="134"/>
        <v>1.2055555555555555</v>
      </c>
      <c r="S162" s="59">
        <f t="shared" si="135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M162" s="2"/>
      <c r="AN162" s="205" t="str">
        <f t="shared" si="132"/>
        <v>R-HC_Att_ELC_HPN2-F</v>
      </c>
      <c r="AO162" s="205" t="str">
        <f t="shared" si="132"/>
        <v>Residential Electric Heat Pump - Ground to Water - SH + SC - F rated dwelling</v>
      </c>
      <c r="AP162" s="100" t="s">
        <v>13</v>
      </c>
      <c r="AQ162" s="116" t="s">
        <v>119</v>
      </c>
      <c r="AR162" s="100" t="s">
        <v>684</v>
      </c>
      <c r="AT162" s="100" t="s">
        <v>75</v>
      </c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M163" s="2"/>
      <c r="AN163" s="205" t="str">
        <f t="shared" si="132"/>
        <v>R-HC_Att_ELC_HPN2-G</v>
      </c>
      <c r="AO163" s="205" t="str">
        <f t="shared" si="132"/>
        <v>Residential Electric Heat Pump - Ground to Water - SH + SC - G rated dwelling</v>
      </c>
      <c r="AP163" s="100" t="s">
        <v>13</v>
      </c>
      <c r="AQ163" s="116" t="s">
        <v>119</v>
      </c>
      <c r="AR163" s="100" t="s">
        <v>684</v>
      </c>
      <c r="AT163" s="100" t="s">
        <v>75</v>
      </c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36">I164*0.7</f>
        <v>2.7055000000000002</v>
      </c>
      <c r="R164" s="26">
        <f t="shared" ref="R164" si="137">J164*0.7</f>
        <v>2.9050000000000002</v>
      </c>
      <c r="S164" s="59">
        <f t="shared" ref="S164" si="138">K164*0.7</f>
        <v>2.9050000000000002</v>
      </c>
      <c r="T164" s="3">
        <v>20</v>
      </c>
      <c r="V164" s="78">
        <f>(V116+V89)*0.8</f>
        <v>9.5138179028489738</v>
      </c>
      <c r="W164" s="78">
        <f>(W116+W89)*0.8</f>
        <v>8.8944751180388462</v>
      </c>
      <c r="X164" s="78">
        <f>(X116+X89)*0.8</f>
        <v>8.3308731838616321</v>
      </c>
      <c r="Y164" s="78">
        <f>(Y116+Y89)*0.8</f>
        <v>8.2751323332287203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4"/>
        <v>0.7884000000000001</v>
      </c>
      <c r="AI164" s="82"/>
      <c r="AJ164" s="82">
        <v>2019</v>
      </c>
      <c r="AK164" s="82">
        <f>AK89*AD164+AK127*(1-AD164)</f>
        <v>25</v>
      </c>
      <c r="AM164" s="2"/>
      <c r="AN164" s="205" t="str">
        <f>C161</f>
        <v>R-SW_Att_GAS_HPN1</v>
      </c>
      <c r="AO164" s="205" t="str">
        <f>D161</f>
        <v>Residential Gas Absorption Heat Pump - Air to Water - SH + WH</v>
      </c>
      <c r="AP164" s="100" t="s">
        <v>13</v>
      </c>
      <c r="AQ164" s="116" t="s">
        <v>119</v>
      </c>
      <c r="AR164" s="100"/>
      <c r="AT164" s="100" t="s">
        <v>75</v>
      </c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M165" s="2"/>
      <c r="AN165" s="205" t="str">
        <f>C162</f>
        <v>R-SW_Att_GAS_HPN2</v>
      </c>
      <c r="AO165" s="205" t="str">
        <f>D162</f>
        <v>Residential Gas Engine Heat Pump - Air to Water - SH + WH</v>
      </c>
      <c r="AP165" s="100" t="s">
        <v>13</v>
      </c>
      <c r="AQ165" s="116" t="s">
        <v>119</v>
      </c>
      <c r="AR165" s="100"/>
      <c r="AT165" s="100" t="s">
        <v>75</v>
      </c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4"/>
        <v>0.7884000000000001</v>
      </c>
      <c r="AI166" s="87"/>
      <c r="AJ166" s="87">
        <v>2019</v>
      </c>
      <c r="AK166" s="87">
        <v>25</v>
      </c>
      <c r="AM166" s="2"/>
      <c r="AN166" s="205" t="str">
        <f>C164</f>
        <v>R-SW_Att_GAS_HHPN1</v>
      </c>
      <c r="AO166" s="205" t="str">
        <f>D164</f>
        <v>Residential Gas Hybrid Heat Pump - Air to Water - SH + WH</v>
      </c>
      <c r="AP166" s="100" t="s">
        <v>13</v>
      </c>
      <c r="AQ166" s="116" t="s">
        <v>119</v>
      </c>
      <c r="AR166" s="100" t="s">
        <v>684</v>
      </c>
      <c r="AT166" s="100" t="s">
        <v>75</v>
      </c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M167" s="2"/>
      <c r="AN167" s="205" t="str">
        <f>C166</f>
        <v>R-SW_Att_HET_N1</v>
      </c>
      <c r="AO167" s="205" t="str">
        <f>D166</f>
        <v>Residential District Heating HIU - SH + WH</v>
      </c>
      <c r="AP167" s="100" t="s">
        <v>13</v>
      </c>
      <c r="AQ167" s="116" t="s">
        <v>119</v>
      </c>
      <c r="AR167" s="100" t="s">
        <v>684</v>
      </c>
      <c r="AT167" s="100" t="s">
        <v>75</v>
      </c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4"/>
        <v>0.15768000000000001</v>
      </c>
      <c r="AI168" s="87"/>
      <c r="AJ168" s="87">
        <v>2019</v>
      </c>
      <c r="AK168" s="87">
        <v>5</v>
      </c>
      <c r="AM168" s="2"/>
      <c r="AN168" s="205" t="str">
        <f>C168</f>
        <v>R-WH_Att_ELC_N1</v>
      </c>
      <c r="AO168" s="205" t="str">
        <f>D168</f>
        <v xml:space="preserve">Residential Electric Water Heater </v>
      </c>
      <c r="AP168" s="100" t="s">
        <v>13</v>
      </c>
      <c r="AQ168" s="116" t="s">
        <v>119</v>
      </c>
      <c r="AR168" s="100" t="s">
        <v>684</v>
      </c>
      <c r="AT168" s="100" t="s">
        <v>75</v>
      </c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4"/>
        <v>0.15768000000000001</v>
      </c>
      <c r="AI169" s="67"/>
      <c r="AJ169" s="66">
        <v>2019</v>
      </c>
      <c r="AK169" s="66">
        <v>5</v>
      </c>
      <c r="AM169" s="2"/>
      <c r="AN169" s="205" t="str">
        <f>C169</f>
        <v>R-WH_Att_SOL_N1</v>
      </c>
      <c r="AO169" s="205" t="str">
        <f>D169</f>
        <v xml:space="preserve">Residential Solar Water Heater </v>
      </c>
      <c r="AP169" s="100" t="s">
        <v>13</v>
      </c>
      <c r="AQ169" s="116" t="s">
        <v>119</v>
      </c>
      <c r="AR169" s="100"/>
      <c r="AT169" s="100" t="s">
        <v>75</v>
      </c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2"/>
      <c r="AN170" s="205" t="str">
        <f>C171</f>
        <v>R-SC_Att_ELC_N1</v>
      </c>
      <c r="AO170" s="205" t="str">
        <f>D171</f>
        <v>Residential Electric Air Conditioning</v>
      </c>
      <c r="AP170" s="100" t="s">
        <v>13</v>
      </c>
      <c r="AQ170" s="116" t="s">
        <v>119</v>
      </c>
      <c r="AR170" s="100" t="s">
        <v>684</v>
      </c>
      <c r="AT170" s="100" t="s">
        <v>75</v>
      </c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4"/>
        <v>0.15768000000000001</v>
      </c>
      <c r="AI171" s="89"/>
      <c r="AJ171" s="89">
        <v>2019</v>
      </c>
      <c r="AK171" s="89">
        <v>5</v>
      </c>
      <c r="AM171" s="2"/>
      <c r="AN171" s="205"/>
      <c r="AO171" s="205"/>
      <c r="AP171" s="100"/>
      <c r="AQ171" s="100"/>
      <c r="AR171" s="100"/>
      <c r="AS171" s="100"/>
    </row>
    <row r="172" spans="3:46" ht="15" x14ac:dyDescent="0.25">
      <c r="AN172" s="205"/>
      <c r="AO172" s="205"/>
      <c r="AP172" s="100"/>
      <c r="AQ172" s="100"/>
      <c r="AR172" s="100"/>
      <c r="AS172" s="100"/>
    </row>
    <row r="173" spans="3:46" ht="15" x14ac:dyDescent="0.25">
      <c r="AN173" s="205"/>
      <c r="AO173" s="205"/>
      <c r="AP173" s="100"/>
      <c r="AQ173" s="100"/>
      <c r="AR173" s="100"/>
      <c r="AS173" s="100"/>
    </row>
    <row r="174" spans="3:46" ht="15" x14ac:dyDescent="0.25">
      <c r="AN174" s="205"/>
      <c r="AO174" s="205"/>
      <c r="AP174" s="100"/>
      <c r="AQ174" s="100"/>
      <c r="AR174" s="100"/>
      <c r="AS174" s="100"/>
      <c r="AT174" s="4"/>
    </row>
    <row r="175" spans="3:46" ht="15" x14ac:dyDescent="0.25">
      <c r="AN175" s="205"/>
      <c r="AO175" s="205"/>
      <c r="AP175" s="100"/>
      <c r="AQ175" s="100"/>
      <c r="AR175" s="100"/>
      <c r="AS175" s="100"/>
      <c r="AT175" s="4"/>
    </row>
    <row r="176" spans="3:46" ht="15" x14ac:dyDescent="0.25">
      <c r="H176" s="5" t="s">
        <v>19</v>
      </c>
      <c r="AN176" s="205"/>
      <c r="AO176" s="205"/>
      <c r="AP176" s="100"/>
      <c r="AQ176" s="100"/>
      <c r="AR176" s="100"/>
      <c r="AS176" s="100"/>
      <c r="AT176" s="4"/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790</v>
      </c>
      <c r="I177" s="17" t="s">
        <v>791</v>
      </c>
      <c r="J177" s="17" t="s">
        <v>792</v>
      </c>
      <c r="K177" s="17" t="s">
        <v>793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N177" s="205"/>
      <c r="AO177" s="205"/>
      <c r="AP177" s="100"/>
      <c r="AQ177" s="100"/>
      <c r="AR177" s="100"/>
      <c r="AS177" s="100"/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5" t="s">
        <v>82</v>
      </c>
      <c r="I178" s="626"/>
      <c r="J178" s="626"/>
      <c r="K178" s="627"/>
      <c r="L178" s="625" t="s">
        <v>83</v>
      </c>
      <c r="M178" s="626"/>
      <c r="N178" s="626"/>
      <c r="O178" s="627"/>
      <c r="P178" s="625" t="s">
        <v>84</v>
      </c>
      <c r="Q178" s="626"/>
      <c r="R178" s="626"/>
      <c r="S178" s="627"/>
      <c r="T178" s="625" t="s">
        <v>85</v>
      </c>
      <c r="U178" s="627"/>
      <c r="V178" s="619" t="s">
        <v>86</v>
      </c>
      <c r="W178" s="620"/>
      <c r="X178" s="620"/>
      <c r="Y178" s="621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205"/>
      <c r="AO178" s="205"/>
      <c r="AP178" s="100"/>
      <c r="AQ178" s="100"/>
      <c r="AR178" s="100"/>
      <c r="AS178" s="100"/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205"/>
      <c r="AO179" s="205"/>
      <c r="AP179" s="100"/>
      <c r="AQ179" s="100"/>
      <c r="AR179" s="100"/>
      <c r="AS179" s="100"/>
    </row>
    <row r="180" spans="3:46" ht="15" x14ac:dyDescent="0.25">
      <c r="C180" s="37" t="s">
        <v>253</v>
      </c>
      <c r="D180" s="38"/>
      <c r="E180" s="38"/>
      <c r="F180" s="38"/>
      <c r="G180" s="39"/>
      <c r="H180" s="622" t="s">
        <v>34</v>
      </c>
      <c r="I180" s="623"/>
      <c r="J180" s="623"/>
      <c r="K180" s="624"/>
      <c r="L180" s="623" t="s">
        <v>34</v>
      </c>
      <c r="M180" s="623"/>
      <c r="N180" s="623"/>
      <c r="O180" s="624"/>
      <c r="P180" s="622" t="s">
        <v>34</v>
      </c>
      <c r="Q180" s="623"/>
      <c r="R180" s="623"/>
      <c r="S180" s="624"/>
      <c r="T180" s="628" t="s">
        <v>68</v>
      </c>
      <c r="U180" s="629"/>
      <c r="V180" s="628" t="s">
        <v>487</v>
      </c>
      <c r="W180" s="630"/>
      <c r="X180" s="630"/>
      <c r="Y180" s="629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205"/>
      <c r="AO180" s="205"/>
      <c r="AP180" s="100"/>
      <c r="AQ180" s="100"/>
      <c r="AR180" s="100"/>
      <c r="AS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39">W185*1.3</f>
        <v>4.5825000000000005</v>
      </c>
      <c r="X181" s="349">
        <f t="shared" si="139"/>
        <v>4.5825000000000005</v>
      </c>
      <c r="Y181" s="349">
        <f t="shared" si="139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40">31.536*(AK181/1000)</f>
        <v>0.94608000000000003</v>
      </c>
      <c r="AI181" s="65"/>
      <c r="AJ181" s="65">
        <v>2019</v>
      </c>
      <c r="AK181" s="65">
        <v>30</v>
      </c>
      <c r="AM181" s="100"/>
      <c r="AN181" s="205"/>
      <c r="AO181" s="205"/>
      <c r="AP181" s="100"/>
      <c r="AQ181" s="100"/>
      <c r="AR181" s="100"/>
      <c r="AS181" s="100"/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41">I182*0.7</f>
        <v>0.77</v>
      </c>
      <c r="R182" s="23">
        <f t="shared" ref="R182:R184" si="142">J182*0.7</f>
        <v>0.80499999999999994</v>
      </c>
      <c r="S182" s="57">
        <f t="shared" ref="S182:S184" si="143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44">W186*1.3</f>
        <v>4.9452075289575284</v>
      </c>
      <c r="X182" s="350">
        <f t="shared" si="144"/>
        <v>4.9452075289575284</v>
      </c>
      <c r="Y182" s="350">
        <f t="shared" si="144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40"/>
        <v>1.1983680000000001</v>
      </c>
      <c r="AI182" s="66"/>
      <c r="AJ182" s="66">
        <v>2019</v>
      </c>
      <c r="AK182" s="66">
        <v>38</v>
      </c>
      <c r="AM182" s="100"/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41"/>
        <v>0.81899999999999995</v>
      </c>
      <c r="R183" s="29">
        <f t="shared" si="142"/>
        <v>0.84</v>
      </c>
      <c r="S183" s="58">
        <f t="shared" si="143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40"/>
        <v>1.1983680000000001</v>
      </c>
      <c r="AI183" s="65"/>
      <c r="AJ183" s="65">
        <v>2019</v>
      </c>
      <c r="AK183" s="65">
        <v>38</v>
      </c>
      <c r="AM183" s="100"/>
    </row>
    <row r="184" spans="3:46" x14ac:dyDescent="0.2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41"/>
        <v>0.76300000000000001</v>
      </c>
      <c r="R184" s="23">
        <f t="shared" si="142"/>
        <v>0.79099999999999993</v>
      </c>
      <c r="S184" s="57">
        <f t="shared" si="143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40"/>
        <v>1.1983680000000001</v>
      </c>
      <c r="AI184" s="66"/>
      <c r="AJ184" s="66">
        <v>2019</v>
      </c>
      <c r="AK184" s="66">
        <v>38</v>
      </c>
      <c r="AM184" s="205" t="s">
        <v>20</v>
      </c>
      <c r="AN184" s="11"/>
      <c r="AO184" s="11"/>
      <c r="AP184" s="11"/>
      <c r="AQ184" s="11"/>
      <c r="AR184" s="11"/>
      <c r="AS184" s="11"/>
    </row>
    <row r="185" spans="3:46" ht="25.5" x14ac:dyDescent="0.2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45">3.525</f>
        <v>3.5249999999999999</v>
      </c>
      <c r="X185" s="349">
        <f t="shared" si="145"/>
        <v>3.5249999999999999</v>
      </c>
      <c r="Y185" s="349">
        <f t="shared" si="145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40"/>
        <v>0.94608000000000003</v>
      </c>
      <c r="AI185" s="65"/>
      <c r="AJ185" s="65">
        <v>2100</v>
      </c>
      <c r="AK185" s="65">
        <v>30</v>
      </c>
      <c r="AM185" s="12" t="s">
        <v>27</v>
      </c>
      <c r="AN185" s="12" t="s">
        <v>21</v>
      </c>
      <c r="AO185" s="12" t="s">
        <v>22</v>
      </c>
      <c r="AP185" s="12" t="s">
        <v>28</v>
      </c>
      <c r="AQ185" s="12" t="s">
        <v>29</v>
      </c>
      <c r="AR185" s="12" t="s">
        <v>131</v>
      </c>
      <c r="AS185" s="12" t="s">
        <v>30</v>
      </c>
      <c r="AT185" s="12" t="s">
        <v>67</v>
      </c>
    </row>
    <row r="186" spans="3:46" ht="45" x14ac:dyDescent="0.2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46">I186*0.7</f>
        <v>0.77</v>
      </c>
      <c r="R186" s="23">
        <f t="shared" ref="R186:R188" si="147">J186*0.7</f>
        <v>0.80499999999999994</v>
      </c>
      <c r="S186" s="57">
        <f t="shared" ref="S186:S188" si="148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40"/>
        <v>1.1983680000000001</v>
      </c>
      <c r="AI186" s="66"/>
      <c r="AJ186" s="66">
        <v>2100</v>
      </c>
      <c r="AK186" s="66">
        <v>38</v>
      </c>
      <c r="AM186" s="204" t="s">
        <v>69</v>
      </c>
      <c r="AN186" s="204" t="s">
        <v>70</v>
      </c>
      <c r="AO186" s="204" t="s">
        <v>33</v>
      </c>
      <c r="AP186" s="204" t="s">
        <v>71</v>
      </c>
      <c r="AQ186" s="204" t="s">
        <v>72</v>
      </c>
      <c r="AR186" s="204" t="s">
        <v>683</v>
      </c>
      <c r="AS186" s="204" t="s">
        <v>73</v>
      </c>
      <c r="AT186" s="204" t="s">
        <v>74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46"/>
        <v>0.81899999999999995</v>
      </c>
      <c r="R187" s="29">
        <f t="shared" si="147"/>
        <v>0.84</v>
      </c>
      <c r="S187" s="58">
        <f t="shared" si="148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40"/>
        <v>1.1983680000000001</v>
      </c>
      <c r="AI187" s="65"/>
      <c r="AJ187" s="65">
        <v>2100</v>
      </c>
      <c r="AK187" s="65">
        <v>38</v>
      </c>
      <c r="AM187" s="100" t="s">
        <v>31</v>
      </c>
      <c r="AN187" s="99" t="str">
        <f t="shared" ref="AN187:AN198" si="149">C181</f>
        <v>R-SH_Det_KER_N1</v>
      </c>
      <c r="AO187" s="99" t="str">
        <f t="shared" ref="AO187:AO198" si="150">D181</f>
        <v>Residential Kerosene Heating Oil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46"/>
        <v>0.76300000000000001</v>
      </c>
      <c r="R188" s="23">
        <f t="shared" si="147"/>
        <v>0.79099999999999993</v>
      </c>
      <c r="S188" s="57">
        <f t="shared" si="148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40"/>
        <v>1.1983680000000001</v>
      </c>
      <c r="AI188" s="66"/>
      <c r="AJ188" s="66">
        <v>2100</v>
      </c>
      <c r="AK188" s="66">
        <v>38</v>
      </c>
      <c r="AM188" s="100"/>
      <c r="AN188" s="99" t="str">
        <f t="shared" si="149"/>
        <v>R-SW_Det_KER_N1</v>
      </c>
      <c r="AO188" s="99" t="str">
        <f t="shared" si="150"/>
        <v>Residential Kerosene Heating Oil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51">V185+0.3</f>
        <v>3.8249999999999997</v>
      </c>
      <c r="W189" s="349">
        <f t="shared" si="151"/>
        <v>3.8249999999999997</v>
      </c>
      <c r="X189" s="349">
        <f t="shared" si="151"/>
        <v>3.8249999999999997</v>
      </c>
      <c r="Y189" s="349">
        <f t="shared" si="151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40"/>
        <v>0.94608000000000003</v>
      </c>
      <c r="AI189" s="65"/>
      <c r="AJ189" s="65">
        <v>2019</v>
      </c>
      <c r="AK189" s="65">
        <v>30</v>
      </c>
      <c r="AM189" s="100"/>
      <c r="AN189" s="99" t="str">
        <f t="shared" si="149"/>
        <v>R-SW_Det_KER_N2</v>
      </c>
      <c r="AO189" s="99" t="str">
        <f t="shared" si="150"/>
        <v>Residential Kerosene Heating Oil - New 3 SH+WH + Solar</v>
      </c>
      <c r="AP189" s="100" t="s">
        <v>13</v>
      </c>
      <c r="AQ189" s="116" t="s">
        <v>119</v>
      </c>
      <c r="AR189" s="100"/>
      <c r="AT189" s="100" t="s">
        <v>75</v>
      </c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52">I190*0.7</f>
        <v>0.77</v>
      </c>
      <c r="R190" s="23">
        <f t="shared" ref="R190" si="153">J190*0.7</f>
        <v>0.80499999999999994</v>
      </c>
      <c r="S190" s="57">
        <f t="shared" ref="S190" si="154">K190*0.7</f>
        <v>0.84</v>
      </c>
      <c r="T190" s="53">
        <v>20</v>
      </c>
      <c r="U190" s="25"/>
      <c r="V190" s="350">
        <f t="shared" si="151"/>
        <v>4.1040057915057915</v>
      </c>
      <c r="W190" s="350">
        <f t="shared" si="151"/>
        <v>4.1040057915057915</v>
      </c>
      <c r="X190" s="350">
        <f t="shared" si="151"/>
        <v>4.1040057915057915</v>
      </c>
      <c r="Y190" s="350">
        <f t="shared" si="151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40"/>
        <v>1.1983680000000001</v>
      </c>
      <c r="AI190" s="66"/>
      <c r="AJ190" s="66">
        <v>2019</v>
      </c>
      <c r="AK190" s="66">
        <v>38</v>
      </c>
      <c r="AM190" s="100"/>
      <c r="AN190" s="99" t="str">
        <f t="shared" si="149"/>
        <v>R-SW_Det_KER_N3</v>
      </c>
      <c r="AO190" s="99" t="str">
        <f t="shared" si="150"/>
        <v>Residential Kerosene Heating Oil - New 3 SH+WH + Wood Stove</v>
      </c>
      <c r="AP190" s="101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40"/>
        <v>0.94608000000000003</v>
      </c>
      <c r="AI191" s="65"/>
      <c r="AJ191" s="65">
        <v>2019</v>
      </c>
      <c r="AK191" s="65">
        <v>30</v>
      </c>
      <c r="AM191" s="100"/>
      <c r="AN191" s="99" t="str">
        <f t="shared" si="149"/>
        <v>R-SH_Det_GAS_N1</v>
      </c>
      <c r="AO191" s="99" t="str">
        <f t="shared" si="150"/>
        <v>Residential Natural Gas Heating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55">H192*0.7</f>
        <v>0.72799999999999998</v>
      </c>
      <c r="Q192" s="23">
        <f t="shared" si="155"/>
        <v>0.76300000000000001</v>
      </c>
      <c r="R192" s="23">
        <f t="shared" si="155"/>
        <v>0.79099999999999993</v>
      </c>
      <c r="S192" s="57">
        <f t="shared" si="155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40"/>
        <v>1.1983680000000001</v>
      </c>
      <c r="AI192" s="66"/>
      <c r="AJ192" s="66">
        <v>2019</v>
      </c>
      <c r="AK192" s="66">
        <v>38</v>
      </c>
      <c r="AM192" s="100"/>
      <c r="AN192" s="99" t="str">
        <f t="shared" si="149"/>
        <v>R-SW_Det_GAS_N1</v>
      </c>
      <c r="AO192" s="99" t="str">
        <f t="shared" si="150"/>
        <v>Residential Natural Gas Heating - New 2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40"/>
        <v>0.94608000000000003</v>
      </c>
      <c r="AI193" s="66"/>
      <c r="AJ193" s="65">
        <v>2018</v>
      </c>
      <c r="AK193" s="66">
        <v>30</v>
      </c>
      <c r="AM193" s="100"/>
      <c r="AN193" s="99" t="str">
        <f t="shared" si="149"/>
        <v>R-SW_Det_GAS_N2</v>
      </c>
      <c r="AO193" s="99" t="str">
        <f t="shared" si="150"/>
        <v>Residential Natural Gas Heating - New 3 SH + WH + Solar</v>
      </c>
      <c r="AP193" s="100" t="s">
        <v>13</v>
      </c>
      <c r="AQ193" s="116" t="s">
        <v>119</v>
      </c>
      <c r="AR193" s="100"/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56">H194*0.7</f>
        <v>0.38500000000000001</v>
      </c>
      <c r="Q194" s="23">
        <f t="shared" ref="Q194:Q196" si="157">I194*0.7</f>
        <v>0.38500000000000001</v>
      </c>
      <c r="R194" s="23">
        <f t="shared" ref="R194:R196" si="158">J194*0.7</f>
        <v>0.38500000000000001</v>
      </c>
      <c r="S194" s="57">
        <f t="shared" ref="S194:S196" si="159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40"/>
        <v>1.1983680000000001</v>
      </c>
      <c r="AI194" s="66"/>
      <c r="AJ194" s="66">
        <v>2018</v>
      </c>
      <c r="AK194" s="66">
        <v>38</v>
      </c>
      <c r="AM194" s="100"/>
      <c r="AN194" s="99" t="str">
        <f t="shared" si="149"/>
        <v>R-SW_Det_GAS_N3</v>
      </c>
      <c r="AO194" s="99" t="str">
        <f t="shared" si="150"/>
        <v>Residential Natural Gas Heating - New 4 SH + WH + Wood Stove</v>
      </c>
      <c r="AP194" s="100" t="s">
        <v>13</v>
      </c>
      <c r="AQ194" s="116" t="s">
        <v>119</v>
      </c>
      <c r="AR194" s="100"/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60">W181</f>
        <v>4.5825000000000005</v>
      </c>
      <c r="X195" s="62">
        <f t="shared" si="160"/>
        <v>4.5825000000000005</v>
      </c>
      <c r="Y195" s="62">
        <f t="shared" si="160"/>
        <v>4.5825000000000005</v>
      </c>
      <c r="Z195" s="62">
        <f t="shared" si="160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40"/>
        <v>0.94608000000000003</v>
      </c>
      <c r="AI195" s="65"/>
      <c r="AJ195" s="65">
        <v>2019</v>
      </c>
      <c r="AK195" s="65">
        <v>30</v>
      </c>
      <c r="AM195" s="100"/>
      <c r="AN195" s="99" t="str">
        <f t="shared" si="149"/>
        <v>R-SH_Det_LPG_N1</v>
      </c>
      <c r="AO195" s="99" t="str">
        <f t="shared" si="150"/>
        <v>Residential Liquid Petroleum Gas- New 1 SH</v>
      </c>
      <c r="AP195" s="100" t="s">
        <v>13</v>
      </c>
      <c r="AQ195" s="116" t="s">
        <v>119</v>
      </c>
      <c r="AR195" s="100"/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56"/>
        <v>0.73499999999999999</v>
      </c>
      <c r="Q196" s="26">
        <f t="shared" si="157"/>
        <v>0.77</v>
      </c>
      <c r="R196" s="26">
        <f t="shared" si="158"/>
        <v>0.80499999999999994</v>
      </c>
      <c r="S196" s="59">
        <f t="shared" si="159"/>
        <v>0.84</v>
      </c>
      <c r="T196" s="55">
        <v>20</v>
      </c>
      <c r="U196" s="28"/>
      <c r="V196" s="62">
        <f>V182</f>
        <v>4.9452075289575284</v>
      </c>
      <c r="W196" s="62">
        <f t="shared" ref="W196:Z196" si="161">W182</f>
        <v>4.9452075289575284</v>
      </c>
      <c r="X196" s="62">
        <f t="shared" si="161"/>
        <v>4.9452075289575284</v>
      </c>
      <c r="Y196" s="62">
        <f t="shared" si="161"/>
        <v>4.9452075289575284</v>
      </c>
      <c r="Z196" s="62">
        <f t="shared" si="161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40"/>
        <v>1.1983680000000001</v>
      </c>
      <c r="AI196" s="67"/>
      <c r="AJ196" s="67">
        <v>2019</v>
      </c>
      <c r="AK196" s="67">
        <v>38</v>
      </c>
      <c r="AL196" s="4"/>
      <c r="AM196" s="100"/>
      <c r="AN196" s="99" t="str">
        <f t="shared" si="149"/>
        <v>R-SW_Det_LPG_N1</v>
      </c>
      <c r="AO196" s="99" t="str">
        <f t="shared" si="150"/>
        <v>Residential Liquid Petroleum Gas- New 2 SH + WH</v>
      </c>
      <c r="AP196" s="100" t="s">
        <v>13</v>
      </c>
      <c r="AQ196" s="116" t="s">
        <v>119</v>
      </c>
      <c r="AR196" s="100"/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si="149"/>
        <v>R-SH_Det_WOO_N1</v>
      </c>
      <c r="AO197" s="205" t="str">
        <f t="shared" si="150"/>
        <v>Residential Biomass Boiler - New 1 SH</v>
      </c>
      <c r="AP197" s="100" t="s">
        <v>13</v>
      </c>
      <c r="AQ197" s="116" t="s">
        <v>119</v>
      </c>
      <c r="AR197" s="100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40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si="149"/>
        <v>R-SW_Det_WOO_N1</v>
      </c>
      <c r="AO198" s="205" t="str">
        <f t="shared" si="150"/>
        <v>Residential Biomass Boiler - New 2 SH + WH</v>
      </c>
      <c r="AP198" s="100" t="s">
        <v>13</v>
      </c>
      <c r="AQ198" s="116" t="s">
        <v>119</v>
      </c>
      <c r="AR198" s="100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101" t="s">
        <v>546</v>
      </c>
      <c r="AO199" s="205" t="str">
        <f>D193</f>
        <v>Residential  Stove New 1 - SH</v>
      </c>
      <c r="AP199" s="100" t="s">
        <v>13</v>
      </c>
      <c r="AQ199" s="116" t="s">
        <v>119</v>
      </c>
      <c r="AR199" s="100"/>
      <c r="AT199" s="100"/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40"/>
        <v>0.94608000000000003</v>
      </c>
      <c r="AI200" s="516"/>
      <c r="AJ200" s="516">
        <v>2100</v>
      </c>
      <c r="AK200" s="518">
        <v>30</v>
      </c>
      <c r="AL200" s="4"/>
      <c r="AM200" s="100"/>
      <c r="AN200" s="101" t="s">
        <v>547</v>
      </c>
      <c r="AO200" s="205" t="str">
        <f>D194</f>
        <v>Residential  Stove with back boiler New 1 - SH +WH</v>
      </c>
      <c r="AP200" s="100" t="s">
        <v>13</v>
      </c>
      <c r="AQ200" s="116" t="s">
        <v>119</v>
      </c>
      <c r="AR200" s="100"/>
      <c r="AT200" s="100"/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62">I201*0.9</f>
        <v>0.96</v>
      </c>
      <c r="N201" s="542">
        <f t="shared" si="162"/>
        <v>1.1100000000000001</v>
      </c>
      <c r="O201" s="579">
        <f t="shared" si="162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40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>C195</f>
        <v>R-SH_Det_BDL_N1</v>
      </c>
      <c r="AO201" s="205" t="str">
        <f>D195</f>
        <v>Residential  Biodiesel boiler - New 1 SH</v>
      </c>
      <c r="AP201" s="100" t="s">
        <v>13</v>
      </c>
      <c r="AQ201" s="116" t="s">
        <v>119</v>
      </c>
      <c r="AR201" s="100"/>
      <c r="AT201" s="100" t="s">
        <v>75</v>
      </c>
    </row>
    <row r="202" spans="3:46" ht="15" x14ac:dyDescent="0.25">
      <c r="C202" s="510" t="str">
        <f>"R-SH_Det"&amp;"_"&amp;RIGHT(E202,3)&amp;"_HPN2-AB"</f>
        <v>R-SH_Det_ELC_HPN2-AB</v>
      </c>
      <c r="D202" s="513" t="s">
        <v>759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v>9.8469999999999995</v>
      </c>
      <c r="W202" s="515">
        <f>V202*0.91</f>
        <v>8.9607700000000001</v>
      </c>
      <c r="X202" s="515">
        <f>W202*0.91</f>
        <v>8.1543007000000003</v>
      </c>
      <c r="Y202" s="515">
        <f>V202*0.82</f>
        <v>8.0745399999999989</v>
      </c>
      <c r="Z202" s="514">
        <v>0.1</v>
      </c>
      <c r="AA202" s="516"/>
      <c r="AB202" s="573"/>
      <c r="AC202" s="517"/>
      <c r="AD202" s="517"/>
      <c r="AE202" s="517"/>
      <c r="AF202" s="517"/>
      <c r="AG202" s="577"/>
      <c r="AH202" s="515">
        <f t="shared" si="140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>C196</f>
        <v>R-SW_Det_BDL_N1</v>
      </c>
      <c r="AO202" s="205" t="str">
        <f>D196</f>
        <v>Residential  Biodiesel boiler  - New 1 SH + WH</v>
      </c>
      <c r="AP202" s="100" t="s">
        <v>13</v>
      </c>
      <c r="AQ202" s="116" t="s">
        <v>119</v>
      </c>
      <c r="AR202" s="100"/>
      <c r="AT202" s="100" t="s">
        <v>75</v>
      </c>
    </row>
    <row r="203" spans="3:46" ht="15" x14ac:dyDescent="0.25">
      <c r="C203" s="519" t="str">
        <f>"R-SH_Det"&amp;"_"&amp;RIGHT(E203,3)&amp;"_HPN2-ABC"</f>
        <v>R-SH_Det_ELC_HPN2-ABC</v>
      </c>
      <c r="D203" s="23" t="s">
        <v>758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9.8469999999999995</v>
      </c>
      <c r="W203" s="63">
        <v>8.9607700000000001</v>
      </c>
      <c r="X203" s="63">
        <v>8.1543007000000003</v>
      </c>
      <c r="Y203" s="63">
        <v>8.0745399999999989</v>
      </c>
      <c r="Z203" s="58">
        <v>0.1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>C198</f>
        <v>R-SH_Det_ELC_N1</v>
      </c>
      <c r="AO203" s="205" t="str">
        <f>D198</f>
        <v>Residential Electric Heater - New 1 SH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" x14ac:dyDescent="0.25">
      <c r="C204" s="521" t="str">
        <f>"R-SH_Det"&amp;"_"&amp;RIGHT(E204,3)&amp;"_HPN2-ABD"</f>
        <v>R-SH_Det_ELC_HPN2-ABD</v>
      </c>
      <c r="D204" s="29" t="s">
        <v>760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9.8469999999999995</v>
      </c>
      <c r="W204" s="62">
        <v>8.9607700000000001</v>
      </c>
      <c r="X204" s="62">
        <v>8.1543007000000003</v>
      </c>
      <c r="Y204" s="62">
        <v>8.0745399999999989</v>
      </c>
      <c r="Z204" s="58">
        <v>0.1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ref="AN204:AO206" si="163">C200</f>
        <v>R-SH_Det_ELC_HPN1</v>
      </c>
      <c r="AO204" s="205" t="str">
        <f t="shared" si="163"/>
        <v>Residential Electric Heat Pump - Air to Air - SH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" x14ac:dyDescent="0.25">
      <c r="C205" s="519" t="str">
        <f>"R-SH_Det"&amp;"_"&amp;RIGHT(E205,3)&amp;"_HPN2-ABE"</f>
        <v>R-SH_Det_ELC_HPN2-ABE</v>
      </c>
      <c r="D205" s="23" t="s">
        <v>761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9.8469999999999995</v>
      </c>
      <c r="W205" s="63">
        <v>8.9607700000000001</v>
      </c>
      <c r="X205" s="63">
        <v>8.1543007000000003</v>
      </c>
      <c r="Y205" s="63">
        <v>8.0745399999999989</v>
      </c>
      <c r="Z205" s="58">
        <v>0.1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63"/>
        <v>R-HC_Det_ELC_HPN1</v>
      </c>
      <c r="AO205" s="205" t="str">
        <f t="shared" si="163"/>
        <v>Residential Electric Heat Pump - Air to Air - SH + SC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" x14ac:dyDescent="0.25">
      <c r="C206" s="521" t="str">
        <f>"R-SH_Det"&amp;"_"&amp;RIGHT(E206,3)&amp;"_HPN2-ABF"</f>
        <v>R-SH_Det_ELC_HPN2-ABF</v>
      </c>
      <c r="D206" s="29" t="s">
        <v>782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9.8469999999999995</v>
      </c>
      <c r="W206" s="62">
        <v>8.9607700000000001</v>
      </c>
      <c r="X206" s="62">
        <v>8.1543007000000003</v>
      </c>
      <c r="Y206" s="62">
        <v>8.0745399999999989</v>
      </c>
      <c r="Z206" s="58">
        <v>0.1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63"/>
        <v>R-SH_Det_ELC_HPN2-AB</v>
      </c>
      <c r="AO206" s="205" t="str">
        <f t="shared" si="163"/>
        <v>Residential Electric Heat Pump AB - Air to Water - SH - AB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" x14ac:dyDescent="0.25">
      <c r="C207" s="519" t="str">
        <f>"R-SH_Det"&amp;"_"&amp;RIGHT(E207,3)&amp;"_HPN2-ABG"</f>
        <v>R-SH_Det_ELC_HPN2-ABG</v>
      </c>
      <c r="D207" s="23" t="s">
        <v>763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9.8469999999999995</v>
      </c>
      <c r="W207" s="63">
        <v>8.9607700000000001</v>
      </c>
      <c r="X207" s="63">
        <v>8.1543007000000003</v>
      </c>
      <c r="Y207" s="63">
        <v>8.0745399999999989</v>
      </c>
      <c r="Z207" s="58">
        <v>0.1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ref="AN207:AO207" si="164">C203</f>
        <v>R-SH_Det_ELC_HPN2-ABC</v>
      </c>
      <c r="AO207" s="205" t="str">
        <f t="shared" si="164"/>
        <v>Residential Electric Heat Pump AB - Air to Water - SH - C rated dwelling</v>
      </c>
      <c r="AP207" s="100" t="s">
        <v>13</v>
      </c>
      <c r="AQ207" s="116" t="s">
        <v>119</v>
      </c>
      <c r="AR207" s="100" t="s">
        <v>684</v>
      </c>
      <c r="AS207" s="4"/>
      <c r="AT207" s="100" t="s">
        <v>75</v>
      </c>
    </row>
    <row r="208" spans="3:46" ht="15" x14ac:dyDescent="0.25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$H$202*AM320</f>
        <v>0.85285285285285284</v>
      </c>
      <c r="I208" s="29">
        <f>$I$202*AM320</f>
        <v>0.93813813813813796</v>
      </c>
      <c r="J208" s="29">
        <f>$J$202*AM320</f>
        <v>1.0518518518518518</v>
      </c>
      <c r="K208" s="58">
        <f>$K$202*AM320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 t="shared" ref="V208:Y212" si="165">V26/$V$20*$V$202</f>
        <v>10.465579692897526</v>
      </c>
      <c r="W208" s="62">
        <f t="shared" si="165"/>
        <v>10.465579692897526</v>
      </c>
      <c r="X208" s="62">
        <f t="shared" si="165"/>
        <v>9.4808796928975259</v>
      </c>
      <c r="Y208" s="62">
        <f t="shared" si="165"/>
        <v>9.4808796928975259</v>
      </c>
      <c r="Z208" s="58">
        <v>0.1</v>
      </c>
      <c r="AA208" s="65"/>
      <c r="AB208" s="42"/>
      <c r="AC208" s="71"/>
      <c r="AD208" s="71"/>
      <c r="AE208" s="71"/>
      <c r="AF208" s="71"/>
      <c r="AG208" s="209"/>
      <c r="AH208" s="62">
        <f t="shared" si="140"/>
        <v>0.94608000000000003</v>
      </c>
      <c r="AI208" s="65"/>
      <c r="AJ208" s="65">
        <v>2019</v>
      </c>
      <c r="AK208" s="522">
        <v>30</v>
      </c>
      <c r="AL208" s="4"/>
      <c r="AM208" s="100"/>
      <c r="AN208" s="205" t="str">
        <f t="shared" ref="AN208:AO208" si="166">C204</f>
        <v>R-SH_Det_ELC_HPN2-ABD</v>
      </c>
      <c r="AO208" s="205" t="str">
        <f t="shared" si="166"/>
        <v>Residential Electric Heat Pump AB - Air to Water - SH - D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" x14ac:dyDescent="0.25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$H$202*AM321</f>
        <v>0.81606606606606602</v>
      </c>
      <c r="I209" s="23">
        <f>$I$202*AM321</f>
        <v>0.89767267267267248</v>
      </c>
      <c r="J209" s="23">
        <f>$J$202*AM321</f>
        <v>1.0064814814814815</v>
      </c>
      <c r="K209" s="57">
        <f>$K$202*AM321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65"/>
        <v>11.084159385795052</v>
      </c>
      <c r="W209" s="63">
        <f t="shared" si="165"/>
        <v>11.084159385795052</v>
      </c>
      <c r="X209" s="63">
        <f t="shared" si="165"/>
        <v>10.099459385795051</v>
      </c>
      <c r="Y209" s="63">
        <f t="shared" si="165"/>
        <v>10.099459385795051</v>
      </c>
      <c r="Z209" s="58">
        <v>0.1</v>
      </c>
      <c r="AA209" s="66"/>
      <c r="AB209" s="44"/>
      <c r="AC209" s="72"/>
      <c r="AD209" s="72"/>
      <c r="AE209" s="72"/>
      <c r="AF209" s="72"/>
      <c r="AG209" s="66"/>
      <c r="AH209" s="63">
        <f t="shared" si="140"/>
        <v>0.94608000000000003</v>
      </c>
      <c r="AI209" s="66"/>
      <c r="AJ209" s="66">
        <v>2019</v>
      </c>
      <c r="AK209" s="520">
        <v>30</v>
      </c>
      <c r="AL209" s="4"/>
      <c r="AM209" s="100"/>
      <c r="AN209" s="205" t="str">
        <f t="shared" ref="AN209:AO209" si="167">C205</f>
        <v>R-SH_Det_ELC_HPN2-ABE</v>
      </c>
      <c r="AO209" s="205" t="str">
        <f t="shared" si="167"/>
        <v>Residential Electric Heat Pump AB - Air to Water - SH - E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" x14ac:dyDescent="0.25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$H$202*AM322</f>
        <v>0.7792792792792792</v>
      </c>
      <c r="I210" s="23">
        <f>$I$202*AM322</f>
        <v>0.857207207207207</v>
      </c>
      <c r="J210" s="23">
        <f>$J$202*AM322</f>
        <v>0.96111111111111103</v>
      </c>
      <c r="K210" s="57">
        <f>$K$202*AM322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65"/>
        <v>11.721483917871291</v>
      </c>
      <c r="W210" s="63">
        <f t="shared" si="165"/>
        <v>11.721483917871291</v>
      </c>
      <c r="X210" s="63">
        <f t="shared" si="165"/>
        <v>10.736783917871291</v>
      </c>
      <c r="Y210" s="63">
        <f t="shared" si="165"/>
        <v>10.736783917871291</v>
      </c>
      <c r="Z210" s="58">
        <v>0.1</v>
      </c>
      <c r="AA210" s="66"/>
      <c r="AB210" s="44"/>
      <c r="AC210" s="72"/>
      <c r="AD210" s="72"/>
      <c r="AE210" s="72"/>
      <c r="AF210" s="72"/>
      <c r="AG210" s="66"/>
      <c r="AH210" s="63">
        <f t="shared" si="140"/>
        <v>0.94608000000000003</v>
      </c>
      <c r="AI210" s="66"/>
      <c r="AJ210" s="66">
        <v>2019</v>
      </c>
      <c r="AK210" s="520">
        <v>30</v>
      </c>
      <c r="AL210" s="4"/>
      <c r="AM210" s="100"/>
      <c r="AN210" s="205" t="str">
        <f t="shared" ref="AN210:AO210" si="168">C206</f>
        <v>R-SH_Det_ELC_HPN2-ABF</v>
      </c>
      <c r="AO210" s="205" t="str">
        <f t="shared" si="168"/>
        <v>Residential Electric Heat Pump AB - Air to Water - SH - F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" x14ac:dyDescent="0.25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$H$202*AM323</f>
        <v>0.74249249249249238</v>
      </c>
      <c r="I211" s="29">
        <f>$I$202*AM323</f>
        <v>0.81674174174174152</v>
      </c>
      <c r="J211" s="29">
        <f>$J$202*AM323</f>
        <v>0.91574074074074063</v>
      </c>
      <c r="K211" s="58">
        <f>$K$202*AM323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65"/>
        <v>11.91788305643113</v>
      </c>
      <c r="W211" s="62">
        <f t="shared" si="165"/>
        <v>11.91788305643113</v>
      </c>
      <c r="X211" s="62">
        <f t="shared" si="165"/>
        <v>10.93318305643113</v>
      </c>
      <c r="Y211" s="62">
        <f t="shared" si="165"/>
        <v>10.93318305643113</v>
      </c>
      <c r="Z211" s="58">
        <v>0.1</v>
      </c>
      <c r="AA211" s="65"/>
      <c r="AB211" s="42"/>
      <c r="AC211" s="71"/>
      <c r="AD211" s="71"/>
      <c r="AE211" s="71"/>
      <c r="AF211" s="71"/>
      <c r="AG211" s="209"/>
      <c r="AH211" s="62">
        <f t="shared" si="140"/>
        <v>0.94608000000000003</v>
      </c>
      <c r="AI211" s="65"/>
      <c r="AJ211" s="65">
        <v>2019</v>
      </c>
      <c r="AK211" s="522">
        <v>30</v>
      </c>
      <c r="AL211" s="4"/>
      <c r="AM211" s="100"/>
      <c r="AN211" s="205" t="str">
        <f t="shared" ref="AN211:AO211" si="169">C207</f>
        <v>R-SH_Det_ELC_HPN2-ABG</v>
      </c>
      <c r="AO211" s="205" t="str">
        <f t="shared" si="169"/>
        <v>Residential Electric Heat Pump AB - Air to Water - SH - G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$H$202*AM324</f>
        <v>0.70570570570570568</v>
      </c>
      <c r="I212" s="526">
        <f>$I$202*AM324</f>
        <v>0.77627627627627616</v>
      </c>
      <c r="J212" s="526">
        <f>$J$202*AM324</f>
        <v>0.87037037037037035</v>
      </c>
      <c r="K212" s="527">
        <f>$K$202*AM324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65"/>
        <v>12.114282194990967</v>
      </c>
      <c r="W212" s="528">
        <f t="shared" si="165"/>
        <v>12.114282194990967</v>
      </c>
      <c r="X212" s="528">
        <f t="shared" si="165"/>
        <v>11.129582194990967</v>
      </c>
      <c r="Y212" s="528">
        <f t="shared" si="165"/>
        <v>11.129582194990967</v>
      </c>
      <c r="Z212" s="582">
        <v>0.1</v>
      </c>
      <c r="AA212" s="529"/>
      <c r="AB212" s="578"/>
      <c r="AC212" s="530"/>
      <c r="AD212" s="530"/>
      <c r="AE212" s="530"/>
      <c r="AF212" s="530"/>
      <c r="AG212" s="529"/>
      <c r="AH212" s="528">
        <f t="shared" si="140"/>
        <v>0.94608000000000003</v>
      </c>
      <c r="AI212" s="529"/>
      <c r="AJ212" s="529">
        <v>2019</v>
      </c>
      <c r="AK212" s="531">
        <v>30</v>
      </c>
      <c r="AL212" s="4"/>
      <c r="AM212" s="100"/>
      <c r="AN212" s="205" t="str">
        <f t="shared" ref="AN212:AO217" si="170">C208</f>
        <v>R-SH_Det_ELC_HPN2-C</v>
      </c>
      <c r="AO212" s="205" t="str">
        <f t="shared" si="170"/>
        <v>Residential Electric Heat Pump - Air to Water - SH - C rated dwelling</v>
      </c>
      <c r="AP212" s="100" t="s">
        <v>13</v>
      </c>
      <c r="AQ212" s="116" t="s">
        <v>119</v>
      </c>
      <c r="AR212" s="100" t="s">
        <v>684</v>
      </c>
      <c r="AT212" s="100" t="s">
        <v>75</v>
      </c>
    </row>
    <row r="213" spans="3:46" ht="15" x14ac:dyDescent="0.25">
      <c r="C213" s="510" t="str">
        <f>"R-SW_Det"&amp;"_"&amp;RIGHT(E213,3)&amp;"_HPN1-AB"</f>
        <v>R-SW_Det_ELC_HPN1-AB</v>
      </c>
      <c r="D213" s="513" t="s">
        <v>746</v>
      </c>
      <c r="E213" s="511" t="s">
        <v>144</v>
      </c>
      <c r="F213" s="511" t="s">
        <v>565</v>
      </c>
      <c r="G213" s="514" t="s">
        <v>783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71">I213*0.7</f>
        <v>0.76999999999999991</v>
      </c>
      <c r="R213" s="513">
        <f t="shared" si="171"/>
        <v>0.86333333333333329</v>
      </c>
      <c r="S213" s="514">
        <f t="shared" si="171"/>
        <v>0.93333333333333324</v>
      </c>
      <c r="T213" s="575">
        <v>20</v>
      </c>
      <c r="U213" s="576"/>
      <c r="V213" s="515">
        <f>V202*($U$287/$U$286)</f>
        <v>9.9300970464135023</v>
      </c>
      <c r="W213" s="515">
        <f>W202*($U$287/$U$286)</f>
        <v>9.0363883122362889</v>
      </c>
      <c r="X213" s="515">
        <f>X202*($U$287/$U$286)</f>
        <v>8.2231133641350223</v>
      </c>
      <c r="Y213" s="515">
        <f>Y202*($U$287/$U$286)</f>
        <v>8.1426795780590719</v>
      </c>
      <c r="Z213" s="514">
        <v>0.1</v>
      </c>
      <c r="AA213" s="516"/>
      <c r="AB213" s="573"/>
      <c r="AC213" s="517"/>
      <c r="AD213" s="517"/>
      <c r="AE213" s="517"/>
      <c r="AF213" s="517"/>
      <c r="AG213" s="577"/>
      <c r="AH213" s="515">
        <f t="shared" si="140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si="170"/>
        <v>R-SH_Det_ELC_HPN2-D</v>
      </c>
      <c r="AO213" s="205" t="str">
        <f t="shared" si="170"/>
        <v>Residential Electric Heat Pump - Air to Water - SH - D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" x14ac:dyDescent="0.25">
      <c r="C214" s="519" t="str">
        <f>"R-SW_Det"&amp;"_"&amp;RIGHT(E214,3)&amp;"_HPN1-ABC"</f>
        <v>R-SW_Det_ELC_HPN1-ABC</v>
      </c>
      <c r="D214" s="23" t="s">
        <v>746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9.9300970464135023</v>
      </c>
      <c r="W214" s="63">
        <v>9.0363883122362889</v>
      </c>
      <c r="X214" s="63">
        <v>8.2231133641350223</v>
      </c>
      <c r="Y214" s="63">
        <v>8.1426795780590719</v>
      </c>
      <c r="Z214" s="58">
        <v>0.1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70"/>
        <v>R-SH_Det_ELC_HPN2-E</v>
      </c>
      <c r="AO214" s="205" t="str">
        <f t="shared" si="170"/>
        <v>Residential Electric Heat Pump - Air to Water - SH - E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" x14ac:dyDescent="0.25">
      <c r="C215" s="521" t="str">
        <f>"R-SW_Det"&amp;"_"&amp;RIGHT(E215,3)&amp;"_HPN1-ABD"</f>
        <v>R-SW_Det_ELC_HPN1-ABD</v>
      </c>
      <c r="D215" s="29" t="s">
        <v>746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9.9300970464135023</v>
      </c>
      <c r="W215" s="62">
        <v>9.0363883122362889</v>
      </c>
      <c r="X215" s="62">
        <v>8.2231133641350223</v>
      </c>
      <c r="Y215" s="62">
        <v>8.1426795780590719</v>
      </c>
      <c r="Z215" s="58">
        <v>0.1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70"/>
        <v>R-SH_Det_ELC_HPN2-F</v>
      </c>
      <c r="AO215" s="205" t="str">
        <f t="shared" si="170"/>
        <v>Residential Electric Heat Pump - Air to Water - SH - F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" x14ac:dyDescent="0.25">
      <c r="C216" s="519" t="str">
        <f>"R-SW_Det"&amp;"_"&amp;RIGHT(E216,3)&amp;"_HPN1-ABE"</f>
        <v>R-SW_Det_ELC_HPN1-ABE</v>
      </c>
      <c r="D216" s="23" t="s">
        <v>746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9.9300970464135023</v>
      </c>
      <c r="W216" s="63">
        <v>9.0363883122362889</v>
      </c>
      <c r="X216" s="63">
        <v>8.2231133641350223</v>
      </c>
      <c r="Y216" s="63">
        <v>8.1426795780590719</v>
      </c>
      <c r="Z216" s="58">
        <v>0.1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70"/>
        <v>R-SH_Det_ELC_HPN2-G</v>
      </c>
      <c r="AO216" s="205" t="str">
        <f t="shared" si="170"/>
        <v>Residential Electric Heat Pump - Air to Water - SH - G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" x14ac:dyDescent="0.25">
      <c r="C217" s="521" t="str">
        <f>"R-SW_Det"&amp;"_"&amp;RIGHT(E217,3)&amp;"_HPN1-ABF"</f>
        <v>R-SW_Det_ELC_HPN1-ABF</v>
      </c>
      <c r="D217" s="29" t="s">
        <v>746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9.9300970464135023</v>
      </c>
      <c r="W217" s="62">
        <v>9.0363883122362889</v>
      </c>
      <c r="X217" s="62">
        <v>8.2231133641350223</v>
      </c>
      <c r="Y217" s="62">
        <v>8.1426795780590719</v>
      </c>
      <c r="Z217" s="58">
        <v>0.1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70"/>
        <v>R-SW_Det_ELC_HPN1-AB</v>
      </c>
      <c r="AO217" s="205" t="str">
        <f t="shared" si="170"/>
        <v>Residential Electric Heat Pump AB - Air to Water - SH + WH - AB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" x14ac:dyDescent="0.25">
      <c r="C218" s="519" t="str">
        <f>"R-SW_Det"&amp;"_"&amp;RIGHT(E218,3)&amp;"_HPN1-ABG"</f>
        <v>R-SW_Det_ELC_HPN1-ABG</v>
      </c>
      <c r="D218" s="23" t="s">
        <v>746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9.9300970464135023</v>
      </c>
      <c r="W218" s="63">
        <v>9.0363883122362889</v>
      </c>
      <c r="X218" s="63">
        <v>8.2231133641350223</v>
      </c>
      <c r="Y218" s="63">
        <v>8.1426795780590719</v>
      </c>
      <c r="Z218" s="58">
        <v>0.1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ref="AN218:AO218" si="172">C214</f>
        <v>R-SW_Det_ELC_HPN1-ABC</v>
      </c>
      <c r="AO218" s="205" t="str">
        <f t="shared" si="172"/>
        <v>Residential Electric Heat Pump AB - Air to Water - SH + WH - AB rated dwelling</v>
      </c>
      <c r="AP218" s="100" t="s">
        <v>13</v>
      </c>
      <c r="AQ218" s="116" t="s">
        <v>119</v>
      </c>
      <c r="AR218" s="100" t="s">
        <v>684</v>
      </c>
      <c r="AS218" s="4"/>
      <c r="AT218" s="100" t="s">
        <v>75</v>
      </c>
    </row>
    <row r="219" spans="3:46" ht="15" x14ac:dyDescent="0.25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73">H208</f>
        <v>0.85285285285285284</v>
      </c>
      <c r="I219" s="29">
        <f t="shared" si="173"/>
        <v>0.93813813813813796</v>
      </c>
      <c r="J219" s="29">
        <f t="shared" si="173"/>
        <v>1.0518518518518518</v>
      </c>
      <c r="K219" s="58">
        <f t="shared" si="173"/>
        <v>1.137137137137137</v>
      </c>
      <c r="L219" s="42"/>
      <c r="M219" s="31"/>
      <c r="N219" s="31"/>
      <c r="O219" s="43"/>
      <c r="P219" s="40">
        <f t="shared" ref="P219:P223" si="174">H219*0.7</f>
        <v>0.59699699699699693</v>
      </c>
      <c r="Q219" s="29">
        <f t="shared" si="171"/>
        <v>0.6566966966966965</v>
      </c>
      <c r="R219" s="29">
        <f t="shared" si="171"/>
        <v>0.73629629629629623</v>
      </c>
      <c r="S219" s="58">
        <f t="shared" si="171"/>
        <v>0.79599599599599591</v>
      </c>
      <c r="T219" s="54">
        <v>20</v>
      </c>
      <c r="U219" s="41"/>
      <c r="V219" s="62">
        <f t="shared" ref="V219:Y223" si="175">V26/$V$20*$V$213</f>
        <v>10.553896821107632</v>
      </c>
      <c r="W219" s="62">
        <f t="shared" si="175"/>
        <v>10.553896821107632</v>
      </c>
      <c r="X219" s="62">
        <f t="shared" si="175"/>
        <v>9.560887116466283</v>
      </c>
      <c r="Y219" s="62">
        <f t="shared" si="175"/>
        <v>9.560887116466283</v>
      </c>
      <c r="Z219" s="58">
        <v>0.1</v>
      </c>
      <c r="AA219" s="65"/>
      <c r="AB219" s="42"/>
      <c r="AC219" s="71"/>
      <c r="AD219" s="71"/>
      <c r="AE219" s="71"/>
      <c r="AF219" s="71"/>
      <c r="AG219" s="209"/>
      <c r="AH219" s="62">
        <f t="shared" si="140"/>
        <v>1.1983680000000001</v>
      </c>
      <c r="AI219" s="65"/>
      <c r="AJ219" s="65">
        <v>2019</v>
      </c>
      <c r="AK219" s="522">
        <v>38</v>
      </c>
      <c r="AL219" s="4"/>
      <c r="AM219" s="100"/>
      <c r="AN219" s="205" t="str">
        <f t="shared" ref="AN219:AO219" si="176">C215</f>
        <v>R-SW_Det_ELC_HPN1-ABD</v>
      </c>
      <c r="AO219" s="205" t="str">
        <f t="shared" si="176"/>
        <v>Residential Electric Heat Pump AB - Air to Water - SH + WH - AB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" x14ac:dyDescent="0.25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73"/>
        <v>0.81606606606606602</v>
      </c>
      <c r="I220" s="23">
        <f t="shared" si="173"/>
        <v>0.89767267267267248</v>
      </c>
      <c r="J220" s="23">
        <f t="shared" si="173"/>
        <v>1.0064814814814815</v>
      </c>
      <c r="K220" s="57">
        <f t="shared" si="173"/>
        <v>1.0880880880880879</v>
      </c>
      <c r="L220" s="44"/>
      <c r="M220" s="32"/>
      <c r="N220" s="32"/>
      <c r="O220" s="45"/>
      <c r="P220" s="22">
        <f t="shared" si="174"/>
        <v>0.5712462462462462</v>
      </c>
      <c r="Q220" s="23">
        <f t="shared" si="171"/>
        <v>0.62837087087087073</v>
      </c>
      <c r="R220" s="23">
        <f t="shared" si="171"/>
        <v>0.70453703703703707</v>
      </c>
      <c r="S220" s="57">
        <f t="shared" si="171"/>
        <v>0.76166166166166149</v>
      </c>
      <c r="T220" s="53">
        <v>20</v>
      </c>
      <c r="U220" s="25"/>
      <c r="V220" s="63">
        <f t="shared" si="175"/>
        <v>11.177696595801763</v>
      </c>
      <c r="W220" s="63">
        <f t="shared" si="175"/>
        <v>11.177696595801763</v>
      </c>
      <c r="X220" s="63">
        <f t="shared" si="175"/>
        <v>10.18468689116041</v>
      </c>
      <c r="Y220" s="63">
        <f t="shared" si="175"/>
        <v>10.18468689116041</v>
      </c>
      <c r="Z220" s="58">
        <v>0.1</v>
      </c>
      <c r="AA220" s="66"/>
      <c r="AB220" s="44"/>
      <c r="AC220" s="72"/>
      <c r="AD220" s="72"/>
      <c r="AE220" s="72"/>
      <c r="AF220" s="72"/>
      <c r="AG220" s="66"/>
      <c r="AH220" s="63">
        <f t="shared" si="140"/>
        <v>1.1983680000000001</v>
      </c>
      <c r="AI220" s="66"/>
      <c r="AJ220" s="66">
        <v>2019</v>
      </c>
      <c r="AK220" s="520">
        <v>38</v>
      </c>
      <c r="AL220" s="4"/>
      <c r="AM220" s="100"/>
      <c r="AN220" s="205" t="str">
        <f t="shared" ref="AN220:AO220" si="177">C216</f>
        <v>R-SW_Det_ELC_HPN1-ABE</v>
      </c>
      <c r="AO220" s="205" t="str">
        <f t="shared" si="177"/>
        <v>Residential Electric Heat Pump AB - Air to Water - SH + WH - AB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" x14ac:dyDescent="0.25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73"/>
        <v>0.7792792792792792</v>
      </c>
      <c r="I221" s="29">
        <f t="shared" si="173"/>
        <v>0.857207207207207</v>
      </c>
      <c r="J221" s="29">
        <f t="shared" si="173"/>
        <v>0.96111111111111103</v>
      </c>
      <c r="K221" s="58">
        <f t="shared" si="173"/>
        <v>1.0390390390390389</v>
      </c>
      <c r="L221" s="42"/>
      <c r="M221" s="31"/>
      <c r="N221" s="31"/>
      <c r="O221" s="43"/>
      <c r="P221" s="40">
        <f t="shared" si="174"/>
        <v>0.54549549549549536</v>
      </c>
      <c r="Q221" s="29">
        <f t="shared" si="171"/>
        <v>0.60004504504504486</v>
      </c>
      <c r="R221" s="29">
        <f t="shared" si="171"/>
        <v>0.6727777777777777</v>
      </c>
      <c r="S221" s="58">
        <f t="shared" si="171"/>
        <v>0.72732732732732719</v>
      </c>
      <c r="T221" s="54">
        <v>20</v>
      </c>
      <c r="U221" s="41"/>
      <c r="V221" s="62">
        <f t="shared" si="175"/>
        <v>11.820399393971472</v>
      </c>
      <c r="W221" s="62">
        <f t="shared" si="175"/>
        <v>11.820399393971472</v>
      </c>
      <c r="X221" s="62">
        <f t="shared" si="175"/>
        <v>10.82738968933012</v>
      </c>
      <c r="Y221" s="62">
        <f t="shared" si="175"/>
        <v>10.82738968933012</v>
      </c>
      <c r="Z221" s="58">
        <v>0.1</v>
      </c>
      <c r="AA221" s="65"/>
      <c r="AB221" s="42"/>
      <c r="AC221" s="71"/>
      <c r="AD221" s="71"/>
      <c r="AE221" s="71"/>
      <c r="AF221" s="71"/>
      <c r="AG221" s="209"/>
      <c r="AH221" s="62">
        <f t="shared" si="140"/>
        <v>1.1983680000000001</v>
      </c>
      <c r="AI221" s="65"/>
      <c r="AJ221" s="65">
        <v>2019</v>
      </c>
      <c r="AK221" s="522">
        <v>38</v>
      </c>
      <c r="AL221" s="4"/>
      <c r="AM221" s="100"/>
      <c r="AN221" s="205" t="str">
        <f t="shared" ref="AN221:AO221" si="178">C217</f>
        <v>R-SW_Det_ELC_HPN1-ABF</v>
      </c>
      <c r="AO221" s="205" t="str">
        <f t="shared" si="178"/>
        <v>Residential Electric Heat Pump AB - Air to Water - SH + WH - AB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" x14ac:dyDescent="0.25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73"/>
        <v>0.74249249249249238</v>
      </c>
      <c r="I222" s="23">
        <f t="shared" si="173"/>
        <v>0.81674174174174152</v>
      </c>
      <c r="J222" s="23">
        <f t="shared" si="173"/>
        <v>0.91574074074074063</v>
      </c>
      <c r="K222" s="57">
        <f t="shared" si="173"/>
        <v>0.98998998998998977</v>
      </c>
      <c r="L222" s="44"/>
      <c r="M222" s="32"/>
      <c r="N222" s="32"/>
      <c r="O222" s="45"/>
      <c r="P222" s="22">
        <f t="shared" si="174"/>
        <v>0.51974474474474464</v>
      </c>
      <c r="Q222" s="23">
        <f t="shared" si="171"/>
        <v>0.57171921921921898</v>
      </c>
      <c r="R222" s="23">
        <f t="shared" si="171"/>
        <v>0.64101851851851843</v>
      </c>
      <c r="S222" s="57">
        <f t="shared" si="171"/>
        <v>0.69299299299299277</v>
      </c>
      <c r="T222" s="53">
        <v>20</v>
      </c>
      <c r="U222" s="25"/>
      <c r="V222" s="63">
        <f t="shared" si="175"/>
        <v>12.018455909228017</v>
      </c>
      <c r="W222" s="63">
        <f t="shared" si="175"/>
        <v>12.018455909228017</v>
      </c>
      <c r="X222" s="63">
        <f t="shared" si="175"/>
        <v>11.025446204586666</v>
      </c>
      <c r="Y222" s="63">
        <f t="shared" si="175"/>
        <v>11.025446204586666</v>
      </c>
      <c r="Z222" s="58">
        <v>0.1</v>
      </c>
      <c r="AA222" s="66"/>
      <c r="AB222" s="44"/>
      <c r="AC222" s="72"/>
      <c r="AD222" s="72"/>
      <c r="AE222" s="72"/>
      <c r="AF222" s="72"/>
      <c r="AG222" s="66"/>
      <c r="AH222" s="63">
        <f t="shared" si="140"/>
        <v>1.1983680000000001</v>
      </c>
      <c r="AI222" s="66"/>
      <c r="AJ222" s="66">
        <v>2019</v>
      </c>
      <c r="AK222" s="520">
        <v>38</v>
      </c>
      <c r="AL222" s="4"/>
      <c r="AM222" s="100"/>
      <c r="AN222" s="205" t="str">
        <f t="shared" ref="AN222:AO222" si="179">C218</f>
        <v>R-SW_Det_ELC_HPN1-ABG</v>
      </c>
      <c r="AO222" s="205" t="str">
        <f t="shared" si="179"/>
        <v>Residential Electric Heat Pump AB - Air to Water - SH + WH - AB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73"/>
        <v>0.70570570570570568</v>
      </c>
      <c r="I223" s="548">
        <f t="shared" si="173"/>
        <v>0.77627627627627616</v>
      </c>
      <c r="J223" s="548">
        <f t="shared" si="173"/>
        <v>0.87037037037037035</v>
      </c>
      <c r="K223" s="582">
        <f t="shared" si="173"/>
        <v>0.94094094094094083</v>
      </c>
      <c r="L223" s="584"/>
      <c r="M223" s="550"/>
      <c r="N223" s="550"/>
      <c r="O223" s="585"/>
      <c r="P223" s="583">
        <f t="shared" si="174"/>
        <v>0.49399399399399396</v>
      </c>
      <c r="Q223" s="548">
        <f t="shared" si="171"/>
        <v>0.54339339339339332</v>
      </c>
      <c r="R223" s="548">
        <f t="shared" si="171"/>
        <v>0.60925925925925917</v>
      </c>
      <c r="S223" s="582">
        <f t="shared" si="171"/>
        <v>0.65865865865865858</v>
      </c>
      <c r="T223" s="586">
        <v>20</v>
      </c>
      <c r="U223" s="587"/>
      <c r="V223" s="588">
        <f t="shared" si="175"/>
        <v>12.216512424484563</v>
      </c>
      <c r="W223" s="588">
        <f t="shared" si="175"/>
        <v>12.216512424484563</v>
      </c>
      <c r="X223" s="588">
        <f t="shared" si="175"/>
        <v>11.223502719843212</v>
      </c>
      <c r="Y223" s="588">
        <f t="shared" si="175"/>
        <v>11.223502719843212</v>
      </c>
      <c r="Z223" s="582">
        <v>0.1</v>
      </c>
      <c r="AA223" s="589"/>
      <c r="AB223" s="584"/>
      <c r="AC223" s="590"/>
      <c r="AD223" s="590"/>
      <c r="AE223" s="590"/>
      <c r="AF223" s="590"/>
      <c r="AG223" s="591"/>
      <c r="AH223" s="588">
        <f t="shared" si="140"/>
        <v>1.1983680000000001</v>
      </c>
      <c r="AI223" s="589"/>
      <c r="AJ223" s="589">
        <v>2019</v>
      </c>
      <c r="AK223" s="592">
        <v>38</v>
      </c>
      <c r="AL223" s="4"/>
      <c r="AM223" s="100"/>
      <c r="AN223" s="205" t="str">
        <f t="shared" ref="AN223:AO228" si="180">C219</f>
        <v>R-SW_Det_ELC_HPN1-C</v>
      </c>
      <c r="AO223" s="205" t="str">
        <f t="shared" si="180"/>
        <v>Residential Electric Heat Pump - Air to Water - SH + WH - C rated dwelling</v>
      </c>
      <c r="AP223" s="100" t="s">
        <v>13</v>
      </c>
      <c r="AQ223" s="116" t="s">
        <v>119</v>
      </c>
      <c r="AR223" s="100" t="s">
        <v>684</v>
      </c>
      <c r="AT223" s="100" t="s">
        <v>75</v>
      </c>
    </row>
    <row r="224" spans="3:46" ht="15" x14ac:dyDescent="0.25">
      <c r="C224" s="554" t="str">
        <f>"R-SW_Det"&amp;"_"&amp;RIGHT(E224,3)&amp;"_HPN2-AB"</f>
        <v>R-SW_Det_ELC_HPN2-AB</v>
      </c>
      <c r="D224" s="556" t="s">
        <v>767</v>
      </c>
      <c r="E224" s="555" t="s">
        <v>531</v>
      </c>
      <c r="F224" s="555" t="s">
        <v>565</v>
      </c>
      <c r="G224" s="593" t="s">
        <v>783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71"/>
        <v>0.77700000000000002</v>
      </c>
      <c r="R224" s="556">
        <f t="shared" si="171"/>
        <v>0.83299999999999996</v>
      </c>
      <c r="S224" s="593">
        <f t="shared" si="171"/>
        <v>0.83299999999999996</v>
      </c>
      <c r="T224" s="597">
        <v>20</v>
      </c>
      <c r="U224" s="598"/>
      <c r="V224" s="599">
        <f>((JRC_Data!BB18+JRC_Data!BB45)*0.8/1000)*($U$291/$U$288)</f>
        <v>15.153057851239668</v>
      </c>
      <c r="W224" s="599">
        <f>((JRC_Data!BC18+JRC_Data!BC45)*0.8/1000)*($U$291/$U$288)</f>
        <v>13.95190082644628</v>
      </c>
      <c r="X224" s="599">
        <f>((JRC_Data!BD18+JRC_Data!BD45)*0.8/1000)*($U$291/$U$288)</f>
        <v>13.489917355371901</v>
      </c>
      <c r="Y224" s="599">
        <f>((JRC_Data!BE18+JRC_Data!BE45)*0.8/1000)*($U$291/$U$288)</f>
        <v>11.734380165289256</v>
      </c>
      <c r="Z224" s="514">
        <f>((JRC_Data!BL18+JRC_Data!BL45)*0.8)/1000</f>
        <v>0.16960000000000003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40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si="180"/>
        <v>R-SW_Det_ELC_HPN1-D</v>
      </c>
      <c r="AO224" s="205" t="str">
        <f t="shared" si="180"/>
        <v>Residential Electric Heat Pump - Air to Water - SH + WH - D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" x14ac:dyDescent="0.25">
      <c r="C225" s="521" t="str">
        <f>"R-SW_Det"&amp;"_"&amp;RIGHT(E225,3)&amp;"_HPN2-ABC"</f>
        <v>R-SW_Det_ELC_HPN2-ABC</v>
      </c>
      <c r="D225" s="29" t="s">
        <v>768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15.153057851239668</v>
      </c>
      <c r="W225" s="62">
        <v>13.95190082644628</v>
      </c>
      <c r="X225" s="62">
        <v>13.489917355371901</v>
      </c>
      <c r="Y225" s="62">
        <v>11.734380165289256</v>
      </c>
      <c r="Z225" s="58">
        <v>0.16960000000000003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80"/>
        <v>R-SW_Det_ELC_HPN1-E</v>
      </c>
      <c r="AO225" s="205" t="str">
        <f t="shared" si="180"/>
        <v>Residential Electric Heat Pump - Air to Water - SH + WH - E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" x14ac:dyDescent="0.25">
      <c r="C226" s="519" t="str">
        <f>"R-SW_Det"&amp;"_"&amp;RIGHT(E226,3)&amp;"_HPN2-ABD"</f>
        <v>R-SW_Det_ELC_HPN2-ABD</v>
      </c>
      <c r="D226" s="23" t="s">
        <v>769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15.153057851239668</v>
      </c>
      <c r="W226" s="63">
        <v>13.95190082644628</v>
      </c>
      <c r="X226" s="63">
        <v>13.489917355371901</v>
      </c>
      <c r="Y226" s="63">
        <v>11.734380165289256</v>
      </c>
      <c r="Z226" s="58">
        <v>0.16960000000000003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80"/>
        <v>R-SW_Det_ELC_HPN1-F</v>
      </c>
      <c r="AO226" s="205" t="str">
        <f t="shared" si="180"/>
        <v>Residential Electric Heat Pump - Air to Water - SH + WH - F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" x14ac:dyDescent="0.25">
      <c r="C227" s="521" t="str">
        <f>"R-SW_Det"&amp;"_"&amp;RIGHT(E227,3)&amp;"_HPN2-ABE"</f>
        <v>R-SW_Det_ELC_HPN2-ABE</v>
      </c>
      <c r="D227" s="29" t="s">
        <v>770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15.153057851239668</v>
      </c>
      <c r="W227" s="62">
        <v>13.95190082644628</v>
      </c>
      <c r="X227" s="62">
        <v>13.489917355371901</v>
      </c>
      <c r="Y227" s="62">
        <v>11.734380165289256</v>
      </c>
      <c r="Z227" s="58">
        <v>0.16960000000000003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80"/>
        <v>R-SW_Det_ELC_HPN1-G</v>
      </c>
      <c r="AO227" s="205" t="str">
        <f t="shared" si="180"/>
        <v>Residential Electric Heat Pump - Air to Water - SH + WH - G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" x14ac:dyDescent="0.25">
      <c r="C228" s="519" t="str">
        <f>"R-SW_Det"&amp;"_"&amp;RIGHT(E228,3)&amp;"_HPN2-ABF"</f>
        <v>R-SW_Det_ELC_HPN2-ABF</v>
      </c>
      <c r="D228" s="23" t="s">
        <v>784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15.153057851239668</v>
      </c>
      <c r="W228" s="63">
        <v>13.95190082644628</v>
      </c>
      <c r="X228" s="63">
        <v>13.489917355371901</v>
      </c>
      <c r="Y228" s="63">
        <v>11.734380165289256</v>
      </c>
      <c r="Z228" s="58">
        <v>0.16960000000000003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M228" s="100"/>
      <c r="AN228" s="205" t="str">
        <f t="shared" si="180"/>
        <v>R-SW_Det_ELC_HPN2-AB</v>
      </c>
      <c r="AO228" s="205" t="str">
        <f t="shared" si="180"/>
        <v>Residential Electric Heat Pump AB - Air to Water - SH + WH + Solar - AB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" x14ac:dyDescent="0.25">
      <c r="C229" s="521" t="str">
        <f>"R-SW_Det"&amp;"_"&amp;RIGHT(E229,3)&amp;"_HPN2-ABG"</f>
        <v>R-SW_Det_ELC_HPN2-ABG</v>
      </c>
      <c r="D229" s="29" t="s">
        <v>772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15.153057851239668</v>
      </c>
      <c r="W229" s="62">
        <v>13.95190082644628</v>
      </c>
      <c r="X229" s="62">
        <v>13.489917355371901</v>
      </c>
      <c r="Y229" s="62">
        <v>11.734380165289256</v>
      </c>
      <c r="Z229" s="58">
        <v>0.16960000000000003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M229" s="100"/>
      <c r="AN229" s="205" t="str">
        <f t="shared" ref="AN229:AO229" si="181">C225</f>
        <v>R-SW_Det_ELC_HPN2-ABC</v>
      </c>
      <c r="AO229" s="205" t="str">
        <f t="shared" si="181"/>
        <v>Residential Electric Heat Pump AB - Air to Water - SH + WH + Solar - C rated dwelling</v>
      </c>
      <c r="AP229" s="100" t="s">
        <v>13</v>
      </c>
      <c r="AQ229" s="116" t="s">
        <v>119</v>
      </c>
      <c r="AR229" s="100" t="s">
        <v>684</v>
      </c>
      <c r="AS229" s="4"/>
      <c r="AT229" s="100" t="s">
        <v>75</v>
      </c>
    </row>
    <row r="230" spans="3:46" ht="15" x14ac:dyDescent="0.25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$H$224*AM320</f>
        <v>0.85285285285285284</v>
      </c>
      <c r="I230" s="23">
        <f>$I$224*AM320</f>
        <v>0.94666666666666677</v>
      </c>
      <c r="J230" s="23">
        <f>$J$224*AM320</f>
        <v>1.0148948948948948</v>
      </c>
      <c r="K230" s="57">
        <f>$K$224*AM320</f>
        <v>1.0148948948948948</v>
      </c>
      <c r="L230" s="44"/>
      <c r="M230" s="32"/>
      <c r="N230" s="32"/>
      <c r="O230" s="45"/>
      <c r="P230" s="22">
        <f t="shared" ref="P230:P234" si="182">H230*0.7</f>
        <v>0.59699699699699693</v>
      </c>
      <c r="Q230" s="23">
        <f t="shared" si="171"/>
        <v>0.66266666666666674</v>
      </c>
      <c r="R230" s="23">
        <f t="shared" si="171"/>
        <v>0.71042642642642628</v>
      </c>
      <c r="S230" s="57">
        <f t="shared" si="171"/>
        <v>0.71042642642642628</v>
      </c>
      <c r="T230" s="53">
        <v>20</v>
      </c>
      <c r="U230" s="25"/>
      <c r="V230" s="63">
        <f t="shared" ref="V230:Y234" si="183">V26/$V$20*$V$224</f>
        <v>16.104959331089194</v>
      </c>
      <c r="W230" s="63">
        <f t="shared" si="183"/>
        <v>16.104959331089194</v>
      </c>
      <c r="X230" s="63">
        <f t="shared" si="183"/>
        <v>14.589653545965227</v>
      </c>
      <c r="Y230" s="63">
        <f t="shared" si="183"/>
        <v>14.589653545965227</v>
      </c>
      <c r="Z230" s="58">
        <f>((JRC_Data!BL18+JRC_Data!BL45)*0.8)/1000</f>
        <v>0.16960000000000003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40"/>
        <v>1.1983680000000001</v>
      </c>
      <c r="AI230" s="66"/>
      <c r="AJ230" s="66">
        <v>2019</v>
      </c>
      <c r="AK230" s="520">
        <v>38</v>
      </c>
      <c r="AL230" s="4"/>
      <c r="AM230" s="100"/>
      <c r="AN230" s="205" t="str">
        <f t="shared" ref="AN230:AO230" si="184">C226</f>
        <v>R-SW_Det_ELC_HPN2-ABD</v>
      </c>
      <c r="AO230" s="205" t="str">
        <f t="shared" si="184"/>
        <v>Residential Electric Heat Pump AB - Air to Water - SH + WH + Solar - D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" x14ac:dyDescent="0.25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$H$224*AM321</f>
        <v>0.81606606606606602</v>
      </c>
      <c r="I231" s="29">
        <f>$I$224*AM321</f>
        <v>0.90583333333333338</v>
      </c>
      <c r="J231" s="29">
        <f>$J$224*AM321</f>
        <v>0.97111861861861848</v>
      </c>
      <c r="K231" s="58">
        <f>$K$224*AM321</f>
        <v>0.97111861861861848</v>
      </c>
      <c r="L231" s="42"/>
      <c r="M231" s="31"/>
      <c r="N231" s="31"/>
      <c r="O231" s="43"/>
      <c r="P231" s="40">
        <f t="shared" si="182"/>
        <v>0.5712462462462462</v>
      </c>
      <c r="Q231" s="29">
        <f t="shared" si="171"/>
        <v>0.63408333333333333</v>
      </c>
      <c r="R231" s="29">
        <f t="shared" si="171"/>
        <v>0.67978303303303289</v>
      </c>
      <c r="S231" s="58">
        <f t="shared" si="171"/>
        <v>0.67978303303303289</v>
      </c>
      <c r="T231" s="54">
        <v>20</v>
      </c>
      <c r="U231" s="41"/>
      <c r="V231" s="62">
        <f t="shared" si="183"/>
        <v>17.056860810938719</v>
      </c>
      <c r="W231" s="62">
        <f t="shared" si="183"/>
        <v>17.056860810938719</v>
      </c>
      <c r="X231" s="62">
        <f t="shared" si="183"/>
        <v>15.541555025814752</v>
      </c>
      <c r="Y231" s="62">
        <f t="shared" si="183"/>
        <v>15.541555025814752</v>
      </c>
      <c r="Z231" s="58">
        <f>((JRC_Data!BL18+JRC_Data!BL45)*0.8)/1000</f>
        <v>0.16960000000000003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40"/>
        <v>1.1983680000000001</v>
      </c>
      <c r="AI231" s="65"/>
      <c r="AJ231" s="65">
        <v>2019</v>
      </c>
      <c r="AK231" s="522">
        <v>38</v>
      </c>
      <c r="AL231" s="4"/>
      <c r="AM231" s="100"/>
      <c r="AN231" s="205" t="str">
        <f t="shared" ref="AN231:AO231" si="185">C227</f>
        <v>R-SW_Det_ELC_HPN2-ABE</v>
      </c>
      <c r="AO231" s="205" t="str">
        <f t="shared" si="185"/>
        <v>Residential Electric Heat Pump AB - Air to Water - SH + WH + Solar - E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" x14ac:dyDescent="0.25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$H$224*AM322</f>
        <v>0.7792792792792792</v>
      </c>
      <c r="I232" s="23">
        <f>$I$224*AM322</f>
        <v>0.86499999999999999</v>
      </c>
      <c r="J232" s="23">
        <f>$J$224*AM322</f>
        <v>0.92734234234234225</v>
      </c>
      <c r="K232" s="57">
        <f>$K$224*AM322</f>
        <v>0.92734234234234225</v>
      </c>
      <c r="L232" s="44"/>
      <c r="M232" s="32"/>
      <c r="N232" s="32"/>
      <c r="O232" s="45"/>
      <c r="P232" s="22">
        <f t="shared" si="182"/>
        <v>0.54549549549549536</v>
      </c>
      <c r="Q232" s="23">
        <f t="shared" si="171"/>
        <v>0.60549999999999993</v>
      </c>
      <c r="R232" s="23">
        <f t="shared" si="171"/>
        <v>0.6491396396396395</v>
      </c>
      <c r="S232" s="57">
        <f t="shared" si="171"/>
        <v>0.6491396396396395</v>
      </c>
      <c r="T232" s="53">
        <v>20</v>
      </c>
      <c r="U232" s="25"/>
      <c r="V232" s="63">
        <f t="shared" si="183"/>
        <v>18.037607790177628</v>
      </c>
      <c r="W232" s="63">
        <f t="shared" si="183"/>
        <v>18.037607790177628</v>
      </c>
      <c r="X232" s="63">
        <f t="shared" si="183"/>
        <v>16.522302005053657</v>
      </c>
      <c r="Y232" s="63">
        <f t="shared" si="183"/>
        <v>16.522302005053657</v>
      </c>
      <c r="Z232" s="58">
        <f>((JRC_Data!BL18+JRC_Data!BL45)*0.8)/1000</f>
        <v>0.16960000000000003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40"/>
        <v>1.1983680000000001</v>
      </c>
      <c r="AI232" s="66"/>
      <c r="AJ232" s="66">
        <v>2019</v>
      </c>
      <c r="AK232" s="520">
        <v>38</v>
      </c>
      <c r="AL232" s="4"/>
      <c r="AM232" s="100"/>
      <c r="AN232" s="205" t="str">
        <f t="shared" ref="AN232:AO232" si="186">C228</f>
        <v>R-SW_Det_ELC_HPN2-ABF</v>
      </c>
      <c r="AO232" s="205" t="str">
        <f t="shared" si="186"/>
        <v>Residential Electric Heat Pump AB - Air to Water - SH + WH + Solar - F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" x14ac:dyDescent="0.25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$H$224*AM323</f>
        <v>0.74249249249249238</v>
      </c>
      <c r="I233" s="29">
        <f>$I$224*AM323</f>
        <v>0.8241666666666666</v>
      </c>
      <c r="J233" s="29">
        <f>$J$224*AM323</f>
        <v>0.88356606606606591</v>
      </c>
      <c r="K233" s="58">
        <f>$K$224*AM323</f>
        <v>0.88356606606606591</v>
      </c>
      <c r="L233" s="42"/>
      <c r="M233" s="31"/>
      <c r="N233" s="31"/>
      <c r="O233" s="43"/>
      <c r="P233" s="40">
        <f t="shared" si="182"/>
        <v>0.51974474474474464</v>
      </c>
      <c r="Q233" s="29">
        <f t="shared" si="171"/>
        <v>0.57691666666666663</v>
      </c>
      <c r="R233" s="29">
        <f t="shared" si="171"/>
        <v>0.61849624624624611</v>
      </c>
      <c r="S233" s="58">
        <f t="shared" si="171"/>
        <v>0.61849624624624611</v>
      </c>
      <c r="T233" s="54">
        <v>20</v>
      </c>
      <c r="U233" s="41"/>
      <c r="V233" s="62">
        <f t="shared" si="183"/>
        <v>18.339836642470797</v>
      </c>
      <c r="W233" s="62">
        <f t="shared" si="183"/>
        <v>18.339836642470797</v>
      </c>
      <c r="X233" s="62">
        <f t="shared" si="183"/>
        <v>16.824530857346829</v>
      </c>
      <c r="Y233" s="62">
        <f t="shared" si="183"/>
        <v>16.824530857346829</v>
      </c>
      <c r="Z233" s="58">
        <f>((JRC_Data!BL18+JRC_Data!BL45)*0.8)/1000</f>
        <v>0.16960000000000003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40"/>
        <v>1.1983680000000001</v>
      </c>
      <c r="AI233" s="65"/>
      <c r="AJ233" s="65">
        <v>2019</v>
      </c>
      <c r="AK233" s="522">
        <v>38</v>
      </c>
      <c r="AL233" s="4"/>
      <c r="AM233" s="100"/>
      <c r="AN233" s="205" t="str">
        <f t="shared" ref="AN233:AO233" si="187">C229</f>
        <v>R-SW_Det_ELC_HPN2-ABG</v>
      </c>
      <c r="AO233" s="205" t="str">
        <f t="shared" si="187"/>
        <v>Residential Electric Heat Pump AB - Air to Water - SH + WH + Solar - G 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$H$224*AM324</f>
        <v>0.70570570570570568</v>
      </c>
      <c r="I234" s="526">
        <f>$I$224*AM324</f>
        <v>0.78333333333333333</v>
      </c>
      <c r="J234" s="526">
        <f>$J$224*AM324</f>
        <v>0.83978978978978969</v>
      </c>
      <c r="K234" s="527">
        <f>$K$224*AM324</f>
        <v>0.83978978978978969</v>
      </c>
      <c r="L234" s="578"/>
      <c r="M234" s="542"/>
      <c r="N234" s="542"/>
      <c r="O234" s="579"/>
      <c r="P234" s="525">
        <f t="shared" si="182"/>
        <v>0.49399399399399396</v>
      </c>
      <c r="Q234" s="526">
        <f t="shared" si="171"/>
        <v>0.54833333333333334</v>
      </c>
      <c r="R234" s="526">
        <f t="shared" si="171"/>
        <v>0.58785285285285271</v>
      </c>
      <c r="S234" s="527">
        <f t="shared" si="171"/>
        <v>0.58785285285285271</v>
      </c>
      <c r="T234" s="580">
        <v>20</v>
      </c>
      <c r="U234" s="581"/>
      <c r="V234" s="528">
        <f t="shared" si="183"/>
        <v>18.642065494763969</v>
      </c>
      <c r="W234" s="528">
        <f t="shared" si="183"/>
        <v>18.642065494763969</v>
      </c>
      <c r="X234" s="528">
        <f t="shared" si="183"/>
        <v>17.126759709640002</v>
      </c>
      <c r="Y234" s="528">
        <f t="shared" si="183"/>
        <v>17.126759709640002</v>
      </c>
      <c r="Z234" s="582">
        <f>((JRC_Data!BL18+JRC_Data!BL45)*0.8)/1000</f>
        <v>0.16960000000000003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40"/>
        <v>1.1983680000000001</v>
      </c>
      <c r="AI234" s="529"/>
      <c r="AJ234" s="529">
        <v>2019</v>
      </c>
      <c r="AK234" s="531">
        <v>38</v>
      </c>
      <c r="AL234" s="4"/>
      <c r="AM234" s="100"/>
      <c r="AN234" s="205" t="str">
        <f t="shared" ref="AN234:AO239" si="188">C230</f>
        <v>R-SW_Det_ELC_HPN2-C</v>
      </c>
      <c r="AO234" s="205" t="str">
        <f t="shared" si="188"/>
        <v>Residential Electric Heat Pump - Air to Water - SH + WH + Solar - C rated dwelling</v>
      </c>
      <c r="AP234" s="100" t="s">
        <v>13</v>
      </c>
      <c r="AQ234" s="116" t="s">
        <v>119</v>
      </c>
      <c r="AR234" s="100" t="s">
        <v>684</v>
      </c>
      <c r="AT234" s="100" t="s">
        <v>75</v>
      </c>
    </row>
    <row r="235" spans="3:46" ht="15" x14ac:dyDescent="0.25">
      <c r="C235" s="510" t="str">
        <f>"R-SH_Det"&amp;"_"&amp;RIGHT(E235,3)&amp;"_HPN3-AB"</f>
        <v>R-SH_Det_ELC_HPN3-AB</v>
      </c>
      <c r="D235" s="513" t="s">
        <v>752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(JRC_Data!BB20/1000)*($U$290/$U$289)</f>
        <v>14.8</v>
      </c>
      <c r="W235" s="515">
        <f>(JRC_Data!BC20/1000)*($U$290/$U$289)</f>
        <v>13.742857142857144</v>
      </c>
      <c r="X235" s="515">
        <f>(JRC_Data!BD20/1000)*($U$290/$U$289)</f>
        <v>12.685714285714287</v>
      </c>
      <c r="Y235" s="515">
        <f>(JRC_Data!BE20/1000)*($U$290/$U$289)</f>
        <v>11.628571428571428</v>
      </c>
      <c r="Z235" s="514">
        <f>JRC_Data!BL20/1000</f>
        <v>0.2</v>
      </c>
      <c r="AA235" s="516"/>
      <c r="AB235" s="573"/>
      <c r="AC235" s="517"/>
      <c r="AD235" s="517"/>
      <c r="AE235" s="517"/>
      <c r="AF235" s="517"/>
      <c r="AG235" s="577"/>
      <c r="AH235" s="515">
        <f t="shared" si="140"/>
        <v>0.94608000000000003</v>
      </c>
      <c r="AI235" s="516"/>
      <c r="AJ235" s="516">
        <v>2019</v>
      </c>
      <c r="AK235" s="518">
        <v>30</v>
      </c>
      <c r="AL235" s="4"/>
      <c r="AM235" s="100"/>
      <c r="AN235" s="205" t="str">
        <f t="shared" si="188"/>
        <v>R-SW_Det_ELC_HPN2-D</v>
      </c>
      <c r="AO235" s="205" t="str">
        <f t="shared" si="188"/>
        <v>Residential Electric Heat Pump - Air to Water - SH + WH + Solar - D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" x14ac:dyDescent="0.25">
      <c r="C236" s="519" t="str">
        <f>"R-SH_Det"&amp;"_"&amp;RIGHT(E236,3)&amp;"_HPN3-ABC"</f>
        <v>R-SH_Det_ELC_HPN3-ABC</v>
      </c>
      <c r="D236" s="23" t="s">
        <v>773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14.8</v>
      </c>
      <c r="W236" s="63">
        <v>13.742857142857144</v>
      </c>
      <c r="X236" s="63">
        <v>12.685714285714287</v>
      </c>
      <c r="Y236" s="63">
        <v>11.628571428571428</v>
      </c>
      <c r="Z236" s="58">
        <v>0.2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100"/>
      <c r="AN236" s="205" t="str">
        <f t="shared" si="188"/>
        <v>R-SW_Det_ELC_HPN2-E</v>
      </c>
      <c r="AO236" s="205" t="str">
        <f t="shared" si="188"/>
        <v>Residential Electric Heat Pump - Air to Water - SH + WH + Solar - E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" x14ac:dyDescent="0.25">
      <c r="C237" s="521" t="str">
        <f>"R-SH_Det"&amp;"_"&amp;RIGHT(E237,3)&amp;"_HPN3-ABD"</f>
        <v>R-SH_Det_ELC_HPN3-ABD</v>
      </c>
      <c r="D237" s="29" t="s">
        <v>754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14.8</v>
      </c>
      <c r="W237" s="62">
        <v>13.742857142857144</v>
      </c>
      <c r="X237" s="62">
        <v>12.685714285714287</v>
      </c>
      <c r="Y237" s="62">
        <v>11.628571428571428</v>
      </c>
      <c r="Z237" s="58">
        <v>0.2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100"/>
      <c r="AN237" s="205" t="str">
        <f t="shared" si="188"/>
        <v>R-SW_Det_ELC_HPN2-F</v>
      </c>
      <c r="AO237" s="205" t="str">
        <f t="shared" si="188"/>
        <v>Residential Electric Heat Pump - Air to Water - SH + WH + Solar - F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" x14ac:dyDescent="0.25">
      <c r="C238" s="519" t="str">
        <f>"R-SH_Det"&amp;"_"&amp;RIGHT(E238,3)&amp;"_HPN3-ABE"</f>
        <v>R-SH_Det_ELC_HPN3-ABE</v>
      </c>
      <c r="D238" s="23" t="s">
        <v>785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14.8</v>
      </c>
      <c r="W238" s="63">
        <v>13.742857142857144</v>
      </c>
      <c r="X238" s="63">
        <v>12.685714285714287</v>
      </c>
      <c r="Y238" s="63">
        <v>11.628571428571428</v>
      </c>
      <c r="Z238" s="58">
        <v>0.2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N238" s="205" t="str">
        <f t="shared" si="188"/>
        <v>R-SW_Det_ELC_HPN2-G</v>
      </c>
      <c r="AO238" s="205" t="str">
        <f t="shared" si="188"/>
        <v>Residential Electric Heat Pump - Air to Water - SH + WH + Solar - G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" x14ac:dyDescent="0.25">
      <c r="C239" s="521" t="str">
        <f>"R-SH_Det"&amp;"_"&amp;RIGHT(E239,3)&amp;"_HPN3-ABF"</f>
        <v>R-SH_Det_ELC_HPN3-ABF</v>
      </c>
      <c r="D239" s="29" t="s">
        <v>774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14.8</v>
      </c>
      <c r="W239" s="62">
        <v>13.742857142857144</v>
      </c>
      <c r="X239" s="62">
        <v>12.685714285714287</v>
      </c>
      <c r="Y239" s="62">
        <v>11.628571428571428</v>
      </c>
      <c r="Z239" s="58">
        <v>0.2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N239" s="205" t="str">
        <f t="shared" si="188"/>
        <v>R-SH_Det_ELC_HPN3-AB</v>
      </c>
      <c r="AO239" s="205" t="str">
        <f t="shared" si="188"/>
        <v>Residential Electric Heat Pump AB - Ground to Water - SH - AB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" x14ac:dyDescent="0.25">
      <c r="C240" s="519" t="str">
        <f>"R-SH_Det"&amp;"_"&amp;RIGHT(E240,3)&amp;"_HPN3-ABG"</f>
        <v>R-SH_Det_ELC_HPN3-ABG</v>
      </c>
      <c r="D240" s="23" t="s">
        <v>757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14.8</v>
      </c>
      <c r="W240" s="63">
        <v>13.742857142857144</v>
      </c>
      <c r="X240" s="63">
        <v>12.685714285714287</v>
      </c>
      <c r="Y240" s="63">
        <v>11.628571428571428</v>
      </c>
      <c r="Z240" s="58">
        <v>0.2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N240" s="205" t="str">
        <f t="shared" ref="AN240:AO240" si="189">C236</f>
        <v>R-SH_Det_ELC_HPN3-ABC</v>
      </c>
      <c r="AO240" s="205" t="str">
        <f t="shared" si="189"/>
        <v>Residential Electric Heat Pump AB - Ground to Water - SH - C rated dwelling</v>
      </c>
      <c r="AP240" s="100" t="s">
        <v>13</v>
      </c>
      <c r="AQ240" s="116" t="s">
        <v>119</v>
      </c>
      <c r="AR240" s="100" t="s">
        <v>684</v>
      </c>
      <c r="AS240" s="4"/>
      <c r="AT240" s="100" t="s">
        <v>75</v>
      </c>
    </row>
    <row r="241" spans="3:46" ht="15" x14ac:dyDescent="0.25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$H$235*AM320</f>
        <v>0.93813813813813796</v>
      </c>
      <c r="I241" s="29">
        <f>$I$235*AM320</f>
        <v>0.994994994994995</v>
      </c>
      <c r="J241" s="29">
        <f>$J$235*AM320</f>
        <v>1.137137137137137</v>
      </c>
      <c r="K241" s="58">
        <f>$K$235*AM320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190">V26/$V$20*$V$235</f>
        <v>15.729722702841819</v>
      </c>
      <c r="W241" s="62">
        <f t="shared" si="190"/>
        <v>15.729722702841819</v>
      </c>
      <c r="X241" s="62">
        <f t="shared" si="190"/>
        <v>14.249722702841819</v>
      </c>
      <c r="Y241" s="62">
        <f t="shared" si="190"/>
        <v>14.249722702841819</v>
      </c>
      <c r="Z241" s="58">
        <v>0.2</v>
      </c>
      <c r="AA241" s="65"/>
      <c r="AB241" s="42"/>
      <c r="AC241" s="71"/>
      <c r="AD241" s="71"/>
      <c r="AE241" s="71"/>
      <c r="AF241" s="71"/>
      <c r="AG241" s="209"/>
      <c r="AH241" s="62">
        <f t="shared" si="140"/>
        <v>0.94608000000000003</v>
      </c>
      <c r="AI241" s="65"/>
      <c r="AJ241" s="65">
        <v>2019</v>
      </c>
      <c r="AK241" s="522">
        <v>30</v>
      </c>
      <c r="AL241" s="4"/>
      <c r="AN241" s="205" t="str">
        <f t="shared" ref="AN241:AO241" si="191">C237</f>
        <v>R-SH_Det_ELC_HPN3-ABD</v>
      </c>
      <c r="AO241" s="205" t="str">
        <f t="shared" si="191"/>
        <v>Residential Electric Heat Pump AB - Ground to Water - SH - D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" x14ac:dyDescent="0.25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$H$235*AM321</f>
        <v>0.89767267267267248</v>
      </c>
      <c r="I242" s="23">
        <f>$I$235*AM321</f>
        <v>0.95207707707707712</v>
      </c>
      <c r="J242" s="23">
        <f>$J$235*AM321</f>
        <v>1.0880880880880879</v>
      </c>
      <c r="K242" s="57">
        <f>$K$235*AM321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190"/>
        <v>16.659445405683638</v>
      </c>
      <c r="W242" s="63">
        <f t="shared" si="190"/>
        <v>16.659445405683638</v>
      </c>
      <c r="X242" s="63">
        <f t="shared" si="190"/>
        <v>15.179445405683637</v>
      </c>
      <c r="Y242" s="63">
        <f t="shared" si="190"/>
        <v>15.179445405683637</v>
      </c>
      <c r="Z242" s="58">
        <v>0.2</v>
      </c>
      <c r="AA242" s="66"/>
      <c r="AB242" s="44"/>
      <c r="AC242" s="72"/>
      <c r="AD242" s="72"/>
      <c r="AE242" s="72"/>
      <c r="AF242" s="72"/>
      <c r="AG242" s="66"/>
      <c r="AH242" s="63">
        <f t="shared" si="140"/>
        <v>0.94608000000000003</v>
      </c>
      <c r="AI242" s="66"/>
      <c r="AJ242" s="66">
        <v>2019</v>
      </c>
      <c r="AK242" s="520">
        <v>30</v>
      </c>
      <c r="AL242" s="4"/>
      <c r="AN242" s="205" t="str">
        <f t="shared" ref="AN242:AO242" si="192">C238</f>
        <v>R-SH_Det_ELC_HPN3-ABE</v>
      </c>
      <c r="AO242" s="205" t="str">
        <f t="shared" si="192"/>
        <v>Residential Electric Heat Pump AB - Ground to Water - SH -E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" x14ac:dyDescent="0.25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$H$235*AM322</f>
        <v>0.857207207207207</v>
      </c>
      <c r="I243" s="29">
        <f>$I$235*AM322</f>
        <v>0.90915915915915912</v>
      </c>
      <c r="J243" s="29">
        <f>$J$235*AM322</f>
        <v>1.0390390390390389</v>
      </c>
      <c r="K243" s="58">
        <f>$K$235*AM322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190"/>
        <v>17.617341523763088</v>
      </c>
      <c r="W243" s="62">
        <f t="shared" si="190"/>
        <v>17.617341523763088</v>
      </c>
      <c r="X243" s="62">
        <f t="shared" si="190"/>
        <v>16.137341523763087</v>
      </c>
      <c r="Y243" s="62">
        <f t="shared" si="190"/>
        <v>16.137341523763087</v>
      </c>
      <c r="Z243" s="58">
        <v>0.2</v>
      </c>
      <c r="AA243" s="65"/>
      <c r="AB243" s="42"/>
      <c r="AC243" s="71"/>
      <c r="AD243" s="71"/>
      <c r="AE243" s="71"/>
      <c r="AF243" s="71"/>
      <c r="AG243" s="209"/>
      <c r="AH243" s="62">
        <f t="shared" si="140"/>
        <v>0.94608000000000003</v>
      </c>
      <c r="AI243" s="65"/>
      <c r="AJ243" s="65">
        <v>2019</v>
      </c>
      <c r="AK243" s="522">
        <v>30</v>
      </c>
      <c r="AL243" s="4"/>
      <c r="AM243" s="4"/>
      <c r="AN243" s="205" t="str">
        <f t="shared" ref="AN243:AO243" si="193">C239</f>
        <v>R-SH_Det_ELC_HPN3-ABF</v>
      </c>
      <c r="AO243" s="205" t="str">
        <f t="shared" si="193"/>
        <v>Residential Electric Heat Pump AB - Ground to Water - SH - Frated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" x14ac:dyDescent="0.25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$H$235*AM323</f>
        <v>0.81674174174174152</v>
      </c>
      <c r="I244" s="23">
        <f>$I$235*AM323</f>
        <v>0.86624124124124113</v>
      </c>
      <c r="J244" s="23">
        <f>$J$235*AM323</f>
        <v>0.98998998998998977</v>
      </c>
      <c r="K244" s="57">
        <f>$K$235*AM323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190"/>
        <v>17.912528611270513</v>
      </c>
      <c r="W244" s="63">
        <f t="shared" si="190"/>
        <v>17.912528611270513</v>
      </c>
      <c r="X244" s="63">
        <f t="shared" si="190"/>
        <v>16.432528611270509</v>
      </c>
      <c r="Y244" s="63">
        <f t="shared" si="190"/>
        <v>16.432528611270509</v>
      </c>
      <c r="Z244" s="58">
        <v>0.2</v>
      </c>
      <c r="AA244" s="66"/>
      <c r="AB244" s="44"/>
      <c r="AC244" s="72"/>
      <c r="AD244" s="72"/>
      <c r="AE244" s="72"/>
      <c r="AF244" s="72"/>
      <c r="AG244" s="66"/>
      <c r="AH244" s="63">
        <f t="shared" si="140"/>
        <v>0.94608000000000003</v>
      </c>
      <c r="AI244" s="66"/>
      <c r="AJ244" s="66">
        <v>2019</v>
      </c>
      <c r="AK244" s="520">
        <v>30</v>
      </c>
      <c r="AL244" s="4"/>
      <c r="AM244" s="4"/>
      <c r="AN244" s="205" t="str">
        <f t="shared" ref="AN244:AO244" si="194">C240</f>
        <v>R-SH_Det_ELC_HPN3-ABG</v>
      </c>
      <c r="AO244" s="205" t="str">
        <f t="shared" si="194"/>
        <v>Residential Electric Heat Pump AB - Ground to Water - SH - G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$H$235*AM324</f>
        <v>0.77627627627627616</v>
      </c>
      <c r="I245" s="548">
        <f>$I$235*AM324</f>
        <v>0.82332332332332336</v>
      </c>
      <c r="J245" s="548">
        <f>$J$235*AM324</f>
        <v>0.94094094094094083</v>
      </c>
      <c r="K245" s="582">
        <f>$K$235*AM324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190"/>
        <v>18.207715698777935</v>
      </c>
      <c r="W245" s="588">
        <f t="shared" si="190"/>
        <v>18.207715698777935</v>
      </c>
      <c r="X245" s="588">
        <f t="shared" si="190"/>
        <v>16.727715698777935</v>
      </c>
      <c r="Y245" s="588">
        <f t="shared" si="190"/>
        <v>16.727715698777935</v>
      </c>
      <c r="Z245" s="58">
        <v>0.2</v>
      </c>
      <c r="AA245" s="589"/>
      <c r="AB245" s="584"/>
      <c r="AC245" s="590"/>
      <c r="AD245" s="590"/>
      <c r="AE245" s="590"/>
      <c r="AF245" s="590"/>
      <c r="AG245" s="591"/>
      <c r="AH245" s="588">
        <f t="shared" si="140"/>
        <v>0.94608000000000003</v>
      </c>
      <c r="AI245" s="589"/>
      <c r="AJ245" s="589">
        <v>2019</v>
      </c>
      <c r="AK245" s="592">
        <v>30</v>
      </c>
      <c r="AL245" s="4"/>
      <c r="AM245" s="4"/>
      <c r="AN245" s="205" t="str">
        <f t="shared" ref="AN245:AO250" si="195">C241</f>
        <v>R-SH_Det_ELC_HPN3-C</v>
      </c>
      <c r="AO245" s="205" t="str">
        <f t="shared" si="195"/>
        <v>Residential Electric Heat Pump - Ground to Water - SH - C rated dwelling</v>
      </c>
      <c r="AP245" s="100" t="s">
        <v>13</v>
      </c>
      <c r="AQ245" s="116" t="s">
        <v>119</v>
      </c>
      <c r="AR245" s="100" t="s">
        <v>684</v>
      </c>
      <c r="AT245" s="100" t="s">
        <v>75</v>
      </c>
    </row>
    <row r="246" spans="3:46" ht="15" x14ac:dyDescent="0.25">
      <c r="C246" s="554" t="str">
        <f>"R-HC_Det"&amp;"_"&amp;RIGHT(E246,3)&amp;"_HPN2-AB"</f>
        <v>R-HC_Det_ELC_HPN2-AB</v>
      </c>
      <c r="D246" s="556" t="s">
        <v>776</v>
      </c>
      <c r="E246" s="555" t="s">
        <v>144</v>
      </c>
      <c r="F246" s="555" t="s">
        <v>539</v>
      </c>
      <c r="G246" s="593" t="s">
        <v>786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196">I246*0.9</f>
        <v>1.05</v>
      </c>
      <c r="N246" s="558">
        <f t="shared" si="196"/>
        <v>1.2</v>
      </c>
      <c r="O246" s="596">
        <f t="shared" si="196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(JRC_Data!BB20/1000)*($U$291/$U$289)</f>
        <v>15.97142857142857</v>
      </c>
      <c r="W246" s="599">
        <f>(JRC_Data!BC20/1000)*($U$291/$U$289)</f>
        <v>14.830612244897958</v>
      </c>
      <c r="X246" s="599">
        <f>(JRC_Data!BD20/1000)*($U$291/$U$289)</f>
        <v>13.689795918367345</v>
      </c>
      <c r="Y246" s="599">
        <f>(JRC_Data!BE20/1000)*($U$291/$U$289)</f>
        <v>12.548979591836734</v>
      </c>
      <c r="Z246" s="514">
        <f>JRC_Data!BL20/1000</f>
        <v>0.2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si="195"/>
        <v>R-SH_Det_ELC_HPN3-D</v>
      </c>
      <c r="AO246" s="205" t="str">
        <f t="shared" si="195"/>
        <v>Residential Electric Heat Pump - Ground to Water - SH - D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" x14ac:dyDescent="0.25">
      <c r="C247" s="521" t="str">
        <f>"R-HC_Det"&amp;"_"&amp;RIGHT(E247,3)&amp;"_HPN2-ABC"</f>
        <v>R-HC_Det_ELC_HPN2-ABC</v>
      </c>
      <c r="D247" s="29" t="s">
        <v>787</v>
      </c>
      <c r="E247" s="30" t="s">
        <v>144</v>
      </c>
      <c r="F247" s="30" t="s">
        <v>539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15.97142857142857</v>
      </c>
      <c r="W247" s="62">
        <v>14.830612244897958</v>
      </c>
      <c r="X247" s="62">
        <v>13.689795918367345</v>
      </c>
      <c r="Y247" s="62">
        <v>12.548979591836734</v>
      </c>
      <c r="Z247" s="58">
        <v>0.2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195"/>
        <v>R-SH_Det_ELC_HPN3-E</v>
      </c>
      <c r="AO247" s="205" t="str">
        <f t="shared" si="195"/>
        <v>Residential Electric Heat Pump - Ground to Water - SH - E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" x14ac:dyDescent="0.25">
      <c r="C248" s="519" t="str">
        <f>"R-HC_Det"&amp;"_"&amp;RIGHT(E248,3)&amp;"_HPN2-ABD"</f>
        <v>R-HC_Det_ELC_HPN2-ABD</v>
      </c>
      <c r="D248" s="23" t="s">
        <v>778</v>
      </c>
      <c r="E248" s="24" t="s">
        <v>144</v>
      </c>
      <c r="F248" s="24" t="s">
        <v>539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15.97142857142857</v>
      </c>
      <c r="W248" s="63">
        <v>14.830612244897958</v>
      </c>
      <c r="X248" s="63">
        <v>13.689795918367345</v>
      </c>
      <c r="Y248" s="63">
        <v>12.548979591836734</v>
      </c>
      <c r="Z248" s="58">
        <v>0.2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195"/>
        <v>R-SH_Det_ELC_HPN3-F</v>
      </c>
      <c r="AO248" s="205" t="str">
        <f t="shared" si="195"/>
        <v>Residential Electric Heat Pump - Ground to Water - SH - F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" x14ac:dyDescent="0.25">
      <c r="C249" s="521" t="str">
        <f>"R-HC_Det"&amp;"_"&amp;RIGHT(E249,3)&amp;"_HPN2-ABE"</f>
        <v>R-HC_Det_ELC_HPN2-ABE</v>
      </c>
      <c r="D249" s="29" t="s">
        <v>788</v>
      </c>
      <c r="E249" s="30" t="s">
        <v>144</v>
      </c>
      <c r="F249" s="30" t="s">
        <v>539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15.97142857142857</v>
      </c>
      <c r="W249" s="62">
        <v>14.830612244897958</v>
      </c>
      <c r="X249" s="62">
        <v>13.689795918367345</v>
      </c>
      <c r="Y249" s="62">
        <v>12.548979591836734</v>
      </c>
      <c r="Z249" s="58">
        <v>0.2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195"/>
        <v>R-SH_Det_ELC_HPN3-G</v>
      </c>
      <c r="AO249" s="205" t="str">
        <f t="shared" si="195"/>
        <v>Residential Electric Heat Pump - Ground to Water - SH - G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" x14ac:dyDescent="0.25">
      <c r="C250" s="519" t="str">
        <f>"R-HC_Det"&amp;"_"&amp;RIGHT(E250,3)&amp;"_HPN2-ABF"</f>
        <v>R-HC_Det_ELC_HPN2-ABF</v>
      </c>
      <c r="D250" s="23" t="s">
        <v>780</v>
      </c>
      <c r="E250" s="24" t="s">
        <v>144</v>
      </c>
      <c r="F250" s="24" t="s">
        <v>539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15.97142857142857</v>
      </c>
      <c r="W250" s="63">
        <v>14.830612244897958</v>
      </c>
      <c r="X250" s="63">
        <v>13.689795918367345</v>
      </c>
      <c r="Y250" s="63">
        <v>12.548979591836734</v>
      </c>
      <c r="Z250" s="58">
        <v>0.2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195"/>
        <v>R-HC_Det_ELC_HPN2-AB</v>
      </c>
      <c r="AO250" s="205" t="str">
        <f t="shared" si="195"/>
        <v>Residential Electric Heat Pump AB - Ground to Water - SH + SC - AB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" x14ac:dyDescent="0.25">
      <c r="C251" s="521" t="str">
        <f>"R-HC_Det"&amp;"_"&amp;RIGHT(E251,3)&amp;"_HPN2-ABG"</f>
        <v>R-HC_Det_ELC_HPN2-ABG</v>
      </c>
      <c r="D251" s="29" t="s">
        <v>789</v>
      </c>
      <c r="E251" s="30" t="s">
        <v>144</v>
      </c>
      <c r="F251" s="30" t="s">
        <v>539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15.97142857142857</v>
      </c>
      <c r="W251" s="62">
        <v>14.830612244897958</v>
      </c>
      <c r="X251" s="62">
        <v>13.689795918367345</v>
      </c>
      <c r="Y251" s="62">
        <v>12.548979591836734</v>
      </c>
      <c r="Z251" s="58">
        <v>0.2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 t="shared" ref="AN251:AO251" si="197">C247</f>
        <v>R-HC_Det_ELC_HPN2-ABC</v>
      </c>
      <c r="AO251" s="205" t="str">
        <f t="shared" si="197"/>
        <v>Residential Electric Heat Pump AB - Ground to Water - SH + SC - C rated dwelling</v>
      </c>
      <c r="AP251" s="100" t="s">
        <v>13</v>
      </c>
      <c r="AQ251" s="116" t="s">
        <v>119</v>
      </c>
      <c r="AR251" s="100" t="s">
        <v>684</v>
      </c>
      <c r="AS251" s="4"/>
      <c r="AT251" s="100" t="s">
        <v>75</v>
      </c>
    </row>
    <row r="252" spans="3:46" ht="15" x14ac:dyDescent="0.25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24" t="s">
        <v>539</v>
      </c>
      <c r="G252" s="57" t="s">
        <v>737</v>
      </c>
      <c r="H252" s="22">
        <f t="shared" ref="H252:K256" si="198">H241</f>
        <v>0.93813813813813796</v>
      </c>
      <c r="I252" s="23">
        <f t="shared" si="198"/>
        <v>0.994994994994995</v>
      </c>
      <c r="J252" s="23">
        <f t="shared" si="198"/>
        <v>1.137137137137137</v>
      </c>
      <c r="K252" s="57">
        <f t="shared" si="198"/>
        <v>1.2792792792792793</v>
      </c>
      <c r="L252" s="44">
        <f t="shared" ref="L252:L256" si="199">H252*0.9</f>
        <v>0.84432432432432414</v>
      </c>
      <c r="M252" s="32">
        <f t="shared" si="196"/>
        <v>0.89549549549549556</v>
      </c>
      <c r="N252" s="32">
        <f t="shared" si="196"/>
        <v>1.0234234234234234</v>
      </c>
      <c r="O252" s="45">
        <f t="shared" si="196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00">V26/$V$20*$V$246</f>
        <v>16.974739364649761</v>
      </c>
      <c r="W252" s="63">
        <f t="shared" si="200"/>
        <v>16.974739364649761</v>
      </c>
      <c r="X252" s="63">
        <f t="shared" si="200"/>
        <v>15.377596507506903</v>
      </c>
      <c r="Y252" s="63">
        <f t="shared" si="200"/>
        <v>15.377596507506903</v>
      </c>
      <c r="Z252" s="58">
        <v>0.2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01">31.536*(AK252/1000)</f>
        <v>1.1983680000000001</v>
      </c>
      <c r="AI252" s="66"/>
      <c r="AJ252" s="66">
        <v>2019</v>
      </c>
      <c r="AK252" s="520">
        <v>38</v>
      </c>
      <c r="AL252" s="4"/>
      <c r="AM252" s="4"/>
      <c r="AN252" s="205" t="str">
        <f t="shared" ref="AN252:AO252" si="202">C248</f>
        <v>R-HC_Det_ELC_HPN2-ABD</v>
      </c>
      <c r="AO252" s="205" t="str">
        <f t="shared" si="202"/>
        <v>Residential Electric Heat Pump AB - Ground to Water - SH + SC - D rated dwelling</v>
      </c>
      <c r="AP252" s="100" t="s">
        <v>13</v>
      </c>
      <c r="AQ252" s="116" t="s">
        <v>119</v>
      </c>
      <c r="AR252" s="100" t="s">
        <v>684</v>
      </c>
      <c r="AS252" s="4"/>
      <c r="AT252" s="100" t="s">
        <v>75</v>
      </c>
    </row>
    <row r="253" spans="3:46" ht="15" x14ac:dyDescent="0.25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539</v>
      </c>
      <c r="G253" s="58" t="s">
        <v>738</v>
      </c>
      <c r="H253" s="40">
        <f t="shared" si="198"/>
        <v>0.89767267267267248</v>
      </c>
      <c r="I253" s="29">
        <f t="shared" si="198"/>
        <v>0.95207707707707712</v>
      </c>
      <c r="J253" s="29">
        <f t="shared" si="198"/>
        <v>1.0880880880880879</v>
      </c>
      <c r="K253" s="58">
        <f t="shared" si="198"/>
        <v>1.224099099099099</v>
      </c>
      <c r="L253" s="42">
        <f t="shared" si="199"/>
        <v>0.80790540540540523</v>
      </c>
      <c r="M253" s="31">
        <f t="shared" si="196"/>
        <v>0.85686936936936942</v>
      </c>
      <c r="N253" s="31">
        <f t="shared" si="196"/>
        <v>0.97927927927927916</v>
      </c>
      <c r="O253" s="43">
        <f t="shared" si="196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00"/>
        <v>17.97805015787095</v>
      </c>
      <c r="W253" s="62">
        <f t="shared" si="200"/>
        <v>17.97805015787095</v>
      </c>
      <c r="X253" s="62">
        <f t="shared" si="200"/>
        <v>16.38090730072809</v>
      </c>
      <c r="Y253" s="62">
        <f t="shared" si="200"/>
        <v>16.38090730072809</v>
      </c>
      <c r="Z253" s="58">
        <v>0.2</v>
      </c>
      <c r="AA253" s="65"/>
      <c r="AB253" s="42"/>
      <c r="AC253" s="71"/>
      <c r="AD253" s="71"/>
      <c r="AE253" s="71"/>
      <c r="AF253" s="71"/>
      <c r="AG253" s="209"/>
      <c r="AH253" s="62">
        <f t="shared" si="201"/>
        <v>1.1983680000000001</v>
      </c>
      <c r="AI253" s="65"/>
      <c r="AJ253" s="65">
        <v>2019</v>
      </c>
      <c r="AK253" s="522">
        <v>38</v>
      </c>
      <c r="AL253" s="4"/>
      <c r="AM253" s="4"/>
      <c r="AN253" s="205" t="str">
        <f t="shared" ref="AN253:AO253" si="203">C249</f>
        <v>R-HC_Det_ELC_HPN2-ABE</v>
      </c>
      <c r="AO253" s="205" t="str">
        <f t="shared" si="203"/>
        <v>Residential Electric Heat Pump AB - Ground to Water - SH + SC -E rated dwelling</v>
      </c>
      <c r="AP253" s="100" t="s">
        <v>13</v>
      </c>
      <c r="AQ253" s="116" t="s">
        <v>119</v>
      </c>
      <c r="AR253" s="100" t="s">
        <v>684</v>
      </c>
      <c r="AS253" s="4"/>
      <c r="AT253" s="100" t="s">
        <v>75</v>
      </c>
    </row>
    <row r="254" spans="3:46" ht="15" x14ac:dyDescent="0.25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539</v>
      </c>
      <c r="G254" s="57" t="s">
        <v>739</v>
      </c>
      <c r="H254" s="22">
        <f t="shared" si="198"/>
        <v>0.857207207207207</v>
      </c>
      <c r="I254" s="23">
        <f t="shared" si="198"/>
        <v>0.90915915915915912</v>
      </c>
      <c r="J254" s="23">
        <f t="shared" si="198"/>
        <v>1.0390390390390389</v>
      </c>
      <c r="K254" s="57">
        <f t="shared" si="198"/>
        <v>1.1689189189189189</v>
      </c>
      <c r="L254" s="44">
        <f t="shared" si="199"/>
        <v>0.77148648648648632</v>
      </c>
      <c r="M254" s="32">
        <f t="shared" si="196"/>
        <v>0.81824324324324327</v>
      </c>
      <c r="N254" s="32">
        <f t="shared" si="196"/>
        <v>0.93513513513513502</v>
      </c>
      <c r="O254" s="45">
        <f t="shared" si="196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00"/>
        <v>19.011764308462482</v>
      </c>
      <c r="W254" s="63">
        <f t="shared" si="200"/>
        <v>19.011764308462482</v>
      </c>
      <c r="X254" s="63">
        <f t="shared" si="200"/>
        <v>17.414621451319622</v>
      </c>
      <c r="Y254" s="63">
        <f t="shared" si="200"/>
        <v>17.414621451319622</v>
      </c>
      <c r="Z254" s="58">
        <v>0.2</v>
      </c>
      <c r="AA254" s="66"/>
      <c r="AB254" s="44"/>
      <c r="AC254" s="72"/>
      <c r="AD254" s="72"/>
      <c r="AE254" s="72"/>
      <c r="AF254" s="72"/>
      <c r="AG254" s="66"/>
      <c r="AH254" s="63">
        <f t="shared" si="201"/>
        <v>1.1983680000000001</v>
      </c>
      <c r="AI254" s="66"/>
      <c r="AJ254" s="66">
        <v>2019</v>
      </c>
      <c r="AK254" s="520">
        <v>38</v>
      </c>
      <c r="AL254" s="4"/>
      <c r="AM254" s="4"/>
      <c r="AN254" s="205" t="str">
        <f t="shared" ref="AN254:AO254" si="204">C250</f>
        <v>R-HC_Det_ELC_HPN2-ABF</v>
      </c>
      <c r="AO254" s="205" t="str">
        <f t="shared" si="204"/>
        <v>Residential Electric Heat Pump AB - Ground to Water - SH + SC - F rated dwelling</v>
      </c>
      <c r="AP254" s="100" t="s">
        <v>13</v>
      </c>
      <c r="AQ254" s="116" t="s">
        <v>119</v>
      </c>
      <c r="AR254" s="100" t="s">
        <v>684</v>
      </c>
      <c r="AS254" s="4"/>
      <c r="AT254" s="100" t="s">
        <v>75</v>
      </c>
    </row>
    <row r="255" spans="3:46" ht="15" x14ac:dyDescent="0.25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539</v>
      </c>
      <c r="G255" s="58" t="s">
        <v>740</v>
      </c>
      <c r="H255" s="40">
        <f t="shared" si="198"/>
        <v>0.81674174174174152</v>
      </c>
      <c r="I255" s="29">
        <f t="shared" si="198"/>
        <v>0.86624124124124113</v>
      </c>
      <c r="J255" s="29">
        <f t="shared" si="198"/>
        <v>0.98998998998998977</v>
      </c>
      <c r="K255" s="58">
        <f t="shared" si="198"/>
        <v>1.1137387387387385</v>
      </c>
      <c r="L255" s="42">
        <f t="shared" si="199"/>
        <v>0.73506756756756741</v>
      </c>
      <c r="M255" s="31">
        <f t="shared" si="196"/>
        <v>0.77961711711711701</v>
      </c>
      <c r="N255" s="31">
        <f t="shared" si="196"/>
        <v>0.89099099099099077</v>
      </c>
      <c r="O255" s="43">
        <f t="shared" si="196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00"/>
        <v>19.330315624903889</v>
      </c>
      <c r="W255" s="62">
        <f t="shared" si="200"/>
        <v>19.330315624903889</v>
      </c>
      <c r="X255" s="62">
        <f t="shared" si="200"/>
        <v>17.73317276776103</v>
      </c>
      <c r="Y255" s="62">
        <f t="shared" si="200"/>
        <v>17.73317276776103</v>
      </c>
      <c r="Z255" s="58">
        <v>0.2</v>
      </c>
      <c r="AA255" s="65"/>
      <c r="AB255" s="42"/>
      <c r="AC255" s="71"/>
      <c r="AD255" s="71"/>
      <c r="AE255" s="71"/>
      <c r="AF255" s="71"/>
      <c r="AG255" s="209"/>
      <c r="AH255" s="62">
        <f t="shared" si="201"/>
        <v>1.1983680000000001</v>
      </c>
      <c r="AI255" s="65"/>
      <c r="AJ255" s="65">
        <v>2019</v>
      </c>
      <c r="AK255" s="522">
        <v>38</v>
      </c>
      <c r="AL255" s="4"/>
      <c r="AM255" s="4"/>
      <c r="AN255" s="205" t="str">
        <f t="shared" ref="AN255:AO255" si="205">C251</f>
        <v>R-HC_Det_ELC_HPN2-ABG</v>
      </c>
      <c r="AO255" s="205" t="str">
        <f t="shared" si="205"/>
        <v>Residential Electric Heat Pump AB - Ground to Water - SH + SC - Grated dwelling</v>
      </c>
      <c r="AP255" s="100" t="s">
        <v>13</v>
      </c>
      <c r="AQ255" s="116" t="s">
        <v>119</v>
      </c>
      <c r="AR255" s="100" t="s">
        <v>684</v>
      </c>
      <c r="AS255" s="4"/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524" t="s">
        <v>539</v>
      </c>
      <c r="G256" s="527" t="s">
        <v>741</v>
      </c>
      <c r="H256" s="525">
        <f t="shared" si="198"/>
        <v>0.77627627627627616</v>
      </c>
      <c r="I256" s="526">
        <f t="shared" si="198"/>
        <v>0.82332332332332336</v>
      </c>
      <c r="J256" s="526">
        <f t="shared" si="198"/>
        <v>0.94094094094094083</v>
      </c>
      <c r="K256" s="527">
        <f t="shared" si="198"/>
        <v>1.0585585585585586</v>
      </c>
      <c r="L256" s="578">
        <f t="shared" si="199"/>
        <v>0.69864864864864851</v>
      </c>
      <c r="M256" s="542">
        <f t="shared" si="196"/>
        <v>0.74099099099099108</v>
      </c>
      <c r="N256" s="542">
        <f t="shared" si="196"/>
        <v>0.84684684684684675</v>
      </c>
      <c r="O256" s="579">
        <f t="shared" si="196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00"/>
        <v>19.6488669413453</v>
      </c>
      <c r="W256" s="528">
        <f t="shared" si="200"/>
        <v>19.6488669413453</v>
      </c>
      <c r="X256" s="528">
        <f t="shared" si="200"/>
        <v>18.051724084202441</v>
      </c>
      <c r="Y256" s="528">
        <f t="shared" si="200"/>
        <v>18.051724084202441</v>
      </c>
      <c r="Z256" s="58">
        <v>0.2</v>
      </c>
      <c r="AA256" s="529"/>
      <c r="AB256" s="578"/>
      <c r="AC256" s="530"/>
      <c r="AD256" s="530"/>
      <c r="AE256" s="530"/>
      <c r="AF256" s="530"/>
      <c r="AG256" s="529"/>
      <c r="AH256" s="528">
        <f t="shared" si="201"/>
        <v>1.1983680000000001</v>
      </c>
      <c r="AI256" s="529"/>
      <c r="AJ256" s="529">
        <v>2019</v>
      </c>
      <c r="AK256" s="531">
        <v>38</v>
      </c>
      <c r="AL256" s="4"/>
      <c r="AM256" s="4"/>
      <c r="AN256" s="205" t="str">
        <f t="shared" ref="AN256:AO260" si="206">C252</f>
        <v>R-HC_Det_ELC_HPN2-C</v>
      </c>
      <c r="AO256" s="205" t="str">
        <f t="shared" si="206"/>
        <v>Residential Electric Heat Pump - Ground to Water - SH + SC - C rated dwelling</v>
      </c>
      <c r="AP256" s="100" t="s">
        <v>13</v>
      </c>
      <c r="AQ256" s="116" t="s">
        <v>119</v>
      </c>
      <c r="AR256" s="100" t="s">
        <v>684</v>
      </c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 t="shared" si="206"/>
        <v>R-HC_Det_ELC_HPN2-D</v>
      </c>
      <c r="AO257" s="205" t="str">
        <f t="shared" si="206"/>
        <v>Residential Electric Heat Pump - Ground to Water - SH + SC - D rated dwelling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ht="15" x14ac:dyDescent="0.25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07">I258*0.7</f>
        <v>1.2530864197530862</v>
      </c>
      <c r="R258" s="20">
        <f t="shared" ref="R258:R259" si="208">J258*0.7</f>
        <v>1.4691358024691357</v>
      </c>
      <c r="S258" s="56">
        <f t="shared" ref="S258:S259" si="209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40"/>
        <v>1.1983680000000001</v>
      </c>
      <c r="AI258" s="87"/>
      <c r="AJ258" s="65">
        <v>2019</v>
      </c>
      <c r="AK258" s="87">
        <v>38</v>
      </c>
      <c r="AL258" s="4"/>
      <c r="AM258" s="4"/>
      <c r="AN258" s="205" t="str">
        <f t="shared" si="206"/>
        <v>R-HC_Det_ELC_HPN2-E</v>
      </c>
      <c r="AO258" s="205" t="str">
        <f t="shared" si="206"/>
        <v>Residential Electric Heat Pump - Ground to Water - SH + SC - E rated dwelling</v>
      </c>
      <c r="AP258" s="100" t="s">
        <v>13</v>
      </c>
      <c r="AQ258" s="116" t="s">
        <v>119</v>
      </c>
      <c r="AR258" s="100" t="s">
        <v>684</v>
      </c>
      <c r="AT258" s="100" t="s">
        <v>75</v>
      </c>
    </row>
    <row r="259" spans="3:46" ht="15" x14ac:dyDescent="0.25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07"/>
        <v>1.2055555555555555</v>
      </c>
      <c r="R259" s="26">
        <f t="shared" si="208"/>
        <v>1.2055555555555555</v>
      </c>
      <c r="S259" s="59">
        <f t="shared" si="209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40"/>
        <v>1.1983680000000001</v>
      </c>
      <c r="AI259" s="67"/>
      <c r="AJ259" s="66">
        <v>2019</v>
      </c>
      <c r="AK259" s="67">
        <v>38</v>
      </c>
      <c r="AL259" s="4"/>
      <c r="AM259" s="4"/>
      <c r="AN259" s="205" t="str">
        <f t="shared" si="206"/>
        <v>R-HC_Det_ELC_HPN2-F</v>
      </c>
      <c r="AO259" s="205" t="str">
        <f t="shared" si="206"/>
        <v>Residential Electric Heat Pump - Ground to Water - SH + SC - F rated dwelling</v>
      </c>
      <c r="AP259" s="100" t="s">
        <v>13</v>
      </c>
      <c r="AQ259" s="116" t="s">
        <v>119</v>
      </c>
      <c r="AR259" s="100" t="s">
        <v>684</v>
      </c>
      <c r="AT259" s="100" t="s">
        <v>75</v>
      </c>
    </row>
    <row r="260" spans="3:46" ht="15" x14ac:dyDescent="0.25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  <c r="AN260" s="205" t="str">
        <f t="shared" si="206"/>
        <v>R-HC_Det_ELC_HPN2-G</v>
      </c>
      <c r="AO260" s="205" t="str">
        <f t="shared" si="206"/>
        <v>Residential Electric Heat Pump - Ground to Water - SH + SC - G rated dwelling</v>
      </c>
      <c r="AP260" s="100" t="s">
        <v>13</v>
      </c>
      <c r="AQ260" s="116" t="s">
        <v>119</v>
      </c>
      <c r="AR260" s="100" t="s">
        <v>684</v>
      </c>
      <c r="AT260" s="100" t="s">
        <v>75</v>
      </c>
    </row>
    <row r="261" spans="3:46" ht="15" x14ac:dyDescent="0.25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10">I261*0.7</f>
        <v>2.7055000000000002</v>
      </c>
      <c r="R261" s="26">
        <f t="shared" ref="R261" si="211">J261*0.7</f>
        <v>2.9050000000000002</v>
      </c>
      <c r="S261" s="59">
        <f t="shared" ref="S261" si="212">K261*0.7</f>
        <v>2.9050000000000002</v>
      </c>
      <c r="T261" s="3">
        <v>20</v>
      </c>
      <c r="V261" s="78">
        <f>(V213+V186)*0.8</f>
        <v>10.987282270335434</v>
      </c>
      <c r="W261" s="78">
        <f>(W213+W186)*0.8</f>
        <v>10.272315282993665</v>
      </c>
      <c r="X261" s="78">
        <f>(X213+X186)*0.8</f>
        <v>9.6216953245126504</v>
      </c>
      <c r="Y261" s="78">
        <f>(Y213+Y186)*0.8</f>
        <v>9.5573482956518898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40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  <c r="AN261" s="205" t="str">
        <f>C258</f>
        <v>R-SW_Det_GAS_HPN1</v>
      </c>
      <c r="AO261" s="205" t="str">
        <f>D258</f>
        <v>Residential Gas Absorption Heat Pump - Air to Water - SH + WH</v>
      </c>
      <c r="AP261" s="100" t="s">
        <v>13</v>
      </c>
      <c r="AQ261" s="116" t="s">
        <v>119</v>
      </c>
      <c r="AR261" s="100"/>
      <c r="AT261" s="100" t="s">
        <v>75</v>
      </c>
    </row>
    <row r="262" spans="3:46" ht="15" x14ac:dyDescent="0.25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  <c r="AM262" s="4"/>
      <c r="AN262" s="205" t="str">
        <f>C259</f>
        <v>R-SW_Det_GAS_HPN2</v>
      </c>
      <c r="AO262" s="205" t="str">
        <f>D259</f>
        <v>Residential Gas Engine Heat Pump - Air to Water - SH + WH</v>
      </c>
      <c r="AP262" s="100" t="s">
        <v>13</v>
      </c>
      <c r="AQ262" s="116" t="s">
        <v>119</v>
      </c>
      <c r="AR262" s="100"/>
      <c r="AT262" s="100" t="s">
        <v>75</v>
      </c>
    </row>
    <row r="263" spans="3:46" ht="15" x14ac:dyDescent="0.25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40"/>
        <v>1.1983680000000001</v>
      </c>
      <c r="AI263" s="87"/>
      <c r="AJ263" s="65">
        <v>2019</v>
      </c>
      <c r="AK263" s="87">
        <v>38</v>
      </c>
      <c r="AM263" s="4"/>
      <c r="AN263" s="205" t="str">
        <f>C261</f>
        <v>R-SW_Det_GAS_HHPN1</v>
      </c>
      <c r="AO263" s="205" t="str">
        <f>D261</f>
        <v>Residential Gas Hybrid Heat Pump - Air to Water - SH + WH</v>
      </c>
      <c r="AP263" s="100" t="s">
        <v>13</v>
      </c>
      <c r="AQ263" s="116" t="s">
        <v>119</v>
      </c>
      <c r="AR263" s="100" t="s">
        <v>684</v>
      </c>
      <c r="AT263" s="100" t="s">
        <v>75</v>
      </c>
    </row>
    <row r="264" spans="3:46" ht="15" x14ac:dyDescent="0.25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  <c r="AM264" s="4"/>
      <c r="AN264" s="205" t="str">
        <f>C263</f>
        <v>R-SW_Det_HET_N1</v>
      </c>
      <c r="AO264" s="205" t="str">
        <f>D263</f>
        <v>Residential District Heating HIU- SH + WH</v>
      </c>
      <c r="AP264" s="100" t="s">
        <v>13</v>
      </c>
      <c r="AQ264" s="116" t="s">
        <v>119</v>
      </c>
      <c r="AR264" s="100" t="s">
        <v>684</v>
      </c>
      <c r="AT264" s="100" t="s">
        <v>75</v>
      </c>
    </row>
    <row r="265" spans="3:46" ht="15" x14ac:dyDescent="0.25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40"/>
        <v>0.15768000000000001</v>
      </c>
      <c r="AI265" s="87"/>
      <c r="AJ265" s="87">
        <v>2019</v>
      </c>
      <c r="AK265" s="87">
        <v>5</v>
      </c>
      <c r="AM265" s="4"/>
      <c r="AN265" s="205" t="str">
        <f>C265</f>
        <v>R-WH_Det_ELC_N1</v>
      </c>
      <c r="AO265" s="205" t="str">
        <f>D265</f>
        <v xml:space="preserve">Residential Electric Water Heater </v>
      </c>
      <c r="AP265" s="100" t="s">
        <v>13</v>
      </c>
      <c r="AQ265" s="116" t="s">
        <v>119</v>
      </c>
      <c r="AR265" s="100" t="s">
        <v>684</v>
      </c>
      <c r="AT265" s="100" t="s">
        <v>75</v>
      </c>
    </row>
    <row r="266" spans="3:46" ht="15" x14ac:dyDescent="0.25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40"/>
        <v>0.15768000000000001</v>
      </c>
      <c r="AI266" s="67"/>
      <c r="AJ266" s="66">
        <v>2019</v>
      </c>
      <c r="AK266" s="66">
        <v>5</v>
      </c>
      <c r="AM266" s="4"/>
      <c r="AN266" s="205" t="str">
        <f>C266</f>
        <v>R-WH_Det_SOL_N1</v>
      </c>
      <c r="AO266" s="205" t="str">
        <f>D266</f>
        <v xml:space="preserve">Residential Solar Water Heater </v>
      </c>
      <c r="AP266" s="100" t="s">
        <v>13</v>
      </c>
      <c r="AQ266" s="116" t="s">
        <v>119</v>
      </c>
      <c r="AR266" s="100"/>
      <c r="AT266" s="100" t="s">
        <v>75</v>
      </c>
    </row>
    <row r="267" spans="3:46" ht="15" x14ac:dyDescent="0.25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  <c r="AM267" s="4"/>
      <c r="AN267" s="205" t="str">
        <f>C268</f>
        <v>R-SC_Det_ELC_N1</v>
      </c>
      <c r="AO267" s="205" t="str">
        <f>D268</f>
        <v>Residential Electric Air Conditioning</v>
      </c>
      <c r="AP267" s="100" t="s">
        <v>13</v>
      </c>
      <c r="AQ267" s="116" t="s">
        <v>119</v>
      </c>
      <c r="AR267" s="100" t="s">
        <v>684</v>
      </c>
      <c r="AT267" s="100" t="s">
        <v>75</v>
      </c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40"/>
        <v>0.25228800000000001</v>
      </c>
      <c r="AI268" s="89"/>
      <c r="AJ268" s="89">
        <v>2019</v>
      </c>
      <c r="AK268" s="89">
        <v>8</v>
      </c>
      <c r="AM268" s="4"/>
    </row>
    <row r="269" spans="3:46" x14ac:dyDescent="0.2">
      <c r="AM269" s="4"/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  <c r="AM270" s="4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</row>
    <row r="273" spans="10:39" x14ac:dyDescent="0.2">
      <c r="J273" s="11"/>
      <c r="AL273" s="4"/>
    </row>
    <row r="274" spans="10:39" x14ac:dyDescent="0.2">
      <c r="AL274" s="4"/>
    </row>
    <row r="275" spans="10:39" x14ac:dyDescent="0.2">
      <c r="AL275" s="4"/>
    </row>
    <row r="276" spans="10:39" x14ac:dyDescent="0.2">
      <c r="J276" s="11"/>
      <c r="AL276" s="4"/>
    </row>
    <row r="277" spans="10:39" x14ac:dyDescent="0.2">
      <c r="AL277" s="4"/>
    </row>
    <row r="278" spans="10:39" x14ac:dyDescent="0.2">
      <c r="AL278" s="4"/>
    </row>
    <row r="279" spans="10:39" ht="13.5" thickBot="1" x14ac:dyDescent="0.25">
      <c r="J279" s="11"/>
      <c r="AL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  <c r="AM281" s="4"/>
    </row>
    <row r="282" spans="10:39" x14ac:dyDescent="0.2">
      <c r="J282" s="11"/>
      <c r="T282" s="452">
        <v>3</v>
      </c>
      <c r="U282" s="453">
        <f t="shared" ref="U282:U291" si="213">V282/$V$290</f>
        <v>0.72929037751472525</v>
      </c>
      <c r="V282" s="2">
        <f>(V283/V287)*V284</f>
        <v>1888.8620777631384</v>
      </c>
      <c r="AM282" s="4"/>
    </row>
    <row r="283" spans="10:39" x14ac:dyDescent="0.2">
      <c r="J283" s="11"/>
      <c r="T283" s="455">
        <v>5</v>
      </c>
      <c r="U283" s="456">
        <f t="shared" si="213"/>
        <v>0.79101166159768732</v>
      </c>
      <c r="V283" s="457">
        <f>(V284/V288)*V285</f>
        <v>2048.7202035380101</v>
      </c>
      <c r="AM283" s="4"/>
    </row>
    <row r="284" spans="10:39" ht="13.5" thickBot="1" x14ac:dyDescent="0.25">
      <c r="T284" s="452">
        <v>8</v>
      </c>
      <c r="U284" s="453">
        <f t="shared" si="213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  <c r="AM284" s="4"/>
    </row>
    <row r="285" spans="10:39" ht="13.5" thickBot="1" x14ac:dyDescent="0.25">
      <c r="T285" s="455">
        <v>10</v>
      </c>
      <c r="U285" s="456">
        <f t="shared" si="213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31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  <c r="AM285" s="4"/>
    </row>
    <row r="286" spans="10:39" x14ac:dyDescent="0.2">
      <c r="L286" s="633" t="s">
        <v>488</v>
      </c>
      <c r="M286" s="633"/>
      <c r="N286" s="633"/>
      <c r="O286" s="633"/>
      <c r="P286" s="633"/>
      <c r="Q286" s="633"/>
      <c r="T286" s="452">
        <v>15</v>
      </c>
      <c r="U286" s="453">
        <f t="shared" si="213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32" t="s">
        <v>669</v>
      </c>
      <c r="AH286" s="632"/>
      <c r="AM286" s="4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13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  <c r="AM287" s="4"/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13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14">$X$286+$Y$286*(AH288/1)*$K$290</f>
        <v>1930.2635416666667</v>
      </c>
      <c r="AK288" s="469">
        <f t="shared" ref="AK288:AK289" si="215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13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14"/>
        <v>1790.3760416666667</v>
      </c>
      <c r="AK289" s="469">
        <f t="shared" si="215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13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13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34" t="s">
        <v>675</v>
      </c>
      <c r="AC297" s="634"/>
      <c r="AD297" s="634"/>
      <c r="AE297" s="634"/>
      <c r="AF297" s="509"/>
      <c r="AH297" s="616" t="s">
        <v>672</v>
      </c>
      <c r="AI297" s="617"/>
      <c r="AJ297" s="618"/>
      <c r="AK297" s="505" t="s">
        <v>65</v>
      </c>
      <c r="AL297" s="506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"/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"/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"/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"/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16" t="s">
        <v>672</v>
      </c>
      <c r="AI307" s="617"/>
      <c r="AJ307" s="618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473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AC289/AC287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AC289/AC287</f>
        <v>0.85285285285285284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AC290/AC287</f>
        <v>0.78078078078078084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AC290/AC287</f>
        <v>0.78078078078078084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16">AK304</f>
        <v>0.70570570570570568</v>
      </c>
      <c r="AL314" s="476">
        <f>AL304</f>
        <v>0.70570570570570568</v>
      </c>
      <c r="AM314" s="477">
        <f>AC291/AC287</f>
        <v>0.70570570570570568</v>
      </c>
    </row>
    <row r="315" spans="8:39" x14ac:dyDescent="0.2">
      <c r="AH315" s="4"/>
      <c r="AI315" s="4"/>
      <c r="AJ315" s="4"/>
      <c r="AK315" s="4"/>
    </row>
    <row r="316" spans="8:39" ht="13.5" thickBot="1" x14ac:dyDescent="0.25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  <c r="AM317" s="507"/>
    </row>
    <row r="318" spans="8:39" ht="13.5" thickBot="1" x14ac:dyDescent="0.25">
      <c r="AH318" s="4"/>
      <c r="AI318" s="4"/>
      <c r="AJ318" s="4"/>
      <c r="AK318" s="4"/>
      <c r="AM318" s="490" t="s">
        <v>240</v>
      </c>
    </row>
    <row r="319" spans="8:39" x14ac:dyDescent="0.2">
      <c r="AM319" s="500">
        <v>1</v>
      </c>
    </row>
    <row r="320" spans="8:39" x14ac:dyDescent="0.2">
      <c r="AM320" s="474">
        <f>AM310</f>
        <v>0.85285285285285284</v>
      </c>
    </row>
    <row r="321" spans="39:39" x14ac:dyDescent="0.2">
      <c r="AM321" s="474">
        <f>AM320+(AM324-AM320)/4</f>
        <v>0.81606606606606602</v>
      </c>
    </row>
    <row r="322" spans="39:39" x14ac:dyDescent="0.2">
      <c r="AM322" s="487">
        <f>AM321+(AM324-AM320)/4</f>
        <v>0.7792792792792792</v>
      </c>
    </row>
    <row r="323" spans="39:39" x14ac:dyDescent="0.2">
      <c r="AM323" s="487">
        <f>AM322+(AM324-AM320)/4</f>
        <v>0.74249249249249238</v>
      </c>
    </row>
    <row r="324" spans="39:39" ht="13.5" thickBot="1" x14ac:dyDescent="0.25">
      <c r="AM324" s="477">
        <f>AM314</f>
        <v>0.70570570570570568</v>
      </c>
    </row>
  </sheetData>
  <mergeCells count="37">
    <mergeCell ref="Z285:AC285"/>
    <mergeCell ref="AG286:AH286"/>
    <mergeCell ref="L286:Q286"/>
    <mergeCell ref="AB297:AE297"/>
    <mergeCell ref="AH297:AJ297"/>
    <mergeCell ref="H180:K180"/>
    <mergeCell ref="L180:O180"/>
    <mergeCell ref="P180:S180"/>
    <mergeCell ref="T180:U180"/>
    <mergeCell ref="V180:Y180"/>
    <mergeCell ref="H178:K178"/>
    <mergeCell ref="L178:O178"/>
    <mergeCell ref="P178:S178"/>
    <mergeCell ref="T178:U178"/>
    <mergeCell ref="V178:Y178"/>
    <mergeCell ref="V81:Y81"/>
    <mergeCell ref="H83:K83"/>
    <mergeCell ref="L83:O83"/>
    <mergeCell ref="P83:S83"/>
    <mergeCell ref="T83:U83"/>
    <mergeCell ref="V83:Y83"/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</mergeCells>
  <phoneticPr fontId="4" type="noConversion"/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19" t="s">
        <v>86</v>
      </c>
      <c r="M5" s="620"/>
      <c r="N5" s="620"/>
      <c r="O5" s="621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8" t="s">
        <v>487</v>
      </c>
      <c r="M6" s="630"/>
      <c r="N6" s="630"/>
      <c r="O6" s="629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9" t="s">
        <v>86</v>
      </c>
      <c r="M33" s="620"/>
      <c r="N33" s="620"/>
      <c r="O33" s="621"/>
    </row>
    <row r="34" spans="8:15" x14ac:dyDescent="0.2">
      <c r="H34" s="3" t="s">
        <v>130</v>
      </c>
      <c r="L34" s="628" t="s">
        <v>91</v>
      </c>
      <c r="M34" s="630"/>
      <c r="N34" s="630"/>
      <c r="O34" s="629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5" t="s">
        <v>65</v>
      </c>
      <c r="I4" s="626"/>
      <c r="J4" s="627"/>
      <c r="K4" s="619" t="s">
        <v>86</v>
      </c>
      <c r="L4" s="620"/>
      <c r="M4" s="621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5" t="s">
        <v>34</v>
      </c>
      <c r="I5" s="636"/>
      <c r="J5" s="637"/>
      <c r="K5" s="635" t="s">
        <v>276</v>
      </c>
      <c r="L5" s="636"/>
      <c r="M5" s="637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8" t="s">
        <v>522</v>
      </c>
      <c r="AC5" s="638"/>
      <c r="AD5" s="354"/>
      <c r="AE5" s="639" t="s">
        <v>65</v>
      </c>
      <c r="AF5" s="639"/>
      <c r="AG5" s="639" t="s">
        <v>523</v>
      </c>
      <c r="AH5" s="639"/>
      <c r="AI5" s="640" t="s">
        <v>524</v>
      </c>
      <c r="AJ5" s="640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19" t="s">
        <v>86</v>
      </c>
      <c r="M27" s="620"/>
      <c r="N27" s="620"/>
      <c r="O27" s="621"/>
      <c r="T27" s="202"/>
      <c r="U27" s="202"/>
    </row>
    <row r="28" spans="3:21" x14ac:dyDescent="0.2">
      <c r="J28" s="3" t="s">
        <v>130</v>
      </c>
      <c r="L28" s="622" t="s">
        <v>91</v>
      </c>
      <c r="M28" s="623"/>
      <c r="N28" s="623"/>
      <c r="O28" s="624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1" t="s">
        <v>286</v>
      </c>
      <c r="E4" s="642"/>
      <c r="F4" s="642"/>
      <c r="G4" s="642"/>
      <c r="H4" s="643"/>
      <c r="I4" s="642" t="s">
        <v>287</v>
      </c>
      <c r="J4" s="642"/>
      <c r="K4" s="642"/>
      <c r="L4" s="642"/>
      <c r="M4" s="643"/>
      <c r="N4" s="642" t="s">
        <v>288</v>
      </c>
      <c r="O4" s="642"/>
      <c r="P4" s="642"/>
      <c r="Q4" s="642"/>
      <c r="R4" s="643"/>
      <c r="S4" s="642" t="s">
        <v>289</v>
      </c>
      <c r="T4" s="642"/>
      <c r="U4" s="642"/>
      <c r="V4" s="642"/>
      <c r="W4" s="643"/>
      <c r="X4" s="642" t="s">
        <v>290</v>
      </c>
      <c r="Y4" s="642"/>
      <c r="Z4" s="642"/>
      <c r="AA4" s="642"/>
      <c r="AB4" s="643"/>
      <c r="AC4" s="642" t="s">
        <v>291</v>
      </c>
      <c r="AD4" s="642"/>
      <c r="AE4" s="642"/>
      <c r="AF4" s="642"/>
      <c r="AG4" s="643"/>
      <c r="AH4" s="642" t="s">
        <v>292</v>
      </c>
      <c r="AI4" s="642"/>
      <c r="AJ4" s="642"/>
      <c r="AK4" s="642"/>
      <c r="AL4" s="643"/>
      <c r="AM4" s="642" t="s">
        <v>293</v>
      </c>
      <c r="AN4" s="642"/>
      <c r="AO4" s="642"/>
      <c r="AP4" s="642"/>
      <c r="AQ4" s="643"/>
      <c r="AR4" s="642" t="s">
        <v>294</v>
      </c>
      <c r="AS4" s="642"/>
      <c r="AT4" s="642"/>
      <c r="AU4" s="642"/>
      <c r="AV4" s="643"/>
      <c r="AW4" s="642" t="s">
        <v>295</v>
      </c>
      <c r="AX4" s="642"/>
      <c r="AY4" s="642"/>
      <c r="AZ4" s="642"/>
      <c r="BA4" s="642"/>
      <c r="BB4" s="641" t="s">
        <v>296</v>
      </c>
      <c r="BC4" s="642"/>
      <c r="BD4" s="642"/>
      <c r="BE4" s="642"/>
      <c r="BF4" s="643"/>
      <c r="BG4" s="642" t="s">
        <v>297</v>
      </c>
      <c r="BH4" s="642"/>
      <c r="BI4" s="642"/>
      <c r="BJ4" s="642"/>
      <c r="BK4" s="642"/>
      <c r="BL4" s="641" t="s">
        <v>298</v>
      </c>
      <c r="BM4" s="642"/>
      <c r="BN4" s="642"/>
      <c r="BO4" s="642"/>
      <c r="BP4" s="642"/>
      <c r="BQ4" s="641" t="s">
        <v>299</v>
      </c>
      <c r="BR4" s="642"/>
      <c r="BS4" s="642"/>
      <c r="BT4" s="642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2023-08-18T17:25:59Z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