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v2\SuppXLS\"/>
    </mc:Choice>
  </mc:AlternateContent>
  <xr:revisionPtr revIDLastSave="0" documentId="13_ncr:1_{51DEF2EC-DA03-49A5-9713-93FD752A6C9A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Cover" sheetId="3" r:id="rId1"/>
    <sheet name="Regions" sheetId="2" r:id="rId2"/>
    <sheet name="IND_Shares" sheetId="1" r:id="rId3"/>
    <sheet name="call_Fill" sheetId="4" r:id="rId4"/>
    <sheet name="Input_shares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47" i="1" l="1"/>
  <c r="L146" i="1"/>
  <c r="L145" i="1"/>
  <c r="L144" i="1"/>
  <c r="L143" i="1"/>
  <c r="L142" i="1"/>
  <c r="L141" i="1"/>
  <c r="L140" i="1"/>
  <c r="L138" i="1"/>
  <c r="L137" i="1"/>
  <c r="L136" i="1"/>
  <c r="L135" i="1"/>
  <c r="L134" i="1"/>
  <c r="L133" i="1"/>
  <c r="L132" i="1"/>
  <c r="L131" i="1"/>
  <c r="L130" i="1"/>
  <c r="L128" i="1"/>
  <c r="L127" i="1"/>
  <c r="L126" i="1"/>
  <c r="L125" i="1"/>
  <c r="L124" i="1"/>
  <c r="L123" i="1"/>
  <c r="L122" i="1"/>
  <c r="L121" i="1"/>
  <c r="L119" i="1"/>
  <c r="L118" i="1"/>
  <c r="L117" i="1"/>
  <c r="L116" i="1"/>
  <c r="L115" i="1"/>
  <c r="L114" i="1"/>
  <c r="L113" i="1"/>
  <c r="L112" i="1"/>
  <c r="L110" i="1"/>
  <c r="L109" i="1"/>
  <c r="L108" i="1"/>
  <c r="L107" i="1"/>
  <c r="L106" i="1"/>
  <c r="L105" i="1"/>
  <c r="L104" i="1"/>
  <c r="L103" i="1"/>
  <c r="L101" i="1"/>
  <c r="L100" i="1"/>
  <c r="L99" i="1"/>
  <c r="L98" i="1"/>
  <c r="L97" i="1"/>
  <c r="L96" i="1"/>
  <c r="L95" i="1"/>
  <c r="L94" i="1"/>
  <c r="L93" i="1"/>
  <c r="L92" i="1"/>
  <c r="L90" i="1"/>
  <c r="L89" i="1"/>
  <c r="L88" i="1"/>
  <c r="L87" i="1"/>
  <c r="L86" i="1"/>
  <c r="L85" i="1"/>
  <c r="L84" i="1"/>
  <c r="L83" i="1"/>
  <c r="L82" i="1"/>
  <c r="AB82" i="1" s="1"/>
  <c r="L81" i="1"/>
  <c r="M81" i="1" s="1"/>
  <c r="N81" i="1" s="1"/>
  <c r="O81" i="1" s="1"/>
  <c r="L80" i="1"/>
  <c r="L79" i="1"/>
  <c r="L78" i="1"/>
  <c r="L77" i="1"/>
  <c r="L75" i="1"/>
  <c r="L74" i="1"/>
  <c r="L73" i="1"/>
  <c r="L72" i="1"/>
  <c r="L71" i="1"/>
  <c r="L70" i="1"/>
  <c r="L69" i="1"/>
  <c r="L68" i="1"/>
  <c r="L66" i="1"/>
  <c r="L65" i="1"/>
  <c r="L64" i="1"/>
  <c r="L63" i="1"/>
  <c r="L62" i="1"/>
  <c r="L61" i="1"/>
  <c r="L60" i="1"/>
  <c r="L59" i="1"/>
  <c r="L58" i="1"/>
  <c r="L57" i="1"/>
  <c r="L55" i="1"/>
  <c r="L54" i="1"/>
  <c r="L53" i="1"/>
  <c r="L52" i="1"/>
  <c r="L51" i="1"/>
  <c r="L50" i="1"/>
  <c r="L49" i="1"/>
  <c r="L48" i="1"/>
  <c r="L46" i="1"/>
  <c r="L45" i="1"/>
  <c r="L44" i="1"/>
  <c r="L43" i="1"/>
  <c r="L42" i="1"/>
  <c r="L41" i="1"/>
  <c r="L40" i="1"/>
  <c r="L39" i="1"/>
  <c r="L38" i="1"/>
  <c r="L36" i="1"/>
  <c r="L35" i="1"/>
  <c r="L34" i="1"/>
  <c r="L33" i="1"/>
  <c r="L32" i="1"/>
  <c r="L31" i="1"/>
  <c r="L30" i="1"/>
  <c r="L29" i="1"/>
  <c r="L27" i="1"/>
  <c r="L26" i="1"/>
  <c r="L25" i="1"/>
  <c r="L24" i="1"/>
  <c r="L23" i="1"/>
  <c r="L22" i="1"/>
  <c r="L21" i="1"/>
  <c r="AB19" i="1" s="1"/>
  <c r="L20" i="1"/>
  <c r="L19" i="1"/>
  <c r="L18" i="1"/>
  <c r="L17" i="1"/>
  <c r="L16" i="1"/>
  <c r="L8" i="1"/>
  <c r="L9" i="1"/>
  <c r="L10" i="1"/>
  <c r="L11" i="1"/>
  <c r="L12" i="1"/>
  <c r="L13" i="1"/>
  <c r="L14" i="1"/>
  <c r="L7" i="1"/>
  <c r="T84" i="1"/>
  <c r="S84" i="1"/>
  <c r="R84" i="1"/>
  <c r="W83" i="1"/>
  <c r="V83" i="1"/>
  <c r="T90" i="1"/>
  <c r="S90" i="1"/>
  <c r="R90" i="1"/>
  <c r="AB21" i="1" l="1"/>
  <c r="AB84" i="1"/>
  <c r="AB83" i="1" s="1"/>
  <c r="M77" i="1"/>
  <c r="AC84" i="1"/>
  <c r="M84" i="1"/>
  <c r="AC83" i="1"/>
  <c r="M90" i="1"/>
  <c r="N77" i="1"/>
  <c r="AD84" i="1" s="1"/>
  <c r="AB20" i="1"/>
  <c r="AB18" i="1"/>
  <c r="AB17" i="1"/>
  <c r="AB16" i="1" s="1"/>
  <c r="AB8" i="1"/>
  <c r="AB10" i="1"/>
  <c r="AB9" i="1" s="1"/>
  <c r="AB12" i="1"/>
  <c r="AB11" i="1" s="1"/>
  <c r="AA143" i="1"/>
  <c r="AA142" i="1"/>
  <c r="Y142" i="1"/>
  <c r="Y144" i="1" s="1"/>
  <c r="AA141" i="1"/>
  <c r="AA140" i="1"/>
  <c r="X140" i="1"/>
  <c r="X141" i="1" s="1"/>
  <c r="X142" i="1" s="1"/>
  <c r="X143" i="1" s="1"/>
  <c r="X144" i="1" s="1"/>
  <c r="X145" i="1" s="1"/>
  <c r="AA133" i="1"/>
  <c r="AA132" i="1"/>
  <c r="Y132" i="1"/>
  <c r="Y134" i="1" s="1"/>
  <c r="AA131" i="1"/>
  <c r="AA130" i="1"/>
  <c r="X130" i="1"/>
  <c r="X131" i="1" s="1"/>
  <c r="X132" i="1" s="1"/>
  <c r="X133" i="1" s="1"/>
  <c r="X134" i="1" s="1"/>
  <c r="X135" i="1" s="1"/>
  <c r="AA124" i="1"/>
  <c r="AA123" i="1"/>
  <c r="Y123" i="1"/>
  <c r="Y125" i="1" s="1"/>
  <c r="AA122" i="1"/>
  <c r="AA121" i="1"/>
  <c r="X121" i="1"/>
  <c r="X122" i="1" s="1"/>
  <c r="X123" i="1" s="1"/>
  <c r="X124" i="1" s="1"/>
  <c r="X125" i="1" s="1"/>
  <c r="X126" i="1" s="1"/>
  <c r="AA115" i="1"/>
  <c r="AA114" i="1"/>
  <c r="Y114" i="1"/>
  <c r="Y116" i="1" s="1"/>
  <c r="AA113" i="1"/>
  <c r="AA112" i="1"/>
  <c r="X112" i="1"/>
  <c r="X113" i="1" s="1"/>
  <c r="X114" i="1" s="1"/>
  <c r="X115" i="1" s="1"/>
  <c r="X116" i="1" s="1"/>
  <c r="X117" i="1" s="1"/>
  <c r="AA106" i="1"/>
  <c r="AA105" i="1"/>
  <c r="Y105" i="1"/>
  <c r="Y107" i="1" s="1"/>
  <c r="AA104" i="1"/>
  <c r="AA103" i="1"/>
  <c r="X103" i="1"/>
  <c r="X104" i="1" s="1"/>
  <c r="X105" i="1" s="1"/>
  <c r="X106" i="1" s="1"/>
  <c r="X107" i="1" s="1"/>
  <c r="X108" i="1" s="1"/>
  <c r="AA95" i="1"/>
  <c r="AA94" i="1"/>
  <c r="Y94" i="1"/>
  <c r="Y96" i="1" s="1"/>
  <c r="AA93" i="1"/>
  <c r="AA92" i="1"/>
  <c r="X92" i="1"/>
  <c r="X93" i="1" s="1"/>
  <c r="X94" i="1" s="1"/>
  <c r="X95" i="1" s="1"/>
  <c r="X96" i="1" s="1"/>
  <c r="X97" i="1" s="1"/>
  <c r="AA80" i="1"/>
  <c r="AA79" i="1"/>
  <c r="Y79" i="1"/>
  <c r="Y81" i="1" s="1"/>
  <c r="Y83" i="1" s="1"/>
  <c r="AA78" i="1"/>
  <c r="AA77" i="1"/>
  <c r="X77" i="1"/>
  <c r="X78" i="1" s="1"/>
  <c r="X79" i="1" s="1"/>
  <c r="X80" i="1" s="1"/>
  <c r="X81" i="1" s="1"/>
  <c r="X82" i="1" s="1"/>
  <c r="X83" i="1" s="1"/>
  <c r="X84" i="1" s="1"/>
  <c r="V91" i="1"/>
  <c r="AA71" i="1"/>
  <c r="AA70" i="1"/>
  <c r="AA69" i="1"/>
  <c r="AA68" i="1"/>
  <c r="Y70" i="1"/>
  <c r="Y72" i="1" s="1"/>
  <c r="X68" i="1"/>
  <c r="X69" i="1" s="1"/>
  <c r="X70" i="1" s="1"/>
  <c r="X71" i="1" s="1"/>
  <c r="X72" i="1" s="1"/>
  <c r="X73" i="1" s="1"/>
  <c r="AA60" i="1"/>
  <c r="AA59" i="1"/>
  <c r="Y59" i="1"/>
  <c r="Y61" i="1" s="1"/>
  <c r="AA58" i="1"/>
  <c r="AA57" i="1"/>
  <c r="X57" i="1"/>
  <c r="X58" i="1" s="1"/>
  <c r="X59" i="1" s="1"/>
  <c r="X60" i="1" s="1"/>
  <c r="X61" i="1" s="1"/>
  <c r="X62" i="1" s="1"/>
  <c r="AA51" i="1"/>
  <c r="AA50" i="1"/>
  <c r="Y50" i="1"/>
  <c r="Y52" i="1" s="1"/>
  <c r="AA49" i="1"/>
  <c r="AA48" i="1"/>
  <c r="X48" i="1"/>
  <c r="X49" i="1" s="1"/>
  <c r="X50" i="1" s="1"/>
  <c r="X51" i="1" s="1"/>
  <c r="X52" i="1" s="1"/>
  <c r="X53" i="1" s="1"/>
  <c r="AA41" i="1"/>
  <c r="AA40" i="1"/>
  <c r="Y40" i="1"/>
  <c r="Y42" i="1" s="1"/>
  <c r="AA39" i="1"/>
  <c r="AA38" i="1"/>
  <c r="X38" i="1"/>
  <c r="X39" i="1" s="1"/>
  <c r="X40" i="1" s="1"/>
  <c r="X41" i="1" s="1"/>
  <c r="X42" i="1" s="1"/>
  <c r="X43" i="1" s="1"/>
  <c r="AA32" i="1"/>
  <c r="AA31" i="1"/>
  <c r="Y31" i="1"/>
  <c r="Y33" i="1" s="1"/>
  <c r="AA30" i="1"/>
  <c r="AA29" i="1"/>
  <c r="X29" i="1"/>
  <c r="X30" i="1" s="1"/>
  <c r="X31" i="1" s="1"/>
  <c r="X32" i="1" s="1"/>
  <c r="X33" i="1" s="1"/>
  <c r="X34" i="1" s="1"/>
  <c r="AA17" i="1"/>
  <c r="AA16" i="1"/>
  <c r="AA19" i="1"/>
  <c r="Y18" i="1"/>
  <c r="Y20" i="1" s="1"/>
  <c r="X16" i="1"/>
  <c r="X17" i="1" s="1"/>
  <c r="X18" i="1" s="1"/>
  <c r="X19" i="1" s="1"/>
  <c r="X20" i="1" s="1"/>
  <c r="X21" i="1" s="1"/>
  <c r="X7" i="1"/>
  <c r="X8" i="1" s="1"/>
  <c r="X9" i="1" s="1"/>
  <c r="X10" i="1" s="1"/>
  <c r="X11" i="1" s="1"/>
  <c r="X12" i="1" s="1"/>
  <c r="AA12" i="1"/>
  <c r="AA10" i="1"/>
  <c r="Y9" i="1"/>
  <c r="Y11" i="1" s="1"/>
  <c r="N84" i="1" l="1"/>
  <c r="AD83" i="1"/>
  <c r="O77" i="1"/>
  <c r="AE84" i="1" s="1"/>
  <c r="N90" i="1"/>
  <c r="V144" i="1"/>
  <c r="V142" i="1"/>
  <c r="V140" i="1"/>
  <c r="V134" i="1"/>
  <c r="V132" i="1"/>
  <c r="V130" i="1"/>
  <c r="V123" i="1"/>
  <c r="V125" i="1"/>
  <c r="V121" i="1"/>
  <c r="V116" i="1"/>
  <c r="V114" i="1"/>
  <c r="V112" i="1"/>
  <c r="V107" i="1"/>
  <c r="V105" i="1"/>
  <c r="V103" i="1"/>
  <c r="V96" i="1"/>
  <c r="V94" i="1"/>
  <c r="V92" i="1"/>
  <c r="V81" i="1"/>
  <c r="V79" i="1"/>
  <c r="V77" i="1"/>
  <c r="V72" i="1"/>
  <c r="V70" i="1"/>
  <c r="V68" i="1"/>
  <c r="V61" i="1"/>
  <c r="V59" i="1"/>
  <c r="V57" i="1"/>
  <c r="V52" i="1"/>
  <c r="V50" i="1"/>
  <c r="V48" i="1"/>
  <c r="V42" i="1"/>
  <c r="V40" i="1"/>
  <c r="V38" i="1"/>
  <c r="V33" i="1"/>
  <c r="V31" i="1"/>
  <c r="V29" i="1"/>
  <c r="V18" i="1"/>
  <c r="V16" i="1"/>
  <c r="V20" i="1"/>
  <c r="V9" i="1"/>
  <c r="V11" i="1"/>
  <c r="V7" i="1"/>
  <c r="W144" i="1"/>
  <c r="W142" i="1"/>
  <c r="W140" i="1"/>
  <c r="W134" i="1"/>
  <c r="W132" i="1"/>
  <c r="W130" i="1"/>
  <c r="W125" i="1"/>
  <c r="W123" i="1"/>
  <c r="W121" i="1"/>
  <c r="W116" i="1"/>
  <c r="W114" i="1"/>
  <c r="W112" i="1"/>
  <c r="W107" i="1"/>
  <c r="W105" i="1"/>
  <c r="W103" i="1"/>
  <c r="W96" i="1"/>
  <c r="W94" i="1"/>
  <c r="W92" i="1"/>
  <c r="W81" i="1"/>
  <c r="W79" i="1"/>
  <c r="W77" i="1"/>
  <c r="W72" i="1"/>
  <c r="W70" i="1"/>
  <c r="W68" i="1"/>
  <c r="W61" i="1"/>
  <c r="W59" i="1"/>
  <c r="W57" i="1"/>
  <c r="W52" i="1"/>
  <c r="W50" i="1"/>
  <c r="W48" i="1"/>
  <c r="W42" i="1"/>
  <c r="W40" i="1"/>
  <c r="W38" i="1"/>
  <c r="W33" i="1"/>
  <c r="W31" i="1"/>
  <c r="W29" i="1"/>
  <c r="V37" i="1"/>
  <c r="W18" i="1"/>
  <c r="W16" i="1"/>
  <c r="W20" i="1"/>
  <c r="W11" i="1"/>
  <c r="W9" i="1"/>
  <c r="W7" i="1"/>
  <c r="AA18" i="1"/>
  <c r="AA9" i="1"/>
  <c r="AE83" i="1" l="1"/>
  <c r="O84" i="1"/>
  <c r="O90" i="1"/>
  <c r="AA11" i="1"/>
  <c r="B4" i="1" l="1"/>
  <c r="V2" i="1"/>
  <c r="G4" i="1"/>
  <c r="AB145" i="1"/>
  <c r="AB144" i="1" s="1"/>
  <c r="AB143" i="1"/>
  <c r="AB142" i="1" s="1"/>
  <c r="AB141" i="1"/>
  <c r="AB140" i="1" s="1"/>
  <c r="AB135" i="1"/>
  <c r="AB134" i="1" s="1"/>
  <c r="AB133" i="1"/>
  <c r="AB132" i="1" s="1"/>
  <c r="AB131" i="1"/>
  <c r="AB130" i="1" s="1"/>
  <c r="AB124" i="1"/>
  <c r="AB123" i="1" s="1"/>
  <c r="AB126" i="1"/>
  <c r="AB125" i="1" s="1"/>
  <c r="AB122" i="1"/>
  <c r="AB121" i="1" s="1"/>
  <c r="AB117" i="1"/>
  <c r="AB116" i="1" s="1"/>
  <c r="AB115" i="1"/>
  <c r="AB114" i="1" s="1"/>
  <c r="AB113" i="1"/>
  <c r="AB112" i="1" s="1"/>
  <c r="AB108" i="1"/>
  <c r="AB107" i="1" s="1"/>
  <c r="AB106" i="1"/>
  <c r="AB105" i="1" s="1"/>
  <c r="AB104" i="1"/>
  <c r="AB103" i="1" s="1"/>
  <c r="AB97" i="1"/>
  <c r="AB96" i="1" s="1"/>
  <c r="AB95" i="1"/>
  <c r="AB94" i="1" s="1"/>
  <c r="AB93" i="1"/>
  <c r="AB92" i="1" s="1"/>
  <c r="AB81" i="1"/>
  <c r="AB80" i="1"/>
  <c r="AB79" i="1" s="1"/>
  <c r="AB78" i="1"/>
  <c r="AB77" i="1" s="1"/>
  <c r="AB73" i="1"/>
  <c r="AB72" i="1" s="1"/>
  <c r="AB71" i="1"/>
  <c r="AB70" i="1" s="1"/>
  <c r="AB69" i="1"/>
  <c r="AB68" i="1" s="1"/>
  <c r="AB62" i="1"/>
  <c r="AB61" i="1" s="1"/>
  <c r="AB60" i="1"/>
  <c r="AB59" i="1" s="1"/>
  <c r="AB58" i="1"/>
  <c r="AB57" i="1" s="1"/>
  <c r="AB53" i="1"/>
  <c r="AB52" i="1" s="1"/>
  <c r="AB51" i="1"/>
  <c r="AB50" i="1" s="1"/>
  <c r="AB49" i="1"/>
  <c r="AB48" i="1" s="1"/>
  <c r="AB43" i="1"/>
  <c r="AB42" i="1" s="1"/>
  <c r="AB41" i="1"/>
  <c r="AB40" i="1" s="1"/>
  <c r="AB39" i="1"/>
  <c r="AB38" i="1" s="1"/>
  <c r="AB34" i="1"/>
  <c r="AB33" i="1" s="1"/>
  <c r="AB32" i="1"/>
  <c r="AB31" i="1" s="1"/>
  <c r="AB30" i="1"/>
  <c r="AB29" i="1" s="1"/>
  <c r="AB7" i="1"/>
  <c r="V139" i="1"/>
  <c r="V129" i="1"/>
  <c r="V120" i="1"/>
  <c r="V111" i="1"/>
  <c r="V102" i="1"/>
  <c r="V76" i="1"/>
  <c r="V67" i="1"/>
  <c r="V56" i="1"/>
  <c r="V47" i="1"/>
  <c r="V28" i="1"/>
  <c r="V15" i="1"/>
  <c r="V6" i="1"/>
  <c r="M143" i="1"/>
  <c r="M147" i="1" s="1"/>
  <c r="M142" i="1"/>
  <c r="M146" i="1" s="1"/>
  <c r="M140" i="1"/>
  <c r="M145" i="1" s="1"/>
  <c r="M134" i="1"/>
  <c r="N134" i="1" s="1"/>
  <c r="N138" i="1" s="1"/>
  <c r="M133" i="1"/>
  <c r="N133" i="1" s="1"/>
  <c r="N137" i="1" s="1"/>
  <c r="M130" i="1"/>
  <c r="N130" i="1" s="1"/>
  <c r="N136" i="1" s="1"/>
  <c r="M124" i="1"/>
  <c r="M128" i="1" s="1"/>
  <c r="M123" i="1"/>
  <c r="M127" i="1" s="1"/>
  <c r="M121" i="1"/>
  <c r="N121" i="1" s="1"/>
  <c r="N126" i="1" s="1"/>
  <c r="M115" i="1"/>
  <c r="M119" i="1" s="1"/>
  <c r="M114" i="1"/>
  <c r="M118" i="1" s="1"/>
  <c r="M112" i="1"/>
  <c r="M117" i="1" s="1"/>
  <c r="M106" i="1"/>
  <c r="M110" i="1" s="1"/>
  <c r="M105" i="1"/>
  <c r="M109" i="1" s="1"/>
  <c r="M103" i="1"/>
  <c r="M108" i="1" s="1"/>
  <c r="M97" i="1"/>
  <c r="M101" i="1" s="1"/>
  <c r="M96" i="1"/>
  <c r="M100" i="1" s="1"/>
  <c r="M93" i="1"/>
  <c r="N93" i="1" s="1"/>
  <c r="N99" i="1" s="1"/>
  <c r="M82" i="1"/>
  <c r="M89" i="1" s="1"/>
  <c r="M80" i="1"/>
  <c r="M88" i="1" s="1"/>
  <c r="M78" i="1"/>
  <c r="M87" i="1" s="1"/>
  <c r="M71" i="1"/>
  <c r="M75" i="1" s="1"/>
  <c r="M70" i="1"/>
  <c r="M74" i="1" s="1"/>
  <c r="M68" i="1"/>
  <c r="M73" i="1" s="1"/>
  <c r="M62" i="1"/>
  <c r="M66" i="1" s="1"/>
  <c r="M60" i="1"/>
  <c r="M65" i="1" s="1"/>
  <c r="M57" i="1"/>
  <c r="M64" i="1" s="1"/>
  <c r="M51" i="1"/>
  <c r="M55" i="1" s="1"/>
  <c r="M50" i="1"/>
  <c r="N50" i="1" s="1"/>
  <c r="N54" i="1" s="1"/>
  <c r="M48" i="1"/>
  <c r="M53" i="1" s="1"/>
  <c r="M41" i="1"/>
  <c r="M46" i="1" s="1"/>
  <c r="M40" i="1"/>
  <c r="M45" i="1" s="1"/>
  <c r="M38" i="1"/>
  <c r="M44" i="1" s="1"/>
  <c r="M32" i="1"/>
  <c r="M36" i="1" s="1"/>
  <c r="M31" i="1"/>
  <c r="M35" i="1" s="1"/>
  <c r="M29" i="1"/>
  <c r="M34" i="1" s="1"/>
  <c r="M22" i="1"/>
  <c r="M21" i="1"/>
  <c r="M18" i="1"/>
  <c r="N18" i="1" s="1"/>
  <c r="AD17" i="1" s="1"/>
  <c r="AD16" i="1" s="1"/>
  <c r="M10" i="1"/>
  <c r="M14" i="1" s="1"/>
  <c r="M9" i="1"/>
  <c r="M13" i="1" s="1"/>
  <c r="M7" i="1"/>
  <c r="N7" i="1" s="1"/>
  <c r="AD8" i="1" s="1"/>
  <c r="AD7" i="1" s="1"/>
  <c r="M24" i="1" l="1"/>
  <c r="AC21" i="1"/>
  <c r="AC20" i="1" s="1"/>
  <c r="N21" i="1"/>
  <c r="AD19" i="1" s="1"/>
  <c r="AD18" i="1" s="1"/>
  <c r="AC19" i="1"/>
  <c r="AC18" i="1" s="1"/>
  <c r="AC122" i="1"/>
  <c r="AC121" i="1" s="1"/>
  <c r="AD133" i="1"/>
  <c r="AD132" i="1" s="1"/>
  <c r="AC78" i="1"/>
  <c r="AC77" i="1" s="1"/>
  <c r="AC58" i="1"/>
  <c r="AC57" i="1" s="1"/>
  <c r="AC106" i="1"/>
  <c r="AC105" i="1" s="1"/>
  <c r="AD51" i="1"/>
  <c r="AD50" i="1" s="1"/>
  <c r="AC141" i="1"/>
  <c r="AC140" i="1" s="1"/>
  <c r="AC34" i="1"/>
  <c r="AC33" i="1" s="1"/>
  <c r="AC53" i="1"/>
  <c r="AC52" i="1" s="1"/>
  <c r="AC73" i="1"/>
  <c r="AC72" i="1" s="1"/>
  <c r="AC97" i="1"/>
  <c r="AC96" i="1" s="1"/>
  <c r="AC117" i="1"/>
  <c r="AC116" i="1" s="1"/>
  <c r="AC135" i="1"/>
  <c r="AC134" i="1" s="1"/>
  <c r="AC10" i="1"/>
  <c r="AC9" i="1" s="1"/>
  <c r="AC12" i="1"/>
  <c r="AC11" i="1" s="1"/>
  <c r="AC17" i="1"/>
  <c r="AC16" i="1" s="1"/>
  <c r="AC41" i="1"/>
  <c r="AC40" i="1" s="1"/>
  <c r="AC60" i="1"/>
  <c r="AC59" i="1" s="1"/>
  <c r="AC80" i="1"/>
  <c r="AC79" i="1" s="1"/>
  <c r="AC108" i="1"/>
  <c r="AC107" i="1" s="1"/>
  <c r="AC124" i="1"/>
  <c r="AC123" i="1" s="1"/>
  <c r="AD135" i="1"/>
  <c r="AD134" i="1" s="1"/>
  <c r="AC143" i="1"/>
  <c r="AC142" i="1" s="1"/>
  <c r="AC30" i="1"/>
  <c r="AC29" i="1" s="1"/>
  <c r="AC49" i="1"/>
  <c r="AC48" i="1" s="1"/>
  <c r="AC69" i="1"/>
  <c r="AC68" i="1" s="1"/>
  <c r="AC93" i="1"/>
  <c r="AC92" i="1" s="1"/>
  <c r="AC113" i="1"/>
  <c r="AC112" i="1" s="1"/>
  <c r="AC131" i="1"/>
  <c r="AC130" i="1" s="1"/>
  <c r="AD122" i="1"/>
  <c r="AD121" i="1" s="1"/>
  <c r="M126" i="1"/>
  <c r="AC8" i="1"/>
  <c r="AC7" i="1" s="1"/>
  <c r="AD93" i="1"/>
  <c r="AD92" i="1" s="1"/>
  <c r="AC104" i="1"/>
  <c r="AC103" i="1" s="1"/>
  <c r="AD131" i="1"/>
  <c r="AD130" i="1" s="1"/>
  <c r="AC39" i="1"/>
  <c r="AC38" i="1" s="1"/>
  <c r="AC43" i="1"/>
  <c r="AC42" i="1" s="1"/>
  <c r="AC62" i="1"/>
  <c r="AC61" i="1" s="1"/>
  <c r="AC82" i="1"/>
  <c r="AC81" i="1" s="1"/>
  <c r="AC126" i="1"/>
  <c r="AC125" i="1" s="1"/>
  <c r="AC145" i="1"/>
  <c r="AC144" i="1" s="1"/>
  <c r="M54" i="1"/>
  <c r="AC32" i="1"/>
  <c r="AC31" i="1" s="1"/>
  <c r="AC51" i="1"/>
  <c r="AC50" i="1" s="1"/>
  <c r="AC71" i="1"/>
  <c r="AC70" i="1" s="1"/>
  <c r="AC95" i="1"/>
  <c r="AC94" i="1" s="1"/>
  <c r="AC115" i="1"/>
  <c r="AC114" i="1" s="1"/>
  <c r="AC133" i="1"/>
  <c r="AC132" i="1" s="1"/>
  <c r="N106" i="1"/>
  <c r="O106" i="1" s="1"/>
  <c r="N96" i="1"/>
  <c r="M136" i="1"/>
  <c r="M137" i="1"/>
  <c r="N9" i="1"/>
  <c r="M27" i="1"/>
  <c r="N78" i="1"/>
  <c r="O78" i="1" s="1"/>
  <c r="N97" i="1"/>
  <c r="M138" i="1"/>
  <c r="N48" i="1"/>
  <c r="M99" i="1"/>
  <c r="N31" i="1"/>
  <c r="N62" i="1"/>
  <c r="O62" i="1" s="1"/>
  <c r="N143" i="1"/>
  <c r="O143" i="1" s="1"/>
  <c r="N22" i="1"/>
  <c r="AD21" i="1" s="1"/>
  <c r="AD20" i="1" s="1"/>
  <c r="N12" i="1"/>
  <c r="O7" i="1"/>
  <c r="AE8" i="1" s="1"/>
  <c r="O18" i="1"/>
  <c r="N26" i="1"/>
  <c r="N29" i="1"/>
  <c r="AD30" i="1" s="1"/>
  <c r="AD29" i="1" s="1"/>
  <c r="N41" i="1"/>
  <c r="AD43" i="1" s="1"/>
  <c r="AD42" i="1" s="1"/>
  <c r="O50" i="1"/>
  <c r="N68" i="1"/>
  <c r="AD69" i="1" s="1"/>
  <c r="AD68" i="1" s="1"/>
  <c r="N82" i="1"/>
  <c r="AD82" i="1" s="1"/>
  <c r="AD81" i="1" s="1"/>
  <c r="N112" i="1"/>
  <c r="AD113" i="1" s="1"/>
  <c r="AD112" i="1" s="1"/>
  <c r="N124" i="1"/>
  <c r="AD126" i="1" s="1"/>
  <c r="AD125" i="1" s="1"/>
  <c r="O133" i="1"/>
  <c r="M26" i="1"/>
  <c r="N60" i="1"/>
  <c r="AD60" i="1" s="1"/>
  <c r="AD59" i="1" s="1"/>
  <c r="N105" i="1"/>
  <c r="AD106" i="1" s="1"/>
  <c r="AD105" i="1" s="1"/>
  <c r="N142" i="1"/>
  <c r="AD143" i="1" s="1"/>
  <c r="AD142" i="1" s="1"/>
  <c r="N10" i="1"/>
  <c r="AD12" i="1" s="1"/>
  <c r="AD11" i="1" s="1"/>
  <c r="N38" i="1"/>
  <c r="AD39" i="1" s="1"/>
  <c r="AD38" i="1" s="1"/>
  <c r="N51" i="1"/>
  <c r="AD53" i="1" s="1"/>
  <c r="AD52" i="1" s="1"/>
  <c r="N70" i="1"/>
  <c r="AD71" i="1" s="1"/>
  <c r="AD70" i="1" s="1"/>
  <c r="N114" i="1"/>
  <c r="AD115" i="1" s="1"/>
  <c r="AD114" i="1" s="1"/>
  <c r="O121" i="1"/>
  <c r="O134" i="1"/>
  <c r="M12" i="1"/>
  <c r="N40" i="1"/>
  <c r="AD41" i="1" s="1"/>
  <c r="AD40" i="1" s="1"/>
  <c r="N80" i="1"/>
  <c r="AD80" i="1" s="1"/>
  <c r="AD79" i="1" s="1"/>
  <c r="O93" i="1"/>
  <c r="N123" i="1"/>
  <c r="AD124" i="1" s="1"/>
  <c r="AD123" i="1" s="1"/>
  <c r="O130" i="1"/>
  <c r="N32" i="1"/>
  <c r="AD34" i="1" s="1"/>
  <c r="AD33" i="1" s="1"/>
  <c r="N57" i="1"/>
  <c r="AD58" i="1" s="1"/>
  <c r="AD57" i="1" s="1"/>
  <c r="N71" i="1"/>
  <c r="AD73" i="1" s="1"/>
  <c r="AD72" i="1" s="1"/>
  <c r="N103" i="1"/>
  <c r="AD104" i="1" s="1"/>
  <c r="AD103" i="1" s="1"/>
  <c r="N115" i="1"/>
  <c r="AD117" i="1" s="1"/>
  <c r="AD116" i="1" s="1"/>
  <c r="N140" i="1"/>
  <c r="AD141" i="1" s="1"/>
  <c r="AD140" i="1" s="1"/>
  <c r="O21" i="1" l="1"/>
  <c r="O27" i="1" s="1"/>
  <c r="N27" i="1"/>
  <c r="O138" i="1"/>
  <c r="AE135" i="1"/>
  <c r="AE134" i="1" s="1"/>
  <c r="O126" i="1"/>
  <c r="AE122" i="1"/>
  <c r="AE121" i="1" s="1"/>
  <c r="O12" i="1"/>
  <c r="AE7" i="1"/>
  <c r="N110" i="1"/>
  <c r="AD108" i="1"/>
  <c r="AD107" i="1" s="1"/>
  <c r="O110" i="1"/>
  <c r="AE108" i="1"/>
  <c r="AE107" i="1" s="1"/>
  <c r="O87" i="1"/>
  <c r="AE78" i="1"/>
  <c r="AE77" i="1" s="1"/>
  <c r="O137" i="1"/>
  <c r="AE133" i="1"/>
  <c r="AE132" i="1" s="1"/>
  <c r="N147" i="1"/>
  <c r="AD145" i="1"/>
  <c r="AD144" i="1" s="1"/>
  <c r="O54" i="1"/>
  <c r="AE51" i="1"/>
  <c r="AE50" i="1" s="1"/>
  <c r="O66" i="1"/>
  <c r="AE62" i="1"/>
  <c r="AE61" i="1" s="1"/>
  <c r="N66" i="1"/>
  <c r="AD62" i="1"/>
  <c r="AD61" i="1" s="1"/>
  <c r="N13" i="1"/>
  <c r="AD10" i="1"/>
  <c r="AD9" i="1" s="1"/>
  <c r="O136" i="1"/>
  <c r="AE131" i="1"/>
  <c r="AE130" i="1" s="1"/>
  <c r="N53" i="1"/>
  <c r="AD49" i="1"/>
  <c r="AD48" i="1" s="1"/>
  <c r="N87" i="1"/>
  <c r="AD78" i="1"/>
  <c r="AD77" i="1" s="1"/>
  <c r="O26" i="1"/>
  <c r="AE17" i="1"/>
  <c r="AE16" i="1" s="1"/>
  <c r="N35" i="1"/>
  <c r="AD32" i="1"/>
  <c r="AD31" i="1" s="1"/>
  <c r="N100" i="1"/>
  <c r="AD95" i="1"/>
  <c r="AD94" i="1" s="1"/>
  <c r="N101" i="1"/>
  <c r="AD97" i="1"/>
  <c r="AD96" i="1" s="1"/>
  <c r="O99" i="1"/>
  <c r="AE93" i="1"/>
  <c r="AE92" i="1" s="1"/>
  <c r="O147" i="1"/>
  <c r="AE145" i="1"/>
  <c r="AE144" i="1" s="1"/>
  <c r="O96" i="1"/>
  <c r="O97" i="1"/>
  <c r="O9" i="1"/>
  <c r="O22" i="1"/>
  <c r="AE21" i="1" s="1"/>
  <c r="AE20" i="1" s="1"/>
  <c r="N24" i="1"/>
  <c r="O48" i="1"/>
  <c r="O31" i="1"/>
  <c r="N45" i="1"/>
  <c r="O40" i="1"/>
  <c r="N14" i="1"/>
  <c r="O10" i="1"/>
  <c r="N146" i="1"/>
  <c r="O142" i="1"/>
  <c r="N89" i="1"/>
  <c r="O82" i="1"/>
  <c r="N34" i="1"/>
  <c r="O29" i="1"/>
  <c r="N55" i="1"/>
  <c r="O51" i="1"/>
  <c r="N75" i="1"/>
  <c r="O71" i="1"/>
  <c r="N109" i="1"/>
  <c r="O105" i="1"/>
  <c r="N73" i="1"/>
  <c r="O68" i="1"/>
  <c r="N74" i="1"/>
  <c r="O70" i="1"/>
  <c r="N127" i="1"/>
  <c r="O123" i="1"/>
  <c r="N117" i="1"/>
  <c r="O112" i="1"/>
  <c r="N119" i="1"/>
  <c r="O115" i="1"/>
  <c r="N108" i="1"/>
  <c r="O103" i="1"/>
  <c r="N88" i="1"/>
  <c r="O80" i="1"/>
  <c r="N65" i="1"/>
  <c r="O60" i="1"/>
  <c r="N128" i="1"/>
  <c r="O124" i="1"/>
  <c r="O140" i="1"/>
  <c r="N145" i="1"/>
  <c r="N44" i="1"/>
  <c r="O38" i="1"/>
  <c r="N118" i="1"/>
  <c r="O114" i="1"/>
  <c r="N64" i="1"/>
  <c r="O57" i="1"/>
  <c r="N36" i="1"/>
  <c r="O32" i="1"/>
  <c r="N46" i="1"/>
  <c r="O41" i="1"/>
  <c r="AE19" i="1" l="1"/>
  <c r="AE18" i="1" s="1"/>
  <c r="O55" i="1"/>
  <c r="AE53" i="1"/>
  <c r="AE52" i="1" s="1"/>
  <c r="O145" i="1"/>
  <c r="AE141" i="1"/>
  <c r="AE140" i="1" s="1"/>
  <c r="O101" i="1"/>
  <c r="AE97" i="1"/>
  <c r="AE96" i="1" s="1"/>
  <c r="O119" i="1"/>
  <c r="AE117" i="1"/>
  <c r="AE116" i="1" s="1"/>
  <c r="O74" i="1"/>
  <c r="AE71" i="1"/>
  <c r="AE70" i="1" s="1"/>
  <c r="O128" i="1"/>
  <c r="AE126" i="1"/>
  <c r="AE125" i="1" s="1"/>
  <c r="O117" i="1"/>
  <c r="AE113" i="1"/>
  <c r="AE112" i="1" s="1"/>
  <c r="O35" i="1"/>
  <c r="AE32" i="1"/>
  <c r="AE31" i="1" s="1"/>
  <c r="O36" i="1"/>
  <c r="AE34" i="1"/>
  <c r="AE33" i="1" s="1"/>
  <c r="O13" i="1"/>
  <c r="AE10" i="1"/>
  <c r="AE9" i="1" s="1"/>
  <c r="O34" i="1"/>
  <c r="AE30" i="1"/>
  <c r="AE29" i="1" s="1"/>
  <c r="O65" i="1"/>
  <c r="AE60" i="1"/>
  <c r="AE59" i="1" s="1"/>
  <c r="O53" i="1"/>
  <c r="AE49" i="1"/>
  <c r="AE48" i="1" s="1"/>
  <c r="O100" i="1"/>
  <c r="AE95" i="1"/>
  <c r="AE94" i="1" s="1"/>
  <c r="O108" i="1"/>
  <c r="AE104" i="1"/>
  <c r="AE103" i="1" s="1"/>
  <c r="O73" i="1"/>
  <c r="AE69" i="1"/>
  <c r="AE68" i="1" s="1"/>
  <c r="O109" i="1"/>
  <c r="AE106" i="1"/>
  <c r="AE105" i="1" s="1"/>
  <c r="O46" i="1"/>
  <c r="AE43" i="1"/>
  <c r="AE42" i="1" s="1"/>
  <c r="O44" i="1"/>
  <c r="AE39" i="1"/>
  <c r="AE38" i="1" s="1"/>
  <c r="O88" i="1"/>
  <c r="AE80" i="1"/>
  <c r="AE79" i="1" s="1"/>
  <c r="O127" i="1"/>
  <c r="AE124" i="1"/>
  <c r="AE123" i="1" s="1"/>
  <c r="O75" i="1"/>
  <c r="AE73" i="1"/>
  <c r="AE72" i="1" s="1"/>
  <c r="O146" i="1"/>
  <c r="AE143" i="1"/>
  <c r="AE142" i="1" s="1"/>
  <c r="O14" i="1"/>
  <c r="AE12" i="1"/>
  <c r="AE11" i="1" s="1"/>
  <c r="O64" i="1"/>
  <c r="AE58" i="1"/>
  <c r="AE57" i="1" s="1"/>
  <c r="O45" i="1"/>
  <c r="AE41" i="1"/>
  <c r="AE40" i="1" s="1"/>
  <c r="O118" i="1"/>
  <c r="AE115" i="1"/>
  <c r="AE114" i="1" s="1"/>
  <c r="O89" i="1"/>
  <c r="AE82" i="1"/>
  <c r="AE81" i="1" s="1"/>
  <c r="O24" i="1"/>
  <c r="D7" i="2"/>
  <c r="C7" i="2"/>
  <c r="D6" i="2"/>
  <c r="C6" i="2"/>
  <c r="AD5" i="2"/>
  <c r="AD3" i="2" s="1" a="1"/>
  <c r="AD3" i="2" s="1"/>
  <c r="AC5" i="2"/>
  <c r="AC7" i="2" s="1"/>
  <c r="AB5" i="2"/>
  <c r="AB7" i="2" s="1"/>
  <c r="AA5" i="2"/>
  <c r="AA7" i="2" s="1"/>
  <c r="Z5" i="2"/>
  <c r="Z3" i="2" s="1" a="1"/>
  <c r="Z3" i="2" s="1"/>
  <c r="Y5" i="2"/>
  <c r="Y7" i="2" s="1"/>
  <c r="X5" i="2"/>
  <c r="X6" i="2" s="1"/>
  <c r="W5" i="2"/>
  <c r="W6" i="2" s="1"/>
  <c r="V5" i="2"/>
  <c r="V3" i="2" s="1" a="1"/>
  <c r="V3" i="2" s="1"/>
  <c r="U5" i="2"/>
  <c r="U7" i="2" s="1"/>
  <c r="T5" i="2"/>
  <c r="T7" i="2" s="1"/>
  <c r="S5" i="2"/>
  <c r="S7" i="2" s="1"/>
  <c r="R5" i="2"/>
  <c r="R3" i="2" s="1" a="1"/>
  <c r="R3" i="2" s="1"/>
  <c r="Q5" i="2"/>
  <c r="Q7" i="2" s="1"/>
  <c r="P5" i="2"/>
  <c r="P7" i="2" s="1"/>
  <c r="O5" i="2"/>
  <c r="O6" i="2" s="1"/>
  <c r="N5" i="2"/>
  <c r="N3" i="2" s="1" a="1"/>
  <c r="N3" i="2" s="1"/>
  <c r="M5" i="2"/>
  <c r="M7" i="2" s="1"/>
  <c r="L5" i="2"/>
  <c r="L7" i="2" s="1"/>
  <c r="K5" i="2"/>
  <c r="K7" i="2" s="1"/>
  <c r="J5" i="2"/>
  <c r="J3" i="2" s="1" a="1"/>
  <c r="J3" i="2" s="1"/>
  <c r="I5" i="2"/>
  <c r="I7" i="2" s="1"/>
  <c r="H5" i="2"/>
  <c r="H7" i="2" s="1"/>
  <c r="G5" i="2"/>
  <c r="G6" i="2" s="1"/>
  <c r="F5" i="2"/>
  <c r="F3" i="2" s="1" a="1"/>
  <c r="F3" i="2" s="1"/>
  <c r="E5" i="2"/>
  <c r="E7" i="2" s="1"/>
  <c r="AA3" i="2" a="1"/>
  <c r="AA3" i="2" s="1"/>
  <c r="Y3" i="2" a="1"/>
  <c r="Y3" i="2" s="1"/>
  <c r="X3" i="2" a="1"/>
  <c r="X3" i="2" s="1"/>
  <c r="W3" i="2" a="1"/>
  <c r="W3" i="2" s="1"/>
  <c r="K3" i="2" a="1"/>
  <c r="K3" i="2" s="1"/>
  <c r="I3" i="2" a="1"/>
  <c r="I3" i="2" s="1"/>
  <c r="H3" i="2" a="1"/>
  <c r="H3" i="2" s="1"/>
  <c r="G3" i="2" a="1"/>
  <c r="G3" i="2" s="1"/>
  <c r="D3" i="2" a="1"/>
  <c r="D3" i="2" s="1"/>
  <c r="C3" i="2" a="1"/>
  <c r="C3" i="2" s="1"/>
  <c r="K6" i="2" l="1"/>
  <c r="W7" i="2"/>
  <c r="X7" i="2"/>
  <c r="Z7" i="2"/>
  <c r="H6" i="2"/>
  <c r="I6" i="2"/>
  <c r="J6" i="2"/>
  <c r="AD7" i="2"/>
  <c r="P6" i="2"/>
  <c r="Q6" i="2"/>
  <c r="R6" i="2"/>
  <c r="O3" i="2" a="1"/>
  <c r="O3" i="2" s="1"/>
  <c r="P3" i="2" a="1"/>
  <c r="P3" i="2" s="1"/>
  <c r="Y6" i="2"/>
  <c r="Z6" i="2"/>
  <c r="S6" i="2"/>
  <c r="Q3" i="2" a="1"/>
  <c r="Q3" i="2" s="1"/>
  <c r="S3" i="2" a="1"/>
  <c r="S3" i="2" s="1"/>
  <c r="AA6" i="2"/>
  <c r="F7" i="2"/>
  <c r="N7" i="2"/>
  <c r="V7" i="2"/>
  <c r="L3" i="2" a="1"/>
  <c r="L3" i="2" s="1"/>
  <c r="T3" i="2" a="1"/>
  <c r="T3" i="2" s="1"/>
  <c r="AB3" i="2" a="1"/>
  <c r="AB3" i="2" s="1"/>
  <c r="G7" i="2"/>
  <c r="O7" i="2"/>
  <c r="L6" i="2"/>
  <c r="T6" i="2"/>
  <c r="AB6" i="2"/>
  <c r="E3" i="2" a="1"/>
  <c r="E3" i="2" s="1"/>
  <c r="M3" i="2" a="1"/>
  <c r="M3" i="2" s="1"/>
  <c r="U3" i="2" a="1"/>
  <c r="U3" i="2" s="1"/>
  <c r="AC3" i="2" a="1"/>
  <c r="AC3" i="2" s="1"/>
  <c r="E6" i="2"/>
  <c r="M6" i="2"/>
  <c r="U6" i="2"/>
  <c r="AC6" i="2"/>
  <c r="F6" i="2"/>
  <c r="N6" i="2"/>
  <c r="V6" i="2"/>
  <c r="AD6" i="2"/>
  <c r="J7" i="2"/>
  <c r="R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Alessandro Chiodi</author>
  </authors>
  <commentList>
    <comment ref="AB21" authorId="0" shapeId="0" xr:uid="{8C04007B-7273-4C17-825D-5B3BF93C6C73}">
      <text>
        <r>
          <rPr>
            <b/>
            <sz val="9"/>
            <color indexed="81"/>
            <rFont val="Tahoma"/>
            <family val="2"/>
          </rPr>
          <t>For this sector it is a different forumla because we have BGS in the base year</t>
        </r>
      </text>
    </comment>
    <comment ref="R84" authorId="1" shapeId="0" xr:uid="{E661539D-5500-4B0F-B47F-674CB74D3B6A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S84" authorId="1" shapeId="0" xr:uid="{96116E2D-C583-48F2-9BA5-A41BB26ACB37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T84" authorId="1" shapeId="0" xr:uid="{07BA44F6-2A4F-4786-BBD7-84AEA9855BF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R90" authorId="1" shapeId="0" xr:uid="{3DA3046C-B3DA-4FF6-A438-072C32CAC7D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S90" authorId="1" shapeId="0" xr:uid="{96ABEACA-1F49-4EB5-9372-E3FF908E1076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T90" authorId="1" shapeId="0" xr:uid="{84E230CB-5097-4961-9D76-0D2E648E0337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<sst xmlns="http://schemas.openxmlformats.org/spreadsheetml/2006/main" count="2053" uniqueCount="187">
  <si>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</si>
  <si>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</si>
  <si>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</si>
  <si>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</si>
  <si>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</si>
  <si>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</si>
  <si>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</si>
  <si>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</si>
  <si>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</si>
  <si>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</si>
  <si>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</si>
  <si>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</si>
  <si>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</si>
  <si>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</si>
  <si>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</si>
  <si>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</si>
  <si>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</si>
  <si>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</si>
  <si>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</si>
  <si>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</si>
  <si>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</si>
  <si>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</si>
  <si>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</si>
  <si>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</si>
  <si>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</si>
  <si>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</si>
  <si>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</si>
  <si>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</si>
  <si>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</si>
  <si>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</si>
  <si>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</si>
  <si>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</si>
  <si>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</si>
  <si>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</si>
  <si>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</si>
  <si>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</si>
  <si>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</si>
  <si>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</si>
  <si>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</si>
  <si>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</si>
  <si>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</si>
  <si>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</si>
  <si>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</si>
  <si>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</si>
  <si>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</si>
  <si>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</si>
  <si>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</si>
  <si>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</si>
  <si>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</si>
  <si>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</si>
  <si>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</si>
  <si>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</si>
  <si>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</si>
  <si>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</si>
  <si>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</si>
  <si>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</si>
  <si>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</si>
  <si>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</si>
  <si>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</si>
  <si>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</si>
  <si>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LimType</t>
  </si>
  <si>
    <t>Attribute</t>
  </si>
  <si>
    <t>AllRegions</t>
  </si>
  <si>
    <t>Pset_PN</t>
  </si>
  <si>
    <t>Cset_CN</t>
  </si>
  <si>
    <t>INDCOA</t>
  </si>
  <si>
    <t>INDPEA</t>
  </si>
  <si>
    <t>INDKER</t>
  </si>
  <si>
    <t>INDHFO</t>
  </si>
  <si>
    <t>INDLPG</t>
  </si>
  <si>
    <t>INDDST</t>
  </si>
  <si>
    <t>INDCOK</t>
  </si>
  <si>
    <t>INDGAS</t>
  </si>
  <si>
    <t>Industry Mitigation Options - fuel substitution</t>
  </si>
  <si>
    <t>Other_Indexes</t>
  </si>
  <si>
    <t>PRC_PCG</t>
  </si>
  <si>
    <t>IN</t>
  </si>
  <si>
    <t>I-DMD-NEM-E0</t>
  </si>
  <si>
    <t>INDELC</t>
  </si>
  <si>
    <t>I-DMD-FAB-E0</t>
  </si>
  <si>
    <t>INDBGS</t>
  </si>
  <si>
    <t>INDBIO</t>
  </si>
  <si>
    <t>I-DMD-TAP-E0</t>
  </si>
  <si>
    <t>I-DMD-WAP-E0</t>
  </si>
  <si>
    <t>I-DMD-PX4-E0</t>
  </si>
  <si>
    <t>I-DMD-CAF-E0</t>
  </si>
  <si>
    <t>I-DMD-RAP-E0</t>
  </si>
  <si>
    <t>INDRWS</t>
  </si>
  <si>
    <t>INDNWS</t>
  </si>
  <si>
    <t>I-DMD-MAP-E0</t>
  </si>
  <si>
    <t>I-DMD-MAE-E0</t>
  </si>
  <si>
    <t>I-DMD-EOE-E0</t>
  </si>
  <si>
    <t>I-DMD-TEM-E0</t>
  </si>
  <si>
    <t>I-DMD-OMA-E0</t>
  </si>
  <si>
    <t>I-DMD-CON-E0</t>
  </si>
  <si>
    <t>*Non-Energy Mining demand process</t>
  </si>
  <si>
    <t>*Food and beverages demand process</t>
  </si>
  <si>
    <t>*Textiles and textile products demand process</t>
  </si>
  <si>
    <t>*Wood and wood products demand process</t>
  </si>
  <si>
    <t>*Pulp, paper, publishing and printing demand process</t>
  </si>
  <si>
    <t>*Chemicals and man-made fibres demand process</t>
  </si>
  <si>
    <t>*Rubber and plastic products demand process</t>
  </si>
  <si>
    <t>*Other non-metallic mineral products demand process</t>
  </si>
  <si>
    <t>*Basic metals and fabricated metal products demand process</t>
  </si>
  <si>
    <t>*Machinery and equipment n.e.c. demand process</t>
  </si>
  <si>
    <t>*Electrical and optical equipment demand process</t>
  </si>
  <si>
    <t>*Transport equipment manufacture demand process</t>
  </si>
  <si>
    <t>*Other manufacturing demand process</t>
  </si>
  <si>
    <t>*Construction demand process</t>
  </si>
  <si>
    <t>INDBKE</t>
  </si>
  <si>
    <t>INDBDL</t>
  </si>
  <si>
    <t>INEM</t>
  </si>
  <si>
    <t>IFAB</t>
  </si>
  <si>
    <t>ITAP</t>
  </si>
  <si>
    <t>IWAP</t>
  </si>
  <si>
    <t>IPX4</t>
  </si>
  <si>
    <t>ICAF</t>
  </si>
  <si>
    <t>IRAP</t>
  </si>
  <si>
    <t>IONM</t>
  </si>
  <si>
    <t>IMAP</t>
  </si>
  <si>
    <t>IMAE</t>
  </si>
  <si>
    <t>IEOE</t>
  </si>
  <si>
    <t>ITEM</t>
  </si>
  <si>
    <t>IOMA</t>
  </si>
  <si>
    <t>ICON</t>
  </si>
  <si>
    <t>UC_N</t>
  </si>
  <si>
    <t>PSET_PN</t>
  </si>
  <si>
    <t>UC_RHSRTS~0</t>
  </si>
  <si>
    <t>UC_Desc</t>
  </si>
  <si>
    <t>*</t>
  </si>
  <si>
    <t>Share-I</t>
  </si>
  <si>
    <t>UP</t>
  </si>
  <si>
    <t>NRGI</t>
  </si>
  <si>
    <t>User Input Data</t>
  </si>
  <si>
    <t>Biofuels max substitutions</t>
  </si>
  <si>
    <t>~UC_T: UC_FLO</t>
  </si>
  <si>
    <t>IND*</t>
  </si>
  <si>
    <t>Top_Check</t>
  </si>
  <si>
    <t>I</t>
  </si>
  <si>
    <t>IND*,-INDDST,-INDBDL</t>
  </si>
  <si>
    <t>IND*,-INDKER,-INDBKE</t>
  </si>
  <si>
    <t>IND*,-INDGAS,-INDBGS</t>
  </si>
  <si>
    <t>INDH2G</t>
  </si>
  <si>
    <t>IND*,-INDCOA,-INDCOK,-INDBIO,-INDH2G</t>
  </si>
  <si>
    <t>I-DMD-ONM-*</t>
  </si>
  <si>
    <t>Base year data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</si>
  <si>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</si>
  <si>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</si>
  <si>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</si>
  <si>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</si>
  <si>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</si>
  <si>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</si>
  <si>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</si>
  <si>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</si>
  <si>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</si>
  <si>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</si>
  <si>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</si>
  <si>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</si>
  <si>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</si>
  <si>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Industry sector (IND)</t>
  </si>
  <si>
    <t>Specify fuel switching shares</t>
  </si>
  <si>
    <t>Maurizio Gargiulo (E4SMA, maurizio.gargiulo@e4sma.com)</t>
  </si>
  <si>
    <t>Hannah Daly (UCC, h.daly@ucc.ie)</t>
  </si>
  <si>
    <t>Olexandr Balyk (UCC, olexandr.balyk@ucc.ie)</t>
  </si>
  <si>
    <t>*2021</t>
  </si>
  <si>
    <t>Year</t>
  </si>
  <si>
    <t>Pset_CI</t>
  </si>
  <si>
    <t>Pset_CO</t>
  </si>
  <si>
    <t>BASE</t>
  </si>
  <si>
    <t>I-DMD*0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</si>
  <si>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</si>
  <si>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</si>
  <si>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</si>
  <si>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</si>
  <si>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</si>
  <si>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</si>
  <si>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</si>
  <si>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</si>
  <si>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</si>
  <si>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</si>
  <si>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</si>
  <si>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ANNUAL</t>
  </si>
  <si>
    <t>-</t>
  </si>
  <si>
    <t>I-DMD-ONM-E0</t>
  </si>
  <si>
    <t>UC_RHSRTS~2022</t>
  </si>
  <si>
    <t>DEACT_TFM_Fill-R: w=Input_shares; Hcol=Region</t>
  </si>
  <si>
    <t>Bakytzhan Suleimenov (UCC, bsuleimenov@ucc.ie)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</si>
</sst>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0.0%"/>
    <numFmt numFmtId="166" formatCode="0.000"/>
    <numFmt numFmtId="167" formatCode="0.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FFFFFF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/>
    <xf numFmtId="0" fontId="21" fillId="0" borderId="0"/>
    <xf numFmtId="0" fontId="2" fillId="0" borderId="0"/>
    <xf numFmtId="0" fontId="11" fillId="0" borderId="0" applyNumberFormat="0" applyFill="0" applyBorder="0" applyAlignment="0" applyProtection="0"/>
  </cellStyleXfs>
  <cellXfs count="6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0" fillId="4" borderId="6" xfId="0" applyFont="1" applyFill="1" applyBorder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5" fillId="5" borderId="0" xfId="0" applyNumberFormat="1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5" borderId="0" xfId="0" applyNumberFormat="1" applyFill="1" applyAlignment="1">
      <alignment horizontal="left" vertical="center"/>
    </xf>
    <xf numFmtId="9" fontId="0" fillId="5" borderId="0" xfId="0" applyNumberFormat="1" applyFill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6" fontId="0" fillId="6" borderId="0" xfId="0" applyNumberFormat="1" applyFill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5" fillId="0" borderId="0" xfId="1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 vertical="center"/>
    </xf>
    <xf numFmtId="166" fontId="0" fillId="7" borderId="0" xfId="0" applyNumberFormat="1" applyFill="1" applyAlignment="1">
      <alignment horizontal="left" vertical="center"/>
    </xf>
    <xf numFmtId="9" fontId="0" fillId="6" borderId="0" xfId="0" applyNumberFormat="1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166" fontId="0" fillId="6" borderId="1" xfId="0" applyNumberFormat="1" applyFill="1" applyBorder="1" applyAlignment="1">
      <alignment horizontal="left" vertical="center"/>
    </xf>
    <xf numFmtId="166" fontId="0" fillId="7" borderId="1" xfId="0" applyNumberFormat="1" applyFill="1" applyBorder="1" applyAlignment="1">
      <alignment horizontal="left" vertical="center"/>
    </xf>
    <xf numFmtId="166" fontId="5" fillId="5" borderId="0" xfId="0" applyNumberFormat="1" applyFont="1" applyFill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5" fontId="0" fillId="0" borderId="0" xfId="1" applyNumberFormat="1" applyFont="1" applyAlignment="1">
      <alignment horizontal="left" vertical="center"/>
    </xf>
    <xf numFmtId="165" fontId="7" fillId="0" borderId="0" xfId="1" applyNumberFormat="1" applyFont="1" applyAlignment="1">
      <alignment horizontal="left" vertical="center"/>
    </xf>
    <xf numFmtId="164" fontId="0" fillId="5" borderId="7" xfId="0" applyNumberFormat="1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9" fontId="0" fillId="5" borderId="7" xfId="0" applyNumberFormat="1" applyFill="1" applyBorder="1" applyAlignment="1">
      <alignment horizontal="left" vertical="center"/>
    </xf>
    <xf numFmtId="165" fontId="0" fillId="0" borderId="0" xfId="1" applyNumberFormat="1" applyFont="1" applyBorder="1" applyAlignment="1">
      <alignment horizontal="left" vertical="center"/>
    </xf>
    <xf numFmtId="164" fontId="5" fillId="5" borderId="7" xfId="0" applyNumberFormat="1" applyFont="1" applyFill="1" applyBorder="1" applyAlignment="1">
      <alignment horizontal="left" vertical="center"/>
    </xf>
    <xf numFmtId="0" fontId="2" fillId="7" borderId="0" xfId="3" applyFont="1" applyFill="1" applyAlignment="1">
      <alignment vertical="center"/>
    </xf>
    <xf numFmtId="0" fontId="2" fillId="5" borderId="0" xfId="3" applyFont="1" applyFill="1" applyAlignment="1">
      <alignment vertical="center"/>
    </xf>
    <xf numFmtId="0" fontId="13" fillId="5" borderId="0" xfId="3" applyFont="1" applyFill="1" applyAlignment="1">
      <alignment vertical="center"/>
    </xf>
    <xf numFmtId="0" fontId="11" fillId="5" borderId="0" xfId="3" applyFont="1" applyFill="1" applyAlignment="1">
      <alignment vertical="center"/>
    </xf>
    <xf numFmtId="0" fontId="2" fillId="8" borderId="0" xfId="3" applyFont="1" applyFill="1" applyAlignment="1">
      <alignment vertical="center"/>
    </xf>
    <xf numFmtId="0" fontId="14" fillId="5" borderId="0" xfId="3" applyFont="1" applyFill="1" applyAlignment="1">
      <alignment vertical="center"/>
    </xf>
    <xf numFmtId="0" fontId="15" fillId="5" borderId="0" xfId="3" applyFont="1" applyFill="1" applyAlignment="1">
      <alignment vertical="center"/>
    </xf>
    <xf numFmtId="0" fontId="16" fillId="7" borderId="0" xfId="3" applyFont="1" applyFill="1" applyAlignment="1">
      <alignment vertical="center"/>
    </xf>
    <xf numFmtId="0" fontId="5" fillId="5" borderId="0" xfId="3" applyFont="1" applyFill="1" applyAlignment="1">
      <alignment vertical="center"/>
    </xf>
    <xf numFmtId="0" fontId="17" fillId="5" borderId="0" xfId="3" applyFont="1" applyFill="1" applyAlignment="1">
      <alignment vertical="center"/>
    </xf>
    <xf numFmtId="0" fontId="5" fillId="7" borderId="0" xfId="3" applyFont="1" applyFill="1" applyAlignment="1">
      <alignment vertical="center"/>
    </xf>
    <xf numFmtId="167" fontId="5" fillId="7" borderId="0" xfId="3" applyNumberFormat="1" applyFont="1" applyFill="1" applyAlignment="1">
      <alignment horizontal="left" vertical="center"/>
    </xf>
    <xf numFmtId="0" fontId="18" fillId="5" borderId="0" xfId="3" applyFont="1" applyFill="1" applyAlignment="1">
      <alignment vertical="center"/>
    </xf>
    <xf numFmtId="0" fontId="19" fillId="7" borderId="0" xfId="3" applyFont="1" applyFill="1" applyAlignment="1">
      <alignment vertical="center"/>
    </xf>
    <xf numFmtId="0" fontId="11" fillId="7" borderId="0" xfId="2" applyFill="1" applyAlignment="1">
      <alignment vertical="center"/>
    </xf>
    <xf numFmtId="0" fontId="3" fillId="0" borderId="0" xfId="4" applyFont="1" applyAlignment="1">
      <alignment horizontal="left" vertical="center"/>
    </xf>
    <xf numFmtId="0" fontId="21" fillId="0" borderId="0" xfId="4" applyAlignment="1">
      <alignment horizontal="left"/>
    </xf>
    <xf numFmtId="0" fontId="20" fillId="9" borderId="9" xfId="4" applyFont="1" applyFill="1" applyBorder="1" applyAlignment="1">
      <alignment horizontal="left" vertical="center" wrapText="1"/>
    </xf>
    <xf numFmtId="0" fontId="21" fillId="10" borderId="0" xfId="4" applyFill="1" applyAlignment="1">
      <alignment horizontal="left"/>
    </xf>
    <xf numFmtId="0" fontId="5" fillId="10" borderId="0" xfId="4" applyFont="1" applyFill="1" applyAlignment="1">
      <alignment horizontal="left" vertical="center"/>
    </xf>
    <xf numFmtId="0" fontId="5" fillId="10" borderId="0" xfId="4" applyFont="1" applyFill="1" applyAlignment="1">
      <alignment horizontal="left"/>
    </xf>
    <xf numFmtId="0" fontId="5" fillId="7" borderId="0" xfId="3" applyFont="1" applyFill="1" applyAlignment="1">
      <alignment vertical="center"/>
    </xf>
    <xf numFmtId="0" fontId="13" fillId="7" borderId="0" xfId="3" applyFont="1" applyFill="1" applyAlignment="1">
      <alignment horizontal="center" vertical="center"/>
    </xf>
    <xf numFmtId="0" fontId="11" fillId="7" borderId="0" xfId="2" applyFill="1" applyAlignment="1">
      <alignment vertical="center"/>
    </xf>
    <xf numFmtId="0" fontId="3" fillId="11" borderId="0" xfId="4" applyFont="1" applyFill="1" applyAlignment="1">
      <alignment horizontal="left" vertical="center"/>
    </xf>
  </cellXfs>
  <cellStyles count="7">
    <cellStyle name="Hyperlink" xfId="2" builtinId="8"/>
    <cellStyle name="Hyperlink 2" xfId="6" xr:uid="{D91A0AF1-0098-4F5F-8DE1-C689F0DFDE14}"/>
    <cellStyle name="Normal" xfId="0" builtinId="0"/>
    <cellStyle name="Normal 2" xfId="3" xr:uid="{3434863D-C3B1-4840-9C7B-90AB321073B6}"/>
    <cellStyle name="Normal 3" xfId="5" xr:uid="{0BB49E32-0957-40EE-B859-1E3228F67F27}"/>
    <cellStyle name="Normal 4" xfId="4" xr:uid="{3842C8A2-196A-45BA-99D2-3FEE6008B449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53EE-FD1D-4345-ACFD-B216C926BFB6}">
  <sheetPr codeName="Sheet3"/>
  <dimension ref="A1:Z99"/>
  <sheetViews>
    <sheetView showGridLines="0" topLeftCell="A7" zoomScaleNormal="100" workbookViewId="0">
      <selection activeCell="D27" sqref="D27"/>
    </sheetView>
  </sheetViews>
  <sheetFormatPr defaultColWidth="8.81640625" defaultRowHeight="14.5" x14ac:dyDescent="0.35"/>
  <cols>
    <col min="1" max="4" width="21.7265625" customWidth="1"/>
    <col min="5" max="6" width="14.1796875" customWidth="1"/>
    <col min="7" max="7" width="12.1796875" customWidth="1"/>
    <col min="8" max="10" width="8.1796875" customWidth="1"/>
    <col min="11" max="11" width="9.7265625" customWidth="1"/>
    <col min="12" max="12" width="8.1796875" customWidth="1"/>
    <col min="13" max="13" width="10" customWidth="1"/>
    <col min="14" max="14" width="11.453125" customWidth="1"/>
    <col min="15" max="15" width="13.453125" customWidth="1"/>
  </cols>
  <sheetData>
    <row r="1" spans="1:26" x14ac:dyDescent="0.35">
      <c r="A1" s="42"/>
      <c r="B1" s="42"/>
      <c r="C1" s="42"/>
      <c r="D1" s="42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x14ac:dyDescent="0.35">
      <c r="A2" s="42"/>
      <c r="B2" s="42"/>
      <c r="C2" s="42"/>
      <c r="D2" s="42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x14ac:dyDescent="0.35">
      <c r="A3" s="42"/>
      <c r="B3" s="42"/>
      <c r="C3" s="42"/>
      <c r="D3" s="42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x14ac:dyDescent="0.35">
      <c r="A4" s="42"/>
      <c r="B4" s="42"/>
      <c r="C4" s="42"/>
      <c r="D4" s="42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x14ac:dyDescent="0.35">
      <c r="A5" s="42"/>
      <c r="B5" s="42"/>
      <c r="C5" s="42"/>
      <c r="D5" s="42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x14ac:dyDescent="0.35">
      <c r="A6" s="42"/>
      <c r="B6" s="42"/>
      <c r="C6" s="42"/>
      <c r="D6" s="42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x14ac:dyDescent="0.35">
      <c r="A7" s="42"/>
      <c r="B7" s="42"/>
      <c r="C7" s="42"/>
      <c r="D7" s="42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x14ac:dyDescent="0.35">
      <c r="A8" s="42"/>
      <c r="B8" s="42"/>
      <c r="C8" s="42"/>
      <c r="D8" s="42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x14ac:dyDescent="0.35">
      <c r="A9" s="42"/>
      <c r="B9" s="42"/>
      <c r="C9" s="42"/>
      <c r="D9" s="42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x14ac:dyDescent="0.35">
      <c r="A10" s="42"/>
      <c r="B10" s="42"/>
      <c r="C10" s="42"/>
      <c r="D10" s="42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x14ac:dyDescent="0.35">
      <c r="A11" s="42"/>
      <c r="B11" s="42"/>
      <c r="C11" s="42"/>
      <c r="D11" s="42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x14ac:dyDescent="0.35">
      <c r="A12" s="42"/>
      <c r="B12" s="42"/>
      <c r="C12" s="42"/>
      <c r="D12" s="42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x14ac:dyDescent="0.35">
      <c r="A13" s="42"/>
      <c r="B13" s="42"/>
      <c r="C13" s="42"/>
      <c r="D13" s="42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x14ac:dyDescent="0.35">
      <c r="A14" s="42"/>
      <c r="B14" s="42"/>
      <c r="C14" s="42"/>
      <c r="D14" s="42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x14ac:dyDescent="0.35">
      <c r="A15" s="42"/>
      <c r="B15" s="42"/>
      <c r="C15" s="42"/>
      <c r="D15" s="42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02.75" customHeight="1" x14ac:dyDescent="0.35">
      <c r="A16" s="64" t="s">
        <v>146</v>
      </c>
      <c r="B16" s="64"/>
      <c r="C16" s="64"/>
      <c r="D16" s="64"/>
      <c r="E16" s="44"/>
      <c r="F16" s="44"/>
      <c r="G16" s="45"/>
      <c r="H16" s="45"/>
      <c r="I16" s="45"/>
      <c r="J16" s="45"/>
      <c r="K16" s="45"/>
      <c r="L16" s="45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7.25" customHeight="1" x14ac:dyDescent="0.35">
      <c r="A17" s="46"/>
      <c r="B17" s="46"/>
      <c r="C17" s="46"/>
      <c r="D17" s="46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7.25" customHeight="1" x14ac:dyDescent="0.35">
      <c r="A18" s="46"/>
      <c r="B18" s="46"/>
      <c r="C18" s="46"/>
      <c r="D18" s="46"/>
      <c r="E18" s="47"/>
      <c r="F18" s="47"/>
      <c r="G18" s="48"/>
      <c r="H18" s="48"/>
      <c r="I18" s="48"/>
      <c r="J18" s="48"/>
      <c r="K18" s="48"/>
      <c r="L18" s="48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7.25" customHeight="1" x14ac:dyDescent="0.35">
      <c r="A19" s="49" t="s">
        <v>147</v>
      </c>
      <c r="B19" s="63" t="s">
        <v>158</v>
      </c>
      <c r="C19" s="63"/>
      <c r="D19" s="63"/>
      <c r="E19" s="50"/>
      <c r="F19" s="50"/>
      <c r="G19" s="51"/>
      <c r="H19" s="51"/>
      <c r="I19" s="51"/>
      <c r="J19" s="51"/>
      <c r="K19" s="51"/>
      <c r="L19" s="51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7.25" customHeight="1" x14ac:dyDescent="0.35">
      <c r="A20" s="49" t="s">
        <v>148</v>
      </c>
      <c r="B20" s="63" t="s">
        <v>159</v>
      </c>
      <c r="C20" s="63"/>
      <c r="D20" s="63"/>
      <c r="E20" s="50"/>
      <c r="F20" s="50"/>
      <c r="G20" s="51"/>
      <c r="H20" s="51"/>
      <c r="I20" s="51"/>
      <c r="J20" s="51"/>
      <c r="K20" s="51"/>
      <c r="L20" s="51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7.25" customHeight="1" x14ac:dyDescent="0.35">
      <c r="A21" s="49" t="s">
        <v>149</v>
      </c>
      <c r="B21" s="52" t="s">
        <v>160</v>
      </c>
      <c r="C21" s="52"/>
      <c r="D21" s="52"/>
      <c r="E21" s="50"/>
      <c r="F21" s="50"/>
      <c r="G21" s="51"/>
      <c r="H21" s="51"/>
      <c r="I21" s="51"/>
      <c r="J21" s="51"/>
      <c r="K21" s="51"/>
      <c r="L21" s="51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7.25" customHeight="1" x14ac:dyDescent="0.35">
      <c r="A22" s="49"/>
      <c r="B22" s="52"/>
      <c r="C22" s="52"/>
      <c r="D22" s="52"/>
      <c r="E22" s="50"/>
      <c r="F22" s="50"/>
      <c r="G22" s="51"/>
      <c r="H22" s="51"/>
      <c r="I22" s="51"/>
      <c r="J22" s="51"/>
      <c r="K22" s="51"/>
      <c r="L22" s="51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7.25" customHeight="1" x14ac:dyDescent="0.35">
      <c r="A23" s="49" t="s">
        <v>150</v>
      </c>
      <c r="B23" s="63" t="s">
        <v>161</v>
      </c>
      <c r="C23" s="63"/>
      <c r="D23" s="6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7.25" customHeight="1" x14ac:dyDescent="0.35">
      <c r="A24" s="49"/>
      <c r="B24" s="63" t="s">
        <v>162</v>
      </c>
      <c r="C24" s="63"/>
      <c r="D24" s="6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7.25" customHeight="1" x14ac:dyDescent="0.35">
      <c r="A25" s="49"/>
      <c r="B25" s="63" t="s">
        <v>163</v>
      </c>
      <c r="C25" s="63"/>
      <c r="D25" s="6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7.25" customHeight="1" x14ac:dyDescent="0.35">
      <c r="A26" s="49" t="s">
        <v>151</v>
      </c>
      <c r="B26" s="63" t="s">
        <v>163</v>
      </c>
      <c r="C26" s="63"/>
      <c r="D26" s="6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7.25" customHeight="1" x14ac:dyDescent="0.35">
      <c r="A27" s="49"/>
      <c r="B27" s="52" t="s">
        <v>186</v>
      </c>
      <c r="C27" s="52"/>
      <c r="D27" s="52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7.25" customHeight="1" x14ac:dyDescent="0.35">
      <c r="A28" s="49"/>
      <c r="B28" s="52"/>
      <c r="C28" s="52"/>
      <c r="D28" s="52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7.25" customHeight="1" x14ac:dyDescent="0.35">
      <c r="A29" s="49" t="s">
        <v>152</v>
      </c>
      <c r="B29" s="53">
        <v>1</v>
      </c>
      <c r="C29" s="52"/>
      <c r="D29" s="52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7.25" customHeight="1" x14ac:dyDescent="0.35">
      <c r="A30" s="49" t="s">
        <v>153</v>
      </c>
      <c r="B30" s="65" t="s">
        <v>154</v>
      </c>
      <c r="C30" s="63"/>
      <c r="D30" s="63"/>
      <c r="E30" s="54"/>
      <c r="F30" s="54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7.25" customHeight="1" x14ac:dyDescent="0.35">
      <c r="A31" s="49" t="s">
        <v>155</v>
      </c>
      <c r="B31" s="63" t="s">
        <v>156</v>
      </c>
      <c r="C31" s="63"/>
      <c r="D31" s="63"/>
      <c r="E31" s="54"/>
      <c r="F31" s="54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7.25" customHeight="1" x14ac:dyDescent="0.35">
      <c r="A32" s="55"/>
      <c r="B32" s="56" t="s">
        <v>157</v>
      </c>
      <c r="C32" s="55"/>
      <c r="D32" s="55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x14ac:dyDescent="0.35">
      <c r="A33" s="42"/>
      <c r="B33" s="42"/>
      <c r="C33" s="42"/>
      <c r="D33" s="42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x14ac:dyDescent="0.35">
      <c r="A34" s="42"/>
      <c r="B34" s="42"/>
      <c r="C34" s="42"/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x14ac:dyDescent="0.35">
      <c r="A35" s="42"/>
      <c r="B35" s="42"/>
      <c r="C35" s="42"/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x14ac:dyDescent="0.35">
      <c r="A36" s="42"/>
      <c r="B36" s="42"/>
      <c r="C36" s="42"/>
      <c r="D36" s="42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x14ac:dyDescent="0.35">
      <c r="A37" s="42"/>
      <c r="B37" s="42"/>
      <c r="C37" s="42"/>
      <c r="D37" s="42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x14ac:dyDescent="0.35">
      <c r="A38" s="42"/>
      <c r="B38" s="42"/>
      <c r="C38" s="42"/>
      <c r="D38" s="42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x14ac:dyDescent="0.35">
      <c r="A39" s="42"/>
      <c r="B39" s="42"/>
      <c r="C39" s="42"/>
      <c r="D39" s="42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x14ac:dyDescent="0.35">
      <c r="A40" s="42"/>
      <c r="B40" s="42"/>
      <c r="C40" s="42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x14ac:dyDescent="0.35">
      <c r="A41" s="42"/>
      <c r="B41" s="42"/>
      <c r="C41" s="42"/>
      <c r="D41" s="42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x14ac:dyDescent="0.35">
      <c r="A42" s="42"/>
      <c r="B42" s="42"/>
      <c r="C42" s="42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x14ac:dyDescent="0.3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x14ac:dyDescent="0.3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x14ac:dyDescent="0.3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x14ac:dyDescent="0.3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x14ac:dyDescent="0.3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x14ac:dyDescent="0.3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x14ac:dyDescent="0.3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x14ac:dyDescent="0.3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x14ac:dyDescent="0.3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x14ac:dyDescent="0.3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x14ac:dyDescent="0.3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x14ac:dyDescent="0.3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x14ac:dyDescent="0.3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x14ac:dyDescent="0.3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x14ac:dyDescent="0.3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x14ac:dyDescent="0.3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x14ac:dyDescent="0.3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x14ac:dyDescent="0.3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x14ac:dyDescent="0.3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x14ac:dyDescent="0.3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x14ac:dyDescent="0.3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x14ac:dyDescent="0.3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x14ac:dyDescent="0.3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x14ac:dyDescent="0.3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x14ac:dyDescent="0.3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x14ac:dyDescent="0.3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x14ac:dyDescent="0.3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x14ac:dyDescent="0.3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x14ac:dyDescent="0.3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x14ac:dyDescent="0.3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x14ac:dyDescent="0.3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x14ac:dyDescent="0.3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x14ac:dyDescent="0.3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x14ac:dyDescent="0.3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x14ac:dyDescent="0.3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x14ac:dyDescent="0.3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x14ac:dyDescent="0.3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x14ac:dyDescent="0.3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x14ac:dyDescent="0.3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x14ac:dyDescent="0.3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x14ac:dyDescent="0.3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x14ac:dyDescent="0.3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x14ac:dyDescent="0.3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x14ac:dyDescent="0.3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x14ac:dyDescent="0.3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x14ac:dyDescent="0.3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x14ac:dyDescent="0.3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x14ac:dyDescent="0.3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x14ac:dyDescent="0.3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x14ac:dyDescent="0.3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x14ac:dyDescent="0.3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x14ac:dyDescent="0.3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x14ac:dyDescent="0.3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x14ac:dyDescent="0.3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x14ac:dyDescent="0.3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x14ac:dyDescent="0.3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5:D25"/>
  </mergeCells>
  <hyperlinks>
    <hyperlink ref="B30" r:id="rId1" xr:uid="{733B5E08-EA4C-4B37-ADDE-44EAF07A65F8}"/>
    <hyperlink ref="B32" r:id="rId2" xr:uid="{4B89A213-CBD0-40BA-944F-CE535CE4785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87A4-9E81-427E-BD65-A8DAD91B54FE}">
  <sheetPr codeName="Sheet1"/>
  <dimension ref="A3:AD37"/>
  <sheetViews>
    <sheetView zoomScaleNormal="100" workbookViewId="0">
      <selection activeCell="E14" sqref="E14"/>
    </sheetView>
  </sheetViews>
  <sheetFormatPr defaultColWidth="9.1796875" defaultRowHeight="14.5" x14ac:dyDescent="0.35"/>
  <cols>
    <col min="1" max="1" width="12.1796875" customWidth="1"/>
    <col min="2" max="2" width="11.7265625" customWidth="1"/>
    <col min="3" max="3" width="3.1796875" bestFit="1" customWidth="1"/>
    <col min="4" max="4" width="8.54296875" bestFit="1" customWidth="1"/>
    <col min="5" max="5" width="6.453125" bestFit="1" customWidth="1"/>
    <col min="6" max="6" width="4.81640625" bestFit="1" customWidth="1"/>
    <col min="7" max="7" width="5.7265625" bestFit="1" customWidth="1"/>
    <col min="8" max="8" width="5.81640625" bestFit="1" customWidth="1"/>
    <col min="9" max="9" width="5.453125" bestFit="1" customWidth="1"/>
    <col min="10" max="11" width="5.7265625" bestFit="1" customWidth="1"/>
    <col min="12" max="12" width="6.54296875" bestFit="1" customWidth="1"/>
    <col min="13" max="13" width="6.1796875" bestFit="1" customWidth="1"/>
    <col min="14" max="14" width="6.7265625" bestFit="1" customWidth="1"/>
    <col min="15" max="15" width="6.54296875" bestFit="1" customWidth="1"/>
    <col min="16" max="16" width="7.26953125" bestFit="1" customWidth="1"/>
    <col min="17" max="17" width="5.7265625" bestFit="1" customWidth="1"/>
    <col min="18" max="18" width="6.1796875" bestFit="1" customWidth="1"/>
    <col min="19" max="19" width="5.7265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4.81640625" bestFit="1" customWidth="1"/>
    <col min="24" max="24" width="7.54296875" customWidth="1"/>
    <col min="25" max="25" width="6.7265625" bestFit="1" customWidth="1"/>
    <col min="26" max="26" width="6.1796875" bestFit="1" customWidth="1"/>
    <col min="27" max="28" width="6" bestFit="1" customWidth="1"/>
    <col min="29" max="29" width="5.7265625" bestFit="1" customWidth="1"/>
    <col min="30" max="30" width="6.7265625" bestFit="1" customWidth="1"/>
  </cols>
  <sheetData>
    <row r="3" spans="1:30" x14ac:dyDescent="0.3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35">
      <c r="A4">
        <v>1</v>
      </c>
    </row>
    <row r="5" spans="1:30" x14ac:dyDescent="0.35">
      <c r="A5" t="s">
        <v>0</v>
      </c>
      <c r="C5" s="2" t="s">
        <v>1</v>
      </c>
      <c r="D5" s="2" t="s">
        <v>2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35">
      <c r="A6" t="s">
        <v>3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35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 x14ac:dyDescent="0.4">
      <c r="A10" s="3" t="s">
        <v>5</v>
      </c>
      <c r="B10" s="3" t="s">
        <v>6</v>
      </c>
    </row>
    <row r="11" spans="1:30" x14ac:dyDescent="0.35">
      <c r="A11" s="4" t="s">
        <v>7</v>
      </c>
      <c r="B11" s="4" t="s">
        <v>8</v>
      </c>
    </row>
    <row r="12" spans="1:30" x14ac:dyDescent="0.35">
      <c r="A12" s="5" t="s">
        <v>9</v>
      </c>
      <c r="B12" s="5" t="s">
        <v>10</v>
      </c>
    </row>
    <row r="13" spans="1:30" x14ac:dyDescent="0.35">
      <c r="A13" s="5" t="s">
        <v>11</v>
      </c>
      <c r="B13" s="5" t="s">
        <v>12</v>
      </c>
    </row>
    <row r="14" spans="1:30" x14ac:dyDescent="0.35">
      <c r="A14" s="5" t="s">
        <v>13</v>
      </c>
      <c r="B14" s="5" t="s">
        <v>14</v>
      </c>
    </row>
    <row r="15" spans="1:30" x14ac:dyDescent="0.35">
      <c r="A15" s="5" t="s">
        <v>15</v>
      </c>
      <c r="B15" s="5" t="s">
        <v>16</v>
      </c>
    </row>
    <row r="16" spans="1:30" x14ac:dyDescent="0.35">
      <c r="A16" s="5" t="s">
        <v>17</v>
      </c>
      <c r="B16" s="5" t="s">
        <v>18</v>
      </c>
    </row>
    <row r="17" spans="1:2" x14ac:dyDescent="0.35">
      <c r="A17" s="5" t="s">
        <v>19</v>
      </c>
      <c r="B17" s="5" t="s">
        <v>20</v>
      </c>
    </row>
    <row r="18" spans="1:2" x14ac:dyDescent="0.35">
      <c r="A18" s="5" t="s">
        <v>21</v>
      </c>
      <c r="B18" s="5" t="s">
        <v>22</v>
      </c>
    </row>
    <row r="19" spans="1:2" x14ac:dyDescent="0.35">
      <c r="A19" s="5" t="s">
        <v>23</v>
      </c>
      <c r="B19" s="5" t="s">
        <v>24</v>
      </c>
    </row>
    <row r="20" spans="1:2" x14ac:dyDescent="0.35">
      <c r="A20" s="5" t="s">
        <v>25</v>
      </c>
      <c r="B20" s="5" t="s">
        <v>26</v>
      </c>
    </row>
    <row r="21" spans="1:2" x14ac:dyDescent="0.35">
      <c r="A21" s="5" t="s">
        <v>27</v>
      </c>
      <c r="B21" s="5" t="s">
        <v>28</v>
      </c>
    </row>
    <row r="22" spans="1:2" x14ac:dyDescent="0.35">
      <c r="A22" s="5" t="s">
        <v>29</v>
      </c>
      <c r="B22" s="5" t="s">
        <v>30</v>
      </c>
    </row>
    <row r="23" spans="1:2" x14ac:dyDescent="0.35">
      <c r="A23" s="5" t="s">
        <v>31</v>
      </c>
      <c r="B23" s="5" t="s">
        <v>32</v>
      </c>
    </row>
    <row r="24" spans="1:2" x14ac:dyDescent="0.35">
      <c r="A24" s="5" t="s">
        <v>33</v>
      </c>
      <c r="B24" s="5" t="s">
        <v>34</v>
      </c>
    </row>
    <row r="25" spans="1:2" x14ac:dyDescent="0.35">
      <c r="A25" s="5" t="s">
        <v>35</v>
      </c>
      <c r="B25" s="5" t="s">
        <v>36</v>
      </c>
    </row>
    <row r="26" spans="1:2" x14ac:dyDescent="0.35">
      <c r="A26" s="5" t="s">
        <v>37</v>
      </c>
      <c r="B26" s="5" t="s">
        <v>38</v>
      </c>
    </row>
    <row r="27" spans="1:2" x14ac:dyDescent="0.35">
      <c r="A27" s="5" t="s">
        <v>39</v>
      </c>
      <c r="B27" s="5" t="s">
        <v>40</v>
      </c>
    </row>
    <row r="28" spans="1:2" x14ac:dyDescent="0.35">
      <c r="A28" s="5" t="s">
        <v>41</v>
      </c>
      <c r="B28" s="5" t="s">
        <v>42</v>
      </c>
    </row>
    <row r="29" spans="1:2" x14ac:dyDescent="0.35">
      <c r="A29" s="5" t="s">
        <v>43</v>
      </c>
      <c r="B29" s="5" t="s">
        <v>44</v>
      </c>
    </row>
    <row r="30" spans="1:2" x14ac:dyDescent="0.35">
      <c r="A30" s="5" t="s">
        <v>45</v>
      </c>
      <c r="B30" s="5" t="s">
        <v>46</v>
      </c>
    </row>
    <row r="31" spans="1:2" x14ac:dyDescent="0.35">
      <c r="A31" s="5" t="s">
        <v>47</v>
      </c>
      <c r="B31" s="5" t="s">
        <v>48</v>
      </c>
    </row>
    <row r="32" spans="1:2" x14ac:dyDescent="0.35">
      <c r="A32" s="5" t="s">
        <v>49</v>
      </c>
      <c r="B32" s="5" t="s">
        <v>50</v>
      </c>
    </row>
    <row r="33" spans="1:2" x14ac:dyDescent="0.35">
      <c r="A33" s="5" t="s">
        <v>51</v>
      </c>
      <c r="B33" s="5" t="s">
        <v>52</v>
      </c>
    </row>
    <row r="34" spans="1:2" x14ac:dyDescent="0.35">
      <c r="A34" s="5" t="s">
        <v>53</v>
      </c>
      <c r="B34" s="5" t="s">
        <v>54</v>
      </c>
    </row>
    <row r="35" spans="1:2" x14ac:dyDescent="0.35">
      <c r="A35" s="5" t="s">
        <v>55</v>
      </c>
      <c r="B35" s="5" t="s">
        <v>56</v>
      </c>
    </row>
    <row r="36" spans="1:2" x14ac:dyDescent="0.35">
      <c r="A36" s="5" t="s">
        <v>57</v>
      </c>
      <c r="B36" s="5" t="s">
        <v>58</v>
      </c>
    </row>
    <row r="37" spans="1:2" x14ac:dyDescent="0.35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AG147"/>
  <sheetViews>
    <sheetView tabSelected="1" zoomScale="90" zoomScaleNormal="90" workbookViewId="0">
      <selection activeCell="AC8" sqref="AC8"/>
    </sheetView>
  </sheetViews>
  <sheetFormatPr defaultColWidth="9.1796875" defaultRowHeight="14.5" x14ac:dyDescent="0.35"/>
  <cols>
    <col min="1" max="1" width="3" style="14" customWidth="1"/>
    <col min="2" max="2" width="19.54296875" style="14" customWidth="1"/>
    <col min="3" max="3" width="52.54296875" style="14" bestFit="1" customWidth="1"/>
    <col min="4" max="4" width="17.453125" style="14" customWidth="1"/>
    <col min="5" max="5" width="9.7265625" style="14" bestFit="1" customWidth="1"/>
    <col min="6" max="6" width="3.81640625" style="14" customWidth="1"/>
    <col min="7" max="7" width="12.26953125" style="14" bestFit="1" customWidth="1"/>
    <col min="8" max="9" width="9.1796875" style="14"/>
    <col min="10" max="10" width="14.54296875" style="14" bestFit="1" customWidth="1"/>
    <col min="11" max="16" width="9.1796875" style="14"/>
    <col min="17" max="17" width="2.26953125" style="14" customWidth="1"/>
    <col min="18" max="20" width="9.1796875" style="14"/>
    <col min="21" max="21" width="2.26953125" style="14" customWidth="1"/>
    <col min="22" max="22" width="47" style="14" customWidth="1"/>
    <col min="23" max="23" width="50" style="14" bestFit="1" customWidth="1"/>
    <col min="24" max="24" width="15.1796875" style="14" customWidth="1"/>
    <col min="25" max="25" width="24" style="14" customWidth="1"/>
    <col min="26" max="26" width="12.7265625" style="14" customWidth="1"/>
    <col min="27" max="27" width="13.453125" style="14" customWidth="1"/>
    <col min="28" max="31" width="9.1796875" style="14"/>
    <col min="32" max="32" width="17.453125" style="14" bestFit="1" customWidth="1"/>
    <col min="33" max="33" width="14.26953125" style="14" bestFit="1" customWidth="1"/>
    <col min="34" max="16384" width="9.1796875" style="14"/>
  </cols>
  <sheetData>
    <row r="1" spans="2:33" ht="21" x14ac:dyDescent="0.35">
      <c r="B1" s="13" t="s">
        <v>73</v>
      </c>
    </row>
    <row r="2" spans="2:33" x14ac:dyDescent="0.35">
      <c r="V2" s="7" t="str">
        <f>"~UC_SETS: R_E:"&amp; _xlfn.TEXTJOIN(",",TRUE,IF(LEFT(Regions!$C$3,1)&lt;&gt;"*",Regions!$C$3,""),IF(LEFT(Regions!$D$3,1)&lt;&gt;"*",Regions!$D$3,""))</f>
        <v>~UC_SETS: R_E:IE,National</v>
      </c>
    </row>
    <row r="3" spans="2:33" x14ac:dyDescent="0.35">
      <c r="M3" s="15" t="s">
        <v>133</v>
      </c>
      <c r="N3" s="15"/>
      <c r="O3" s="15"/>
      <c r="R3" s="15" t="s">
        <v>133</v>
      </c>
      <c r="S3" s="15"/>
      <c r="T3" s="15"/>
    </row>
    <row r="4" spans="2:33" x14ac:dyDescent="0.35">
      <c r="B4" s="7" t="str">
        <f>"~TFM_TOPINS:"&amp;_xlfn.TEXTJOIN(",",TRUE,IF(LEFT(Regions!$C$3,1)&lt;&gt;"*",Regions!$C$3,""),IF(LEFT(Regions!$D$3,1)&lt;&gt;"*",Regions!$D$3,""))</f>
        <v>~TFM_TOPINS:IE,National</v>
      </c>
      <c r="C4" s="11"/>
      <c r="D4" s="11"/>
      <c r="E4" s="11"/>
      <c r="F4" s="11"/>
      <c r="G4" s="7" t="str">
        <f>"~TFM_INS-TS:"&amp;_xlfn.TEXTJOIN(",",TRUE,IF(LEFT(Regions!$C$3,1)&lt;&gt;"*",Regions!$C$3,""),IF(LEFT(Regions!$D$3,1)&lt;&gt;"*",Regions!$D$3,""))</f>
        <v>~TFM_INS-TS:IE,National</v>
      </c>
      <c r="R4" s="16" t="s">
        <v>134</v>
      </c>
      <c r="V4" s="8"/>
      <c r="W4" s="8"/>
      <c r="X4" s="8"/>
      <c r="Y4" s="8"/>
      <c r="AA4" s="7" t="s">
        <v>135</v>
      </c>
      <c r="AB4" s="8"/>
      <c r="AC4" s="8"/>
      <c r="AD4" s="8"/>
      <c r="AE4" s="8"/>
      <c r="AF4" s="8"/>
      <c r="AG4" s="8"/>
    </row>
    <row r="5" spans="2:33" ht="15" thickBot="1" x14ac:dyDescent="0.4">
      <c r="B5" s="9" t="s">
        <v>61</v>
      </c>
      <c r="C5" s="9" t="s">
        <v>62</v>
      </c>
      <c r="D5" s="9" t="s">
        <v>63</v>
      </c>
      <c r="E5" s="9" t="s">
        <v>64</v>
      </c>
      <c r="G5" s="9" t="s">
        <v>61</v>
      </c>
      <c r="H5" s="9" t="s">
        <v>60</v>
      </c>
      <c r="I5" s="9" t="s">
        <v>74</v>
      </c>
      <c r="J5" s="9" t="s">
        <v>63</v>
      </c>
      <c r="K5" s="9" t="s">
        <v>64</v>
      </c>
      <c r="L5" s="9">
        <v>2021</v>
      </c>
      <c r="M5" s="9">
        <v>2022</v>
      </c>
      <c r="N5" s="9">
        <v>2030</v>
      </c>
      <c r="O5" s="9">
        <v>2050</v>
      </c>
      <c r="P5" s="9">
        <v>0</v>
      </c>
      <c r="R5" s="9">
        <v>2022</v>
      </c>
      <c r="S5" s="9">
        <v>2030</v>
      </c>
      <c r="T5" s="9">
        <v>2050</v>
      </c>
      <c r="V5" s="10" t="s">
        <v>125</v>
      </c>
      <c r="W5" s="10" t="s">
        <v>128</v>
      </c>
      <c r="X5" s="10" t="s">
        <v>126</v>
      </c>
      <c r="Y5" s="10" t="s">
        <v>64</v>
      </c>
      <c r="Z5" s="10" t="s">
        <v>137</v>
      </c>
      <c r="AA5" s="10" t="s">
        <v>60</v>
      </c>
      <c r="AB5" s="10" t="s">
        <v>164</v>
      </c>
      <c r="AC5" s="10">
        <v>2022</v>
      </c>
      <c r="AD5" s="10">
        <v>2030</v>
      </c>
      <c r="AE5" s="10">
        <v>2050</v>
      </c>
      <c r="AF5" s="10" t="s">
        <v>184</v>
      </c>
      <c r="AG5" s="10" t="s">
        <v>127</v>
      </c>
    </row>
    <row r="6" spans="2:33" x14ac:dyDescent="0.35">
      <c r="B6" s="17" t="s">
        <v>95</v>
      </c>
      <c r="C6" s="18"/>
      <c r="D6" s="18"/>
      <c r="E6" s="18"/>
      <c r="F6" s="19"/>
      <c r="G6" s="17" t="s">
        <v>95</v>
      </c>
      <c r="H6" s="17"/>
      <c r="I6" s="17"/>
      <c r="J6" s="17" t="s">
        <v>111</v>
      </c>
      <c r="K6" s="17"/>
      <c r="L6" s="17" t="s">
        <v>145</v>
      </c>
      <c r="M6" s="17"/>
      <c r="N6" s="17"/>
      <c r="O6" s="17"/>
      <c r="P6" s="17"/>
      <c r="V6" s="20" t="str">
        <f>G6</f>
        <v>*Non-Energy Mining demand process</v>
      </c>
      <c r="W6" s="18"/>
      <c r="X6" s="18"/>
      <c r="Y6" s="18"/>
      <c r="Z6" s="18"/>
      <c r="AA6" s="18"/>
      <c r="AB6" s="21"/>
      <c r="AC6" s="21"/>
      <c r="AD6" s="21"/>
      <c r="AE6" s="21"/>
      <c r="AF6" s="18"/>
      <c r="AG6" s="18"/>
    </row>
    <row r="7" spans="2:33" x14ac:dyDescent="0.35">
      <c r="B7" s="8" t="s">
        <v>75</v>
      </c>
      <c r="C7" s="8" t="s">
        <v>76</v>
      </c>
      <c r="D7" s="22" t="s">
        <v>77</v>
      </c>
      <c r="E7" s="8" t="s">
        <v>109</v>
      </c>
      <c r="F7" s="19"/>
      <c r="G7" s="14" t="s">
        <v>130</v>
      </c>
      <c r="H7" s="14" t="s">
        <v>131</v>
      </c>
      <c r="I7" s="14" t="s">
        <v>132</v>
      </c>
      <c r="J7" s="22" t="s">
        <v>77</v>
      </c>
      <c r="K7" s="14" t="s">
        <v>67</v>
      </c>
      <c r="L7" s="23">
        <f>+SUMIFS(Input_shares!$L$2:$L$87,Input_shares!$C$2:$C$87,IND_Shares!$J7,Input_shares!$D$2:$D$87,IND_Shares!$K7)</f>
        <v>2.5200000000000001E-3</v>
      </c>
      <c r="M7" s="24">
        <f>L7</f>
        <v>2.5200000000000001E-3</v>
      </c>
      <c r="N7" s="24">
        <f>M7</f>
        <v>2.5200000000000001E-3</v>
      </c>
      <c r="O7" s="24">
        <f>N7</f>
        <v>2.5200000000000001E-3</v>
      </c>
      <c r="P7" s="14">
        <v>5</v>
      </c>
      <c r="V7" s="22" t="str">
        <f>"UC_Mitigation_"&amp;$J$6&amp;"_MaxShare_KER-BKE"</f>
        <v>UC_Mitigation_INEM_MaxShare_KER-BKE</v>
      </c>
      <c r="W7" s="22" t="str">
        <f>"Maximum share of kerosene and Biokerosene in "&amp;$J$6</f>
        <v>Maximum share of kerosene and Biokerosene in INEM</v>
      </c>
      <c r="X7" s="22" t="str">
        <f>J12</f>
        <v>I-DMD-NEM-E0</v>
      </c>
      <c r="Y7" s="22" t="s">
        <v>136</v>
      </c>
      <c r="Z7" s="14" t="s">
        <v>138</v>
      </c>
      <c r="AA7" s="22" t="s">
        <v>131</v>
      </c>
      <c r="AB7" s="25">
        <f>1+AB8</f>
        <v>0.99748000000000003</v>
      </c>
      <c r="AC7" s="25">
        <f>1+AC8</f>
        <v>0.99748000000000003</v>
      </c>
      <c r="AD7" s="25">
        <f>1+AD8</f>
        <v>0.99748000000000003</v>
      </c>
      <c r="AE7" s="25">
        <f>1+AE8</f>
        <v>0.99748000000000003</v>
      </c>
      <c r="AF7" s="8">
        <v>0</v>
      </c>
      <c r="AG7" s="8">
        <v>5</v>
      </c>
    </row>
    <row r="8" spans="2:33" x14ac:dyDescent="0.35">
      <c r="B8" s="8" t="s">
        <v>75</v>
      </c>
      <c r="C8" s="8" t="s">
        <v>76</v>
      </c>
      <c r="D8" s="22" t="s">
        <v>77</v>
      </c>
      <c r="E8" s="8" t="s">
        <v>110</v>
      </c>
      <c r="F8" s="19"/>
      <c r="G8" s="14" t="s">
        <v>130</v>
      </c>
      <c r="H8" s="14" t="s">
        <v>131</v>
      </c>
      <c r="I8" s="14" t="s">
        <v>132</v>
      </c>
      <c r="J8" s="22" t="s">
        <v>77</v>
      </c>
      <c r="K8" s="14" t="s">
        <v>69</v>
      </c>
      <c r="L8" s="23">
        <f>+SUMIFS(Input_shares!$L$2:$L$87,Input_shares!$C$2:$C$87,IND_Shares!$J8,Input_shares!$D$2:$D$87,IND_Shares!$K8)</f>
        <v>2.4000000000000001E-4</v>
      </c>
      <c r="M8" s="15"/>
      <c r="N8" s="15"/>
      <c r="O8" s="15"/>
      <c r="P8" s="14">
        <v>5</v>
      </c>
      <c r="X8" s="22" t="str">
        <f>X7</f>
        <v>I-DMD-NEM-E0</v>
      </c>
      <c r="Y8" s="22" t="s">
        <v>140</v>
      </c>
      <c r="Z8" s="14" t="s">
        <v>138</v>
      </c>
      <c r="AA8" s="22" t="s">
        <v>131</v>
      </c>
      <c r="AB8" s="26">
        <f>-L7</f>
        <v>-2.5200000000000001E-3</v>
      </c>
      <c r="AC8" s="26">
        <f>-M7</f>
        <v>-2.5200000000000001E-3</v>
      </c>
      <c r="AD8" s="26">
        <f>-N7</f>
        <v>-2.5200000000000001E-3</v>
      </c>
      <c r="AE8" s="26">
        <f>-O7</f>
        <v>-2.5200000000000001E-3</v>
      </c>
      <c r="AG8" s="8"/>
    </row>
    <row r="9" spans="2:33" x14ac:dyDescent="0.35">
      <c r="B9" s="12" t="s">
        <v>75</v>
      </c>
      <c r="C9" s="12" t="s">
        <v>76</v>
      </c>
      <c r="D9" s="27" t="s">
        <v>77</v>
      </c>
      <c r="E9" s="12" t="s">
        <v>80</v>
      </c>
      <c r="F9" s="19"/>
      <c r="G9" s="14" t="s">
        <v>130</v>
      </c>
      <c r="H9" s="14" t="s">
        <v>131</v>
      </c>
      <c r="I9" s="14" t="s">
        <v>132</v>
      </c>
      <c r="J9" s="22" t="s">
        <v>77</v>
      </c>
      <c r="K9" s="14" t="s">
        <v>70</v>
      </c>
      <c r="L9" s="23">
        <f>+SUMIFS(Input_shares!$L$2:$L$87,Input_shares!$C$2:$C$87,IND_Shares!$J9,Input_shares!$D$2:$D$87,IND_Shares!$K9)</f>
        <v>0.43919999999999998</v>
      </c>
      <c r="M9" s="24">
        <f t="shared" ref="M9:O10" si="0">L9</f>
        <v>0.43919999999999998</v>
      </c>
      <c r="N9" s="24">
        <f t="shared" si="0"/>
        <v>0.43919999999999998</v>
      </c>
      <c r="O9" s="24">
        <f t="shared" si="0"/>
        <v>0.43919999999999998</v>
      </c>
      <c r="P9" s="14">
        <v>5</v>
      </c>
      <c r="V9" s="22" t="str">
        <f>"UC_Mitigation_"&amp;$J$6&amp;"_MaxShare_DST-BDS"</f>
        <v>UC_Mitigation_INEM_MaxShare_DST-BDS</v>
      </c>
      <c r="W9" s="22" t="str">
        <f>"Maximum share of Diesel and Biodiesel in "&amp;$J$6</f>
        <v>Maximum share of Diesel and Biodiesel in INEM</v>
      </c>
      <c r="X9" s="22" t="str">
        <f t="shared" ref="X9:X12" si="1">X8</f>
        <v>I-DMD-NEM-E0</v>
      </c>
      <c r="Y9" s="22" t="str">
        <f>Y7</f>
        <v>IND*</v>
      </c>
      <c r="Z9" s="14" t="s">
        <v>138</v>
      </c>
      <c r="AA9" s="22" t="str">
        <f>$AA$7</f>
        <v>UP</v>
      </c>
      <c r="AB9" s="25">
        <f>1+AB10</f>
        <v>0.56079999999999997</v>
      </c>
      <c r="AC9" s="25">
        <f>1+AC10</f>
        <v>0.56079999999999997</v>
      </c>
      <c r="AD9" s="25">
        <f>1+AD10</f>
        <v>0.56079999999999997</v>
      </c>
      <c r="AE9" s="25">
        <f>1+AE10</f>
        <v>0.56079999999999997</v>
      </c>
      <c r="AF9" s="8">
        <v>0</v>
      </c>
      <c r="AG9" s="8">
        <v>5</v>
      </c>
    </row>
    <row r="10" spans="2:33" x14ac:dyDescent="0.35">
      <c r="B10" s="17" t="s">
        <v>96</v>
      </c>
      <c r="C10" s="18"/>
      <c r="D10" s="18"/>
      <c r="E10" s="18"/>
      <c r="F10" s="19"/>
      <c r="G10" s="14" t="s">
        <v>130</v>
      </c>
      <c r="H10" s="14" t="s">
        <v>131</v>
      </c>
      <c r="I10" s="14" t="s">
        <v>132</v>
      </c>
      <c r="J10" s="22" t="s">
        <v>77</v>
      </c>
      <c r="K10" s="14" t="s">
        <v>72</v>
      </c>
      <c r="L10" s="23">
        <f>+SUMIFS(Input_shares!$L$2:$L$87,Input_shares!$C$2:$C$87,IND_Shares!$J10,Input_shares!$D$2:$D$87,IND_Shares!$K10)</f>
        <v>0.20813999999999999</v>
      </c>
      <c r="M10" s="24">
        <f t="shared" si="0"/>
        <v>0.20813999999999999</v>
      </c>
      <c r="N10" s="24">
        <f t="shared" si="0"/>
        <v>0.20813999999999999</v>
      </c>
      <c r="O10" s="24">
        <f t="shared" si="0"/>
        <v>0.20813999999999999</v>
      </c>
      <c r="P10" s="14">
        <v>5</v>
      </c>
      <c r="X10" s="22" t="str">
        <f t="shared" si="1"/>
        <v>I-DMD-NEM-E0</v>
      </c>
      <c r="Y10" s="22" t="s">
        <v>139</v>
      </c>
      <c r="Z10" s="14" t="s">
        <v>138</v>
      </c>
      <c r="AA10" s="22" t="str">
        <f>$AA$7</f>
        <v>UP</v>
      </c>
      <c r="AB10" s="26">
        <f>-L9</f>
        <v>-0.43919999999999998</v>
      </c>
      <c r="AC10" s="26">
        <f>-M9</f>
        <v>-0.43919999999999998</v>
      </c>
      <c r="AD10" s="26">
        <f>-N9</f>
        <v>-0.43919999999999998</v>
      </c>
      <c r="AE10" s="26">
        <f>-O9</f>
        <v>-0.43919999999999998</v>
      </c>
    </row>
    <row r="11" spans="2:33" x14ac:dyDescent="0.35">
      <c r="B11" s="8" t="s">
        <v>75</v>
      </c>
      <c r="C11" s="8" t="s">
        <v>76</v>
      </c>
      <c r="D11" s="22" t="s">
        <v>79</v>
      </c>
      <c r="E11" s="8" t="s">
        <v>109</v>
      </c>
      <c r="F11" s="19"/>
      <c r="G11" s="14" t="s">
        <v>130</v>
      </c>
      <c r="H11" s="14" t="s">
        <v>131</v>
      </c>
      <c r="I11" s="14" t="s">
        <v>132</v>
      </c>
      <c r="J11" s="22" t="s">
        <v>77</v>
      </c>
      <c r="K11" s="14" t="s">
        <v>78</v>
      </c>
      <c r="L11" s="23">
        <f>+SUMIFS(Input_shares!$L$2:$L$87,Input_shares!$C$2:$C$87,IND_Shares!$J11,Input_shares!$D$2:$D$87,IND_Shares!$K11)</f>
        <v>0.34991</v>
      </c>
      <c r="M11" s="15"/>
      <c r="N11" s="15"/>
      <c r="O11" s="15"/>
      <c r="P11" s="14">
        <v>5</v>
      </c>
      <c r="V11" s="22" t="str">
        <f>"UC_Mitigation_"&amp;$J$6&amp;"_MaxShare_GAS-BGS"</f>
        <v>UC_Mitigation_INEM_MaxShare_GAS-BGS</v>
      </c>
      <c r="W11" s="22" t="str">
        <f>"Maximum share of Gas and Biogas in "&amp;$J$6</f>
        <v>Maximum share of Gas and Biogas in INEM</v>
      </c>
      <c r="X11" s="22" t="str">
        <f t="shared" si="1"/>
        <v>I-DMD-NEM-E0</v>
      </c>
      <c r="Y11" s="22" t="str">
        <f>Y9</f>
        <v>IND*</v>
      </c>
      <c r="Z11" s="14" t="s">
        <v>138</v>
      </c>
      <c r="AA11" s="22" t="str">
        <f>$AA$7</f>
        <v>UP</v>
      </c>
      <c r="AB11" s="25">
        <f>1+AB12</f>
        <v>0.79186000000000001</v>
      </c>
      <c r="AC11" s="25">
        <f>1+AC12</f>
        <v>0.79186000000000001</v>
      </c>
      <c r="AD11" s="25">
        <f>1+AD12</f>
        <v>0.79186000000000001</v>
      </c>
      <c r="AE11" s="25">
        <f>1+AE12</f>
        <v>0.79186000000000001</v>
      </c>
      <c r="AF11" s="8">
        <v>0</v>
      </c>
      <c r="AG11" s="8">
        <v>5</v>
      </c>
    </row>
    <row r="12" spans="2:33" x14ac:dyDescent="0.35">
      <c r="B12" s="8" t="s">
        <v>75</v>
      </c>
      <c r="C12" s="8" t="s">
        <v>76</v>
      </c>
      <c r="D12" s="22" t="s">
        <v>79</v>
      </c>
      <c r="E12" s="8" t="s">
        <v>110</v>
      </c>
      <c r="G12" s="14" t="s">
        <v>130</v>
      </c>
      <c r="H12" s="14" t="s">
        <v>131</v>
      </c>
      <c r="I12" s="14" t="s">
        <v>132</v>
      </c>
      <c r="J12" s="22" t="s">
        <v>77</v>
      </c>
      <c r="K12" s="14" t="s">
        <v>109</v>
      </c>
      <c r="L12" s="23">
        <f>+SUMIFS(Input_shares!$L$2:$L$87,Input_shares!$C$2:$C$87,IND_Shares!$J12,Input_shares!$D$2:$D$87,IND_Shares!$K12)</f>
        <v>0</v>
      </c>
      <c r="M12" s="28">
        <f>M7*R12</f>
        <v>1.26E-4</v>
      </c>
      <c r="N12" s="28">
        <f>N7*S12</f>
        <v>7.5600000000000005E-4</v>
      </c>
      <c r="O12" s="28">
        <f>O7*T12</f>
        <v>2.5200000000000001E-3</v>
      </c>
      <c r="P12" s="14">
        <v>5</v>
      </c>
      <c r="R12" s="29">
        <v>0.05</v>
      </c>
      <c r="S12" s="29">
        <v>0.3</v>
      </c>
      <c r="T12" s="29">
        <v>1</v>
      </c>
      <c r="V12" s="22"/>
      <c r="W12" s="22"/>
      <c r="X12" s="22" t="str">
        <f t="shared" si="1"/>
        <v>I-DMD-NEM-E0</v>
      </c>
      <c r="Y12" s="22" t="s">
        <v>141</v>
      </c>
      <c r="Z12" s="14" t="s">
        <v>138</v>
      </c>
      <c r="AA12" s="22" t="str">
        <f>$AA$7</f>
        <v>UP</v>
      </c>
      <c r="AB12" s="26">
        <f>-L10</f>
        <v>-0.20813999999999999</v>
      </c>
      <c r="AC12" s="26">
        <f>-M10</f>
        <v>-0.20813999999999999</v>
      </c>
      <c r="AD12" s="26">
        <f>-N10</f>
        <v>-0.20813999999999999</v>
      </c>
      <c r="AE12" s="26">
        <f>-O10</f>
        <v>-0.20813999999999999</v>
      </c>
    </row>
    <row r="13" spans="2:33" x14ac:dyDescent="0.35">
      <c r="B13" s="41" t="s">
        <v>97</v>
      </c>
      <c r="C13" s="38"/>
      <c r="D13" s="38"/>
      <c r="E13" s="38"/>
      <c r="G13" s="14" t="s">
        <v>130</v>
      </c>
      <c r="H13" s="14" t="s">
        <v>131</v>
      </c>
      <c r="I13" s="14" t="s">
        <v>132</v>
      </c>
      <c r="J13" s="22" t="s">
        <v>77</v>
      </c>
      <c r="K13" s="14" t="s">
        <v>110</v>
      </c>
      <c r="L13" s="23">
        <f>+SUMIFS(Input_shares!$L$2:$L$87,Input_shares!$C$2:$C$87,IND_Shares!$J13,Input_shares!$D$2:$D$87,IND_Shares!$K13)</f>
        <v>0</v>
      </c>
      <c r="M13" s="28">
        <f t="shared" ref="M13:O14" si="2">M9*R13</f>
        <v>2.196E-2</v>
      </c>
      <c r="N13" s="28">
        <f t="shared" si="2"/>
        <v>0.13175999999999999</v>
      </c>
      <c r="O13" s="28">
        <f t="shared" si="2"/>
        <v>0.43919999999999998</v>
      </c>
      <c r="P13" s="14">
        <v>5</v>
      </c>
      <c r="R13" s="29">
        <v>0.05</v>
      </c>
      <c r="S13" s="29">
        <v>0.3</v>
      </c>
      <c r="T13" s="29">
        <v>1</v>
      </c>
      <c r="V13" s="14" t="s">
        <v>129</v>
      </c>
    </row>
    <row r="14" spans="2:33" x14ac:dyDescent="0.35">
      <c r="B14" s="8" t="s">
        <v>75</v>
      </c>
      <c r="C14" s="8" t="s">
        <v>76</v>
      </c>
      <c r="D14" s="22" t="s">
        <v>82</v>
      </c>
      <c r="E14" s="8" t="s">
        <v>109</v>
      </c>
      <c r="G14" s="30" t="s">
        <v>130</v>
      </c>
      <c r="H14" s="30" t="s">
        <v>131</v>
      </c>
      <c r="I14" s="30" t="s">
        <v>132</v>
      </c>
      <c r="J14" s="27" t="s">
        <v>77</v>
      </c>
      <c r="K14" s="30" t="s">
        <v>80</v>
      </c>
      <c r="L14" s="23">
        <f>+SUMIFS(Input_shares!$L$2:$L$87,Input_shares!$C$2:$C$87,IND_Shares!$J14,Input_shares!$D$2:$D$87,IND_Shares!$K14)</f>
        <v>0</v>
      </c>
      <c r="M14" s="32">
        <f t="shared" si="2"/>
        <v>1.0407E-2</v>
      </c>
      <c r="N14" s="32">
        <f t="shared" si="2"/>
        <v>6.2441999999999998E-2</v>
      </c>
      <c r="O14" s="32">
        <f t="shared" si="2"/>
        <v>0.20813999999999999</v>
      </c>
      <c r="P14" s="30">
        <v>5</v>
      </c>
      <c r="R14" s="29">
        <v>0.05</v>
      </c>
      <c r="S14" s="29">
        <v>0.3</v>
      </c>
      <c r="T14" s="29">
        <v>1</v>
      </c>
      <c r="V14" s="30" t="s">
        <v>129</v>
      </c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</row>
    <row r="15" spans="2:33" x14ac:dyDescent="0.35">
      <c r="B15" s="8" t="s">
        <v>75</v>
      </c>
      <c r="C15" s="8" t="s">
        <v>76</v>
      </c>
      <c r="D15" s="22" t="s">
        <v>82</v>
      </c>
      <c r="E15" s="8" t="s">
        <v>110</v>
      </c>
      <c r="G15" s="17" t="s">
        <v>96</v>
      </c>
      <c r="H15" s="17"/>
      <c r="I15" s="17"/>
      <c r="J15" s="17" t="s">
        <v>112</v>
      </c>
      <c r="K15" s="17"/>
      <c r="L15" s="33"/>
      <c r="M15" s="17"/>
      <c r="N15" s="17"/>
      <c r="O15" s="17"/>
      <c r="P15" s="17"/>
      <c r="V15" s="20" t="str">
        <f>G15</f>
        <v>*Food and beverages demand process</v>
      </c>
      <c r="W15" s="18"/>
      <c r="X15" s="18"/>
      <c r="Y15" s="18"/>
      <c r="Z15" s="18"/>
      <c r="AA15" s="18"/>
      <c r="AB15" s="21"/>
      <c r="AC15" s="21"/>
      <c r="AD15" s="21"/>
      <c r="AE15" s="21"/>
      <c r="AF15" s="18"/>
      <c r="AG15" s="18"/>
    </row>
    <row r="16" spans="2:33" x14ac:dyDescent="0.35">
      <c r="B16" s="12" t="s">
        <v>75</v>
      </c>
      <c r="C16" s="12" t="s">
        <v>76</v>
      </c>
      <c r="D16" s="27" t="s">
        <v>82</v>
      </c>
      <c r="E16" s="12" t="s">
        <v>80</v>
      </c>
      <c r="G16" s="14" t="s">
        <v>130</v>
      </c>
      <c r="H16" s="14" t="s">
        <v>131</v>
      </c>
      <c r="I16" s="14" t="s">
        <v>132</v>
      </c>
      <c r="J16" s="22" t="s">
        <v>79</v>
      </c>
      <c r="K16" s="14" t="s">
        <v>65</v>
      </c>
      <c r="L16" s="23">
        <f>+SUMIFS(Input_shares!$L$2:$L$87,Input_shares!$C$2:$C$87,IND_Shares!$J16,Input_shares!$D$2:$D$87,IND_Shares!$K16)</f>
        <v>0</v>
      </c>
      <c r="M16" s="15"/>
      <c r="N16" s="15"/>
      <c r="O16" s="15"/>
      <c r="P16" s="14">
        <v>5</v>
      </c>
      <c r="V16" s="22" t="str">
        <f>"UC_Mitigation_"&amp;$J$15&amp;"_MaxShare_KER-BKE"</f>
        <v>UC_Mitigation_IFAB_MaxShare_KER-BKE</v>
      </c>
      <c r="W16" s="22" t="str">
        <f>"Maximum share of kerosene and Biokerosene in "&amp;$J$15</f>
        <v>Maximum share of kerosene and Biokerosene in IFAB</v>
      </c>
      <c r="X16" s="22" t="str">
        <f>J16</f>
        <v>I-DMD-FAB-E0</v>
      </c>
      <c r="Y16" s="22" t="s">
        <v>136</v>
      </c>
      <c r="Z16" s="14" t="s">
        <v>138</v>
      </c>
      <c r="AA16" s="34" t="str">
        <f>$AA$20</f>
        <v>UP</v>
      </c>
      <c r="AB16" s="25">
        <f>1+AB17</f>
        <v>0.99665999999999999</v>
      </c>
      <c r="AC16" s="25">
        <f t="shared" ref="AC16:AE16" si="3">1+AC17</f>
        <v>0.99665999999999999</v>
      </c>
      <c r="AD16" s="25">
        <f t="shared" si="3"/>
        <v>0.99665999999999999</v>
      </c>
      <c r="AE16" s="25">
        <f t="shared" si="3"/>
        <v>0.99665999999999999</v>
      </c>
      <c r="AF16" s="8">
        <v>0</v>
      </c>
      <c r="AG16" s="8">
        <v>5</v>
      </c>
    </row>
    <row r="17" spans="2:33" x14ac:dyDescent="0.35">
      <c r="B17" s="17" t="s">
        <v>98</v>
      </c>
      <c r="C17" s="18"/>
      <c r="D17" s="18"/>
      <c r="E17" s="18"/>
      <c r="G17" s="14" t="s">
        <v>130</v>
      </c>
      <c r="H17" s="14" t="s">
        <v>131</v>
      </c>
      <c r="I17" s="14" t="s">
        <v>132</v>
      </c>
      <c r="J17" s="22" t="s">
        <v>79</v>
      </c>
      <c r="K17" s="14" t="s">
        <v>66</v>
      </c>
      <c r="L17" s="23">
        <f>+SUMIFS(Input_shares!$L$2:$L$87,Input_shares!$C$2:$C$87,IND_Shares!$J17,Input_shares!$D$2:$D$87,IND_Shares!$K17)</f>
        <v>0</v>
      </c>
      <c r="M17" s="15"/>
      <c r="N17" s="15"/>
      <c r="O17" s="15"/>
      <c r="P17" s="14">
        <v>5</v>
      </c>
      <c r="X17" s="22" t="str">
        <f>X16</f>
        <v>I-DMD-FAB-E0</v>
      </c>
      <c r="Y17" s="22" t="s">
        <v>140</v>
      </c>
      <c r="Z17" s="14" t="s">
        <v>138</v>
      </c>
      <c r="AA17" s="34" t="str">
        <f>$AA$20</f>
        <v>UP</v>
      </c>
      <c r="AB17" s="35">
        <f>-L18</f>
        <v>-3.3400000000000001E-3</v>
      </c>
      <c r="AC17" s="35">
        <f>-M18</f>
        <v>-3.3400000000000001E-3</v>
      </c>
      <c r="AD17" s="35">
        <f>-N18</f>
        <v>-3.3400000000000001E-3</v>
      </c>
      <c r="AE17" s="35">
        <f>-O18</f>
        <v>-3.3400000000000001E-3</v>
      </c>
    </row>
    <row r="18" spans="2:33" x14ac:dyDescent="0.35">
      <c r="B18" s="8" t="s">
        <v>75</v>
      </c>
      <c r="C18" s="8" t="s">
        <v>76</v>
      </c>
      <c r="D18" s="22" t="s">
        <v>83</v>
      </c>
      <c r="E18" s="8" t="s">
        <v>109</v>
      </c>
      <c r="G18" s="14" t="s">
        <v>130</v>
      </c>
      <c r="H18" s="14" t="s">
        <v>131</v>
      </c>
      <c r="I18" s="14" t="s">
        <v>132</v>
      </c>
      <c r="J18" s="22" t="s">
        <v>79</v>
      </c>
      <c r="K18" s="14" t="s">
        <v>67</v>
      </c>
      <c r="L18" s="23">
        <f>+SUMIFS(Input_shares!$L$2:$L$87,Input_shares!$C$2:$C$87,IND_Shares!$J18,Input_shares!$D$2:$D$87,IND_Shares!$K18)</f>
        <v>3.3400000000000001E-3</v>
      </c>
      <c r="M18" s="24">
        <f>L18</f>
        <v>3.3400000000000001E-3</v>
      </c>
      <c r="N18" s="24">
        <f>M18</f>
        <v>3.3400000000000001E-3</v>
      </c>
      <c r="O18" s="24">
        <f>N18</f>
        <v>3.3400000000000001E-3</v>
      </c>
      <c r="P18" s="14">
        <v>5</v>
      </c>
      <c r="V18" s="22" t="str">
        <f>"UC_Mitigation_"&amp;$J$15&amp;"_MaxShare_DST-BDS"</f>
        <v>UC_Mitigation_IFAB_MaxShare_DST-BDS</v>
      </c>
      <c r="W18" s="22" t="str">
        <f>"Maximum share of Diesel and Biodiesel in "&amp;$J$15</f>
        <v>Maximum share of Diesel and Biodiesel in IFAB</v>
      </c>
      <c r="X18" s="22" t="str">
        <f>X17</f>
        <v>I-DMD-FAB-E0</v>
      </c>
      <c r="Y18" s="22" t="str">
        <f>Y16</f>
        <v>IND*</v>
      </c>
      <c r="Z18" s="14" t="s">
        <v>138</v>
      </c>
      <c r="AA18" s="34" t="str">
        <f>$AA$20</f>
        <v>UP</v>
      </c>
      <c r="AB18" s="25">
        <f>1+AB19</f>
        <v>0.97685</v>
      </c>
      <c r="AC18" s="25">
        <f>1+AC19</f>
        <v>0.97685</v>
      </c>
      <c r="AD18" s="25">
        <f>1+AD19</f>
        <v>0.97685</v>
      </c>
      <c r="AE18" s="25">
        <f>1+AE19</f>
        <v>0.97685</v>
      </c>
      <c r="AF18" s="8">
        <v>0</v>
      </c>
      <c r="AG18" s="8">
        <v>5</v>
      </c>
    </row>
    <row r="19" spans="2:33" x14ac:dyDescent="0.35">
      <c r="B19" s="8" t="s">
        <v>75</v>
      </c>
      <c r="C19" s="8" t="s">
        <v>76</v>
      </c>
      <c r="D19" s="22" t="s">
        <v>83</v>
      </c>
      <c r="E19" s="8" t="s">
        <v>110</v>
      </c>
      <c r="G19" s="14" t="s">
        <v>130</v>
      </c>
      <c r="H19" s="14" t="s">
        <v>131</v>
      </c>
      <c r="I19" s="14" t="s">
        <v>132</v>
      </c>
      <c r="J19" s="22" t="s">
        <v>79</v>
      </c>
      <c r="K19" s="14" t="s">
        <v>68</v>
      </c>
      <c r="L19" s="23">
        <f>+SUMIFS(Input_shares!$L$2:$L$87,Input_shares!$C$2:$C$87,IND_Shares!$J19,Input_shares!$D$2:$D$87,IND_Shares!$K19)</f>
        <v>3.3480000000000003E-2</v>
      </c>
      <c r="M19" s="15"/>
      <c r="N19" s="15"/>
      <c r="O19" s="15"/>
      <c r="P19" s="14">
        <v>5</v>
      </c>
      <c r="X19" s="22" t="str">
        <f>X18</f>
        <v>I-DMD-FAB-E0</v>
      </c>
      <c r="Y19" s="22" t="s">
        <v>139</v>
      </c>
      <c r="Z19" s="14" t="s">
        <v>138</v>
      </c>
      <c r="AA19" s="34" t="str">
        <f>$AA$20</f>
        <v>UP</v>
      </c>
      <c r="AB19" s="35">
        <f>-L21</f>
        <v>-2.315E-2</v>
      </c>
      <c r="AC19" s="35">
        <f>-M21</f>
        <v>-2.315E-2</v>
      </c>
      <c r="AD19" s="35">
        <f>-N21</f>
        <v>-2.315E-2</v>
      </c>
      <c r="AE19" s="35">
        <f>-O21</f>
        <v>-2.315E-2</v>
      </c>
    </row>
    <row r="20" spans="2:33" x14ac:dyDescent="0.35">
      <c r="B20" s="12" t="s">
        <v>75</v>
      </c>
      <c r="C20" s="12" t="s">
        <v>76</v>
      </c>
      <c r="D20" s="27" t="s">
        <v>83</v>
      </c>
      <c r="E20" s="12" t="s">
        <v>80</v>
      </c>
      <c r="G20" s="14" t="s">
        <v>130</v>
      </c>
      <c r="H20" s="14" t="s">
        <v>131</v>
      </c>
      <c r="I20" s="14" t="s">
        <v>132</v>
      </c>
      <c r="J20" s="22" t="s">
        <v>79</v>
      </c>
      <c r="K20" s="14" t="s">
        <v>69</v>
      </c>
      <c r="L20" s="23">
        <f>+SUMIFS(Input_shares!$L$2:$L$87,Input_shares!$C$2:$C$87,IND_Shares!$J20,Input_shares!$D$2:$D$87,IND_Shares!$K20)</f>
        <v>7.3730000000000004E-2</v>
      </c>
      <c r="M20" s="15"/>
      <c r="N20" s="15"/>
      <c r="O20" s="15"/>
      <c r="P20" s="14">
        <v>5</v>
      </c>
      <c r="V20" s="22" t="str">
        <f>"UC_Mitigation_"&amp;$J$15&amp;"_MaxShare_GAS-BGS"</f>
        <v>UC_Mitigation_IFAB_MaxShare_GAS-BGS</v>
      </c>
      <c r="W20" s="22" t="str">
        <f>"Maximum share of Gas and Biogas in "&amp;$J$15</f>
        <v>Maximum share of Gas and Biogas in IFAB</v>
      </c>
      <c r="X20" s="22" t="str">
        <f>X19</f>
        <v>I-DMD-FAB-E0</v>
      </c>
      <c r="Y20" s="22" t="str">
        <f>Y18</f>
        <v>IND*</v>
      </c>
      <c r="Z20" s="14" t="s">
        <v>138</v>
      </c>
      <c r="AA20" s="22" t="s">
        <v>131</v>
      </c>
      <c r="AB20" s="25">
        <f>1+AB21</f>
        <v>0.36043999999999998</v>
      </c>
      <c r="AC20" s="25">
        <f>1+AC21</f>
        <v>0.36043999999999998</v>
      </c>
      <c r="AD20" s="25">
        <f>1+AD21</f>
        <v>0.36043999999999998</v>
      </c>
      <c r="AE20" s="25">
        <f>1+AE21</f>
        <v>0.36043999999999998</v>
      </c>
      <c r="AF20" s="8">
        <v>0</v>
      </c>
      <c r="AG20" s="8">
        <v>5</v>
      </c>
    </row>
    <row r="21" spans="2:33" x14ac:dyDescent="0.35">
      <c r="B21" s="17" t="s">
        <v>99</v>
      </c>
      <c r="C21" s="18"/>
      <c r="D21" s="18"/>
      <c r="E21" s="18"/>
      <c r="G21" s="14" t="s">
        <v>130</v>
      </c>
      <c r="H21" s="14" t="s">
        <v>131</v>
      </c>
      <c r="I21" s="14" t="s">
        <v>132</v>
      </c>
      <c r="J21" s="22" t="s">
        <v>79</v>
      </c>
      <c r="K21" s="14" t="s">
        <v>70</v>
      </c>
      <c r="L21" s="23">
        <f>+SUMIFS(Input_shares!$L$2:$L$87,Input_shares!$C$2:$C$87,IND_Shares!$J21,Input_shares!$D$2:$D$87,IND_Shares!$K21)</f>
        <v>2.315E-2</v>
      </c>
      <c r="M21" s="24">
        <f t="shared" ref="M21:O22" si="4">L21</f>
        <v>2.315E-2</v>
      </c>
      <c r="N21" s="24">
        <f t="shared" si="4"/>
        <v>2.315E-2</v>
      </c>
      <c r="O21" s="24">
        <f t="shared" si="4"/>
        <v>2.315E-2</v>
      </c>
      <c r="P21" s="14">
        <v>5</v>
      </c>
      <c r="X21" s="22" t="str">
        <f>X20</f>
        <v>I-DMD-FAB-E0</v>
      </c>
      <c r="Y21" s="22" t="s">
        <v>141</v>
      </c>
      <c r="Z21" s="14" t="s">
        <v>138</v>
      </c>
      <c r="AA21" s="22" t="s">
        <v>131</v>
      </c>
      <c r="AB21" s="36">
        <f>-L22-$L$24</f>
        <v>-0.63956000000000002</v>
      </c>
      <c r="AC21" s="36">
        <f>-M22-$L$24</f>
        <v>-0.63956000000000002</v>
      </c>
      <c r="AD21" s="36">
        <f>-N22-$L$24</f>
        <v>-0.63956000000000002</v>
      </c>
      <c r="AE21" s="36">
        <f>-O22-$L$24</f>
        <v>-0.63956000000000002</v>
      </c>
    </row>
    <row r="22" spans="2:33" x14ac:dyDescent="0.35">
      <c r="B22" s="8" t="s">
        <v>75</v>
      </c>
      <c r="C22" s="8" t="s">
        <v>76</v>
      </c>
      <c r="D22" s="22" t="s">
        <v>84</v>
      </c>
      <c r="E22" s="8" t="s">
        <v>109</v>
      </c>
      <c r="G22" s="14" t="s">
        <v>130</v>
      </c>
      <c r="H22" s="14" t="s">
        <v>131</v>
      </c>
      <c r="I22" s="14" t="s">
        <v>132</v>
      </c>
      <c r="J22" s="22" t="s">
        <v>79</v>
      </c>
      <c r="K22" s="14" t="s">
        <v>72</v>
      </c>
      <c r="L22" s="23">
        <f>+SUMIFS(Input_shares!$L$2:$L$87,Input_shares!$C$2:$C$87,IND_Shares!$J22,Input_shares!$D$2:$D$87,IND_Shares!$K22)</f>
        <v>0.62682000000000004</v>
      </c>
      <c r="M22" s="24">
        <f t="shared" si="4"/>
        <v>0.62682000000000004</v>
      </c>
      <c r="N22" s="24">
        <f t="shared" si="4"/>
        <v>0.62682000000000004</v>
      </c>
      <c r="O22" s="24">
        <f t="shared" si="4"/>
        <v>0.62682000000000004</v>
      </c>
      <c r="P22" s="14">
        <v>5</v>
      </c>
      <c r="V22" s="14" t="s">
        <v>129</v>
      </c>
    </row>
    <row r="23" spans="2:33" x14ac:dyDescent="0.35">
      <c r="B23" s="8" t="s">
        <v>75</v>
      </c>
      <c r="C23" s="8" t="s">
        <v>76</v>
      </c>
      <c r="D23" s="22" t="s">
        <v>84</v>
      </c>
      <c r="E23" s="8" t="s">
        <v>110</v>
      </c>
      <c r="G23" s="14" t="s">
        <v>130</v>
      </c>
      <c r="H23" s="14" t="s">
        <v>131</v>
      </c>
      <c r="I23" s="14" t="s">
        <v>132</v>
      </c>
      <c r="J23" s="22" t="s">
        <v>79</v>
      </c>
      <c r="K23" s="14" t="s">
        <v>78</v>
      </c>
      <c r="L23" s="23">
        <f>+SUMIFS(Input_shares!$L$2:$L$87,Input_shares!$C$2:$C$87,IND_Shares!$J23,Input_shares!$D$2:$D$87,IND_Shares!$K23)</f>
        <v>0.18647</v>
      </c>
      <c r="M23" s="15"/>
      <c r="N23" s="15"/>
      <c r="O23" s="15"/>
      <c r="P23" s="14">
        <v>5</v>
      </c>
      <c r="V23" s="14" t="s">
        <v>129</v>
      </c>
    </row>
    <row r="24" spans="2:33" x14ac:dyDescent="0.35">
      <c r="B24" s="12" t="s">
        <v>75</v>
      </c>
      <c r="C24" s="12" t="s">
        <v>76</v>
      </c>
      <c r="D24" s="27" t="s">
        <v>84</v>
      </c>
      <c r="E24" s="12" t="s">
        <v>80</v>
      </c>
      <c r="G24" s="14" t="s">
        <v>130</v>
      </c>
      <c r="H24" s="14" t="s">
        <v>131</v>
      </c>
      <c r="I24" s="14" t="s">
        <v>132</v>
      </c>
      <c r="J24" s="22" t="s">
        <v>79</v>
      </c>
      <c r="K24" s="14" t="s">
        <v>80</v>
      </c>
      <c r="L24" s="23">
        <f>+SUMIFS(Input_shares!$L$2:$L$87,Input_shares!$C$2:$C$87,IND_Shares!$J24,Input_shares!$D$2:$D$87,IND_Shares!$K24)</f>
        <v>1.274E-2</v>
      </c>
      <c r="M24" s="28">
        <f>M22*R24</f>
        <v>3.1341000000000001E-2</v>
      </c>
      <c r="N24" s="28">
        <f>N22*S24</f>
        <v>0.18804600000000002</v>
      </c>
      <c r="O24" s="28">
        <f>O22*T24</f>
        <v>0.62682000000000004</v>
      </c>
      <c r="P24" s="14">
        <v>5</v>
      </c>
      <c r="R24" s="29">
        <v>0.05</v>
      </c>
      <c r="S24" s="29">
        <v>0.3</v>
      </c>
      <c r="T24" s="29">
        <v>1</v>
      </c>
      <c r="V24" s="14" t="s">
        <v>129</v>
      </c>
    </row>
    <row r="25" spans="2:33" x14ac:dyDescent="0.35">
      <c r="B25" s="17" t="s">
        <v>100</v>
      </c>
      <c r="C25" s="18"/>
      <c r="D25" s="18"/>
      <c r="E25" s="18"/>
      <c r="G25" s="14" t="s">
        <v>130</v>
      </c>
      <c r="H25" s="14" t="s">
        <v>131</v>
      </c>
      <c r="I25" s="14" t="s">
        <v>132</v>
      </c>
      <c r="J25" s="22" t="s">
        <v>79</v>
      </c>
      <c r="K25" s="14" t="s">
        <v>81</v>
      </c>
      <c r="L25" s="23">
        <f>+SUMIFS(Input_shares!$L$2:$L$87,Input_shares!$C$2:$C$87,IND_Shares!$J25,Input_shares!$D$2:$D$87,IND_Shares!$K25)</f>
        <v>4.0309999999999999E-2</v>
      </c>
      <c r="M25" s="24"/>
      <c r="N25" s="24"/>
      <c r="O25" s="24"/>
      <c r="P25" s="14">
        <v>5</v>
      </c>
      <c r="V25" s="14" t="s">
        <v>129</v>
      </c>
      <c r="AB25" s="35"/>
      <c r="AC25" s="35"/>
      <c r="AD25" s="35"/>
      <c r="AE25" s="35"/>
    </row>
    <row r="26" spans="2:33" x14ac:dyDescent="0.35">
      <c r="B26" s="8" t="s">
        <v>75</v>
      </c>
      <c r="C26" s="8" t="s">
        <v>76</v>
      </c>
      <c r="D26" s="22" t="s">
        <v>85</v>
      </c>
      <c r="E26" s="8" t="s">
        <v>109</v>
      </c>
      <c r="G26" s="14" t="s">
        <v>130</v>
      </c>
      <c r="H26" s="14" t="s">
        <v>131</v>
      </c>
      <c r="I26" s="14" t="s">
        <v>132</v>
      </c>
      <c r="J26" s="22" t="s">
        <v>79</v>
      </c>
      <c r="K26" s="14" t="s">
        <v>109</v>
      </c>
      <c r="L26" s="24">
        <f>+SUMIFS(Input_shares!$L$2:$L$87,Input_shares!$C$2:$C$87,IND_Shares!$J26,Input_shares!$D$2:$D$87,IND_Shares!$K26)</f>
        <v>0</v>
      </c>
      <c r="M26" s="28">
        <f>M18*R26</f>
        <v>1.6700000000000002E-4</v>
      </c>
      <c r="N26" s="28">
        <f>N18*S26</f>
        <v>1.0020000000000001E-3</v>
      </c>
      <c r="O26" s="28">
        <f>O18*T26</f>
        <v>3.3400000000000001E-3</v>
      </c>
      <c r="P26" s="14">
        <v>5</v>
      </c>
      <c r="R26" s="29">
        <v>0.05</v>
      </c>
      <c r="S26" s="29">
        <v>0.3</v>
      </c>
      <c r="T26" s="29">
        <v>1</v>
      </c>
      <c r="V26" s="14" t="s">
        <v>129</v>
      </c>
    </row>
    <row r="27" spans="2:33" x14ac:dyDescent="0.35">
      <c r="B27" s="8" t="s">
        <v>75</v>
      </c>
      <c r="C27" s="8" t="s">
        <v>76</v>
      </c>
      <c r="D27" s="22" t="s">
        <v>85</v>
      </c>
      <c r="E27" s="8" t="s">
        <v>110</v>
      </c>
      <c r="G27" s="30" t="s">
        <v>130</v>
      </c>
      <c r="H27" s="30" t="s">
        <v>131</v>
      </c>
      <c r="I27" s="30" t="s">
        <v>132</v>
      </c>
      <c r="J27" s="27" t="s">
        <v>79</v>
      </c>
      <c r="K27" s="30" t="s">
        <v>110</v>
      </c>
      <c r="L27" s="31">
        <f>+SUMIFS(Input_shares!$L$2:$L$87,Input_shares!$C$2:$C$87,IND_Shares!$J27,Input_shares!$D$2:$D$87,IND_Shares!$K27)</f>
        <v>0</v>
      </c>
      <c r="M27" s="32">
        <f>M21*R27</f>
        <v>1.1575000000000001E-3</v>
      </c>
      <c r="N27" s="32">
        <f>N21*S27</f>
        <v>6.9449999999999998E-3</v>
      </c>
      <c r="O27" s="32">
        <f>O21*T27</f>
        <v>2.315E-2</v>
      </c>
      <c r="P27" s="30">
        <v>5</v>
      </c>
      <c r="R27" s="29">
        <v>0.05</v>
      </c>
      <c r="S27" s="29">
        <v>0.3</v>
      </c>
      <c r="T27" s="29">
        <v>1</v>
      </c>
      <c r="V27" s="14" t="s">
        <v>129</v>
      </c>
      <c r="Z27" s="30"/>
    </row>
    <row r="28" spans="2:33" x14ac:dyDescent="0.35">
      <c r="B28" s="12" t="s">
        <v>75</v>
      </c>
      <c r="C28" s="12" t="s">
        <v>76</v>
      </c>
      <c r="D28" s="27" t="s">
        <v>85</v>
      </c>
      <c r="E28" s="12" t="s">
        <v>80</v>
      </c>
      <c r="G28" s="17" t="s">
        <v>97</v>
      </c>
      <c r="H28" s="17"/>
      <c r="I28" s="17"/>
      <c r="J28" s="17" t="s">
        <v>113</v>
      </c>
      <c r="K28" s="17"/>
      <c r="L28" s="33"/>
      <c r="M28" s="17"/>
      <c r="N28" s="17"/>
      <c r="O28" s="17"/>
      <c r="P28" s="17"/>
      <c r="V28" s="37" t="str">
        <f>G28</f>
        <v>*Textiles and textile products demand process</v>
      </c>
      <c r="W28" s="38"/>
      <c r="X28" s="38"/>
      <c r="Y28" s="38"/>
      <c r="Z28" s="18"/>
      <c r="AA28" s="38"/>
      <c r="AB28" s="39"/>
      <c r="AC28" s="39"/>
      <c r="AD28" s="39"/>
      <c r="AE28" s="39"/>
      <c r="AF28" s="38"/>
      <c r="AG28" s="38"/>
    </row>
    <row r="29" spans="2:33" x14ac:dyDescent="0.35">
      <c r="B29" s="17" t="s">
        <v>101</v>
      </c>
      <c r="C29" s="18"/>
      <c r="D29" s="18"/>
      <c r="E29" s="18"/>
      <c r="G29" s="14" t="s">
        <v>130</v>
      </c>
      <c r="H29" s="14" t="s">
        <v>131</v>
      </c>
      <c r="I29" s="14" t="s">
        <v>132</v>
      </c>
      <c r="J29" s="22" t="s">
        <v>82</v>
      </c>
      <c r="K29" s="14" t="s">
        <v>67</v>
      </c>
      <c r="L29" s="23">
        <f>+SUMIFS(Input_shares!$L$2:$L$87,Input_shares!$C$2:$C$87,IND_Shares!$J29,Input_shares!$D$2:$D$87,IND_Shares!$K29)</f>
        <v>5.5000000000000003E-4</v>
      </c>
      <c r="M29" s="24">
        <f>L29</f>
        <v>5.5000000000000003E-4</v>
      </c>
      <c r="N29" s="24">
        <f>M29</f>
        <v>5.5000000000000003E-4</v>
      </c>
      <c r="O29" s="24">
        <f>N29</f>
        <v>5.5000000000000003E-4</v>
      </c>
      <c r="P29" s="14">
        <v>5</v>
      </c>
      <c r="V29" s="22" t="str">
        <f>"UC_Mitigation_"&amp;$J$28&amp;"_MaxShare_KER-BKE"</f>
        <v>UC_Mitigation_ITAP_MaxShare_KER-BKE</v>
      </c>
      <c r="W29" s="22" t="str">
        <f>"Maximum share of kerosene and Biokerosene in "&amp;$J$28</f>
        <v>Maximum share of kerosene and Biokerosene in ITAP</v>
      </c>
      <c r="X29" s="22" t="str">
        <f>J29</f>
        <v>I-DMD-TAP-E0</v>
      </c>
      <c r="Y29" s="22" t="s">
        <v>136</v>
      </c>
      <c r="Z29" s="14" t="s">
        <v>138</v>
      </c>
      <c r="AA29" s="34" t="str">
        <f>$AA$20</f>
        <v>UP</v>
      </c>
      <c r="AB29" s="25">
        <f>1+AB30</f>
        <v>0.99944999999999995</v>
      </c>
      <c r="AC29" s="25">
        <f>1+AC30</f>
        <v>0.99944999999999995</v>
      </c>
      <c r="AD29" s="25">
        <f>1+AD30</f>
        <v>0.99944999999999995</v>
      </c>
      <c r="AE29" s="25">
        <f>1+AE30</f>
        <v>0.99944999999999995</v>
      </c>
      <c r="AF29" s="8">
        <v>0</v>
      </c>
      <c r="AG29" s="8">
        <v>5</v>
      </c>
    </row>
    <row r="30" spans="2:33" x14ac:dyDescent="0.35">
      <c r="B30" s="8" t="s">
        <v>75</v>
      </c>
      <c r="C30" s="8" t="s">
        <v>76</v>
      </c>
      <c r="D30" s="22" t="s">
        <v>86</v>
      </c>
      <c r="E30" s="8" t="s">
        <v>109</v>
      </c>
      <c r="G30" s="14" t="s">
        <v>130</v>
      </c>
      <c r="H30" s="14" t="s">
        <v>131</v>
      </c>
      <c r="I30" s="14" t="s">
        <v>132</v>
      </c>
      <c r="J30" s="22" t="s">
        <v>82</v>
      </c>
      <c r="K30" s="14" t="s">
        <v>69</v>
      </c>
      <c r="L30" s="23">
        <f>+SUMIFS(Input_shares!$L$2:$L$87,Input_shares!$C$2:$C$87,IND_Shares!$J30,Input_shares!$D$2:$D$87,IND_Shares!$K30)</f>
        <v>0.10435999999999999</v>
      </c>
      <c r="M30" s="15"/>
      <c r="N30" s="15"/>
      <c r="O30" s="15"/>
      <c r="P30" s="14">
        <v>5</v>
      </c>
      <c r="X30" s="34" t="str">
        <f>X29</f>
        <v>I-DMD-TAP-E0</v>
      </c>
      <c r="Y30" s="22" t="s">
        <v>140</v>
      </c>
      <c r="Z30" s="14" t="s">
        <v>138</v>
      </c>
      <c r="AA30" s="34" t="str">
        <f>$AA$20</f>
        <v>UP</v>
      </c>
      <c r="AB30" s="35">
        <f>-L29</f>
        <v>-5.5000000000000003E-4</v>
      </c>
      <c r="AC30" s="35">
        <f>-M29</f>
        <v>-5.5000000000000003E-4</v>
      </c>
      <c r="AD30" s="35">
        <f>-N29</f>
        <v>-5.5000000000000003E-4</v>
      </c>
      <c r="AE30" s="35">
        <f>-O29</f>
        <v>-5.5000000000000003E-4</v>
      </c>
    </row>
    <row r="31" spans="2:33" x14ac:dyDescent="0.35">
      <c r="B31" s="8" t="s">
        <v>75</v>
      </c>
      <c r="C31" s="8" t="s">
        <v>76</v>
      </c>
      <c r="D31" s="22" t="s">
        <v>86</v>
      </c>
      <c r="E31" s="8" t="s">
        <v>110</v>
      </c>
      <c r="G31" s="14" t="s">
        <v>130</v>
      </c>
      <c r="H31" s="14" t="s">
        <v>131</v>
      </c>
      <c r="I31" s="14" t="s">
        <v>132</v>
      </c>
      <c r="J31" s="22" t="s">
        <v>82</v>
      </c>
      <c r="K31" s="14" t="s">
        <v>70</v>
      </c>
      <c r="L31" s="23">
        <f>+SUMIFS(Input_shares!$L$2:$L$87,Input_shares!$C$2:$C$87,IND_Shares!$J31,Input_shares!$D$2:$D$87,IND_Shares!$K31)</f>
        <v>2.018E-2</v>
      </c>
      <c r="M31" s="24">
        <f t="shared" ref="M31:O32" si="5">L31</f>
        <v>2.018E-2</v>
      </c>
      <c r="N31" s="24">
        <f t="shared" si="5"/>
        <v>2.018E-2</v>
      </c>
      <c r="O31" s="24">
        <f t="shared" si="5"/>
        <v>2.018E-2</v>
      </c>
      <c r="P31" s="14">
        <v>5</v>
      </c>
      <c r="V31" s="22" t="str">
        <f>"UC_Mitigation_"&amp;$J$28&amp;"_MaxShare_DST-BDS"</f>
        <v>UC_Mitigation_ITAP_MaxShare_DST-BDS</v>
      </c>
      <c r="W31" s="22" t="str">
        <f>"Maximum share of Diesel and Biodiesel in "&amp;$J$28</f>
        <v>Maximum share of Diesel and Biodiesel in ITAP</v>
      </c>
      <c r="X31" s="34" t="str">
        <f t="shared" ref="X31:X34" si="6">X30</f>
        <v>I-DMD-TAP-E0</v>
      </c>
      <c r="Y31" s="22" t="str">
        <f>Y29</f>
        <v>IND*</v>
      </c>
      <c r="Z31" s="14" t="s">
        <v>138</v>
      </c>
      <c r="AA31" s="34" t="str">
        <f>$AA$20</f>
        <v>UP</v>
      </c>
      <c r="AB31" s="25">
        <f>1+AB32</f>
        <v>0.97982000000000002</v>
      </c>
      <c r="AC31" s="25">
        <f>1+AC32</f>
        <v>0.97982000000000002</v>
      </c>
      <c r="AD31" s="25">
        <f>1+AD32</f>
        <v>0.97982000000000002</v>
      </c>
      <c r="AE31" s="25">
        <f>1+AE32</f>
        <v>0.97982000000000002</v>
      </c>
      <c r="AF31" s="8">
        <v>0</v>
      </c>
      <c r="AG31" s="8">
        <v>5</v>
      </c>
    </row>
    <row r="32" spans="2:33" x14ac:dyDescent="0.35">
      <c r="B32" s="12" t="s">
        <v>75</v>
      </c>
      <c r="C32" s="12" t="s">
        <v>76</v>
      </c>
      <c r="D32" s="27" t="s">
        <v>86</v>
      </c>
      <c r="E32" s="12" t="s">
        <v>80</v>
      </c>
      <c r="G32" s="14" t="s">
        <v>130</v>
      </c>
      <c r="H32" s="14" t="s">
        <v>131</v>
      </c>
      <c r="I32" s="14" t="s">
        <v>132</v>
      </c>
      <c r="J32" s="22" t="s">
        <v>82</v>
      </c>
      <c r="K32" s="14" t="s">
        <v>72</v>
      </c>
      <c r="L32" s="23">
        <f>+SUMIFS(Input_shares!$L$2:$L$87,Input_shares!$C$2:$C$87,IND_Shares!$J32,Input_shares!$D$2:$D$87,IND_Shares!$K32)</f>
        <v>0.69152000000000002</v>
      </c>
      <c r="M32" s="24">
        <f t="shared" si="5"/>
        <v>0.69152000000000002</v>
      </c>
      <c r="N32" s="24">
        <f t="shared" si="5"/>
        <v>0.69152000000000002</v>
      </c>
      <c r="O32" s="24">
        <f t="shared" si="5"/>
        <v>0.69152000000000002</v>
      </c>
      <c r="P32" s="14">
        <v>5</v>
      </c>
      <c r="X32" s="34" t="str">
        <f t="shared" si="6"/>
        <v>I-DMD-TAP-E0</v>
      </c>
      <c r="Y32" s="22" t="s">
        <v>139</v>
      </c>
      <c r="Z32" s="14" t="s">
        <v>138</v>
      </c>
      <c r="AA32" s="34" t="str">
        <f>$AA$20</f>
        <v>UP</v>
      </c>
      <c r="AB32" s="35">
        <f>-L31</f>
        <v>-2.018E-2</v>
      </c>
      <c r="AC32" s="35">
        <f>-M31</f>
        <v>-2.018E-2</v>
      </c>
      <c r="AD32" s="35">
        <f>-N31</f>
        <v>-2.018E-2</v>
      </c>
      <c r="AE32" s="35">
        <f>-O31</f>
        <v>-2.018E-2</v>
      </c>
    </row>
    <row r="33" spans="2:33" x14ac:dyDescent="0.35">
      <c r="B33" s="17" t="s">
        <v>102</v>
      </c>
      <c r="C33" s="18"/>
      <c r="D33" s="18"/>
      <c r="E33" s="18"/>
      <c r="G33" s="14" t="s">
        <v>130</v>
      </c>
      <c r="H33" s="14" t="s">
        <v>131</v>
      </c>
      <c r="I33" s="14" t="s">
        <v>132</v>
      </c>
      <c r="J33" s="22" t="s">
        <v>82</v>
      </c>
      <c r="K33" s="14" t="s">
        <v>78</v>
      </c>
      <c r="L33" s="23">
        <f>+SUMIFS(Input_shares!$L$2:$L$87,Input_shares!$C$2:$C$87,IND_Shares!$J33,Input_shares!$D$2:$D$87,IND_Shares!$K33)</f>
        <v>0.18342</v>
      </c>
      <c r="M33" s="15"/>
      <c r="N33" s="15"/>
      <c r="O33" s="15"/>
      <c r="P33" s="14">
        <v>5</v>
      </c>
      <c r="V33" s="22" t="str">
        <f>"UC_Mitigation_"&amp;$J$28&amp;"_MaxShare_GAS-BGS"</f>
        <v>UC_Mitigation_ITAP_MaxShare_GAS-BGS</v>
      </c>
      <c r="W33" s="22" t="str">
        <f>"Maximum share of Gas and Biogas in "&amp;$J$28</f>
        <v>Maximum share of Gas and Biogas in ITAP</v>
      </c>
      <c r="X33" s="34" t="str">
        <f t="shared" si="6"/>
        <v>I-DMD-TAP-E0</v>
      </c>
      <c r="Y33" s="22" t="str">
        <f>Y31</f>
        <v>IND*</v>
      </c>
      <c r="Z33" s="14" t="s">
        <v>138</v>
      </c>
      <c r="AA33" s="22" t="s">
        <v>131</v>
      </c>
      <c r="AB33" s="25">
        <f>1+AB34</f>
        <v>0.30847999999999998</v>
      </c>
      <c r="AC33" s="25">
        <f>1+AC34</f>
        <v>0.30847999999999998</v>
      </c>
      <c r="AD33" s="25">
        <f>1+AD34</f>
        <v>0.30847999999999998</v>
      </c>
      <c r="AE33" s="25">
        <f>1+AE34</f>
        <v>0.30847999999999998</v>
      </c>
      <c r="AF33" s="8">
        <v>0</v>
      </c>
      <c r="AG33" s="8">
        <v>5</v>
      </c>
    </row>
    <row r="34" spans="2:33" x14ac:dyDescent="0.35">
      <c r="B34" s="8" t="s">
        <v>75</v>
      </c>
      <c r="C34" s="8" t="s">
        <v>76</v>
      </c>
      <c r="D34" s="22" t="s">
        <v>144</v>
      </c>
      <c r="E34" s="8" t="s">
        <v>109</v>
      </c>
      <c r="G34" s="14" t="s">
        <v>130</v>
      </c>
      <c r="H34" s="14" t="s">
        <v>131</v>
      </c>
      <c r="I34" s="14" t="s">
        <v>132</v>
      </c>
      <c r="J34" s="22" t="s">
        <v>82</v>
      </c>
      <c r="K34" s="14" t="s">
        <v>109</v>
      </c>
      <c r="L34" s="24">
        <f>+SUMIFS(Input_shares!$L$2:$L$87,Input_shares!$C$2:$C$87,IND_Shares!$J34,Input_shares!$D$2:$D$87,IND_Shares!$K34)</f>
        <v>0</v>
      </c>
      <c r="M34" s="28">
        <f>M29*R34</f>
        <v>2.7500000000000004E-5</v>
      </c>
      <c r="N34" s="28">
        <f>N29*S34</f>
        <v>1.65E-4</v>
      </c>
      <c r="O34" s="28">
        <f>O29*T34</f>
        <v>5.5000000000000003E-4</v>
      </c>
      <c r="P34" s="14">
        <v>5</v>
      </c>
      <c r="R34" s="29">
        <v>0.05</v>
      </c>
      <c r="S34" s="29">
        <v>0.3</v>
      </c>
      <c r="T34" s="29">
        <v>1</v>
      </c>
      <c r="X34" s="34" t="str">
        <f t="shared" si="6"/>
        <v>I-DMD-TAP-E0</v>
      </c>
      <c r="Y34" s="22" t="s">
        <v>141</v>
      </c>
      <c r="Z34" s="14" t="s">
        <v>138</v>
      </c>
      <c r="AA34" s="22" t="s">
        <v>131</v>
      </c>
      <c r="AB34" s="35">
        <f>-L32</f>
        <v>-0.69152000000000002</v>
      </c>
      <c r="AC34" s="35">
        <f>-M32</f>
        <v>-0.69152000000000002</v>
      </c>
      <c r="AD34" s="35">
        <f>-N32</f>
        <v>-0.69152000000000002</v>
      </c>
      <c r="AE34" s="35">
        <f>-O32</f>
        <v>-0.69152000000000002</v>
      </c>
    </row>
    <row r="35" spans="2:33" x14ac:dyDescent="0.35">
      <c r="B35" s="8" t="s">
        <v>75</v>
      </c>
      <c r="C35" s="8" t="s">
        <v>76</v>
      </c>
      <c r="D35" s="22" t="s">
        <v>144</v>
      </c>
      <c r="E35" s="8" t="s">
        <v>110</v>
      </c>
      <c r="G35" s="14" t="s">
        <v>130</v>
      </c>
      <c r="H35" s="14" t="s">
        <v>131</v>
      </c>
      <c r="I35" s="14" t="s">
        <v>132</v>
      </c>
      <c r="J35" s="22" t="s">
        <v>82</v>
      </c>
      <c r="K35" s="14" t="s">
        <v>110</v>
      </c>
      <c r="L35" s="24">
        <f>+SUMIFS(Input_shares!$L$2:$L$87,Input_shares!$C$2:$C$87,IND_Shares!$J35,Input_shares!$D$2:$D$87,IND_Shares!$K35)</f>
        <v>0</v>
      </c>
      <c r="M35" s="28">
        <f t="shared" ref="M35:O36" si="7">M31*R35</f>
        <v>1.0090000000000001E-3</v>
      </c>
      <c r="N35" s="28">
        <f t="shared" si="7"/>
        <v>6.0539999999999995E-3</v>
      </c>
      <c r="O35" s="28">
        <f t="shared" si="7"/>
        <v>2.018E-2</v>
      </c>
      <c r="P35" s="14">
        <v>5</v>
      </c>
      <c r="R35" s="29">
        <v>0.05</v>
      </c>
      <c r="S35" s="29">
        <v>0.3</v>
      </c>
      <c r="T35" s="29">
        <v>1</v>
      </c>
      <c r="V35" s="14" t="s">
        <v>129</v>
      </c>
    </row>
    <row r="36" spans="2:33" x14ac:dyDescent="0.35">
      <c r="B36" s="8" t="s">
        <v>75</v>
      </c>
      <c r="C36" s="8" t="s">
        <v>76</v>
      </c>
      <c r="D36" s="22" t="s">
        <v>144</v>
      </c>
      <c r="E36" s="8" t="s">
        <v>80</v>
      </c>
      <c r="G36" s="30" t="s">
        <v>130</v>
      </c>
      <c r="H36" s="30" t="s">
        <v>131</v>
      </c>
      <c r="I36" s="30" t="s">
        <v>132</v>
      </c>
      <c r="J36" s="27" t="s">
        <v>82</v>
      </c>
      <c r="K36" s="30" t="s">
        <v>80</v>
      </c>
      <c r="L36" s="31">
        <f>+SUMIFS(Input_shares!$L$2:$L$87,Input_shares!$C$2:$C$87,IND_Shares!$J36,Input_shares!$D$2:$D$87,IND_Shares!$K36)</f>
        <v>0</v>
      </c>
      <c r="M36" s="32">
        <f t="shared" si="7"/>
        <v>3.4576000000000003E-2</v>
      </c>
      <c r="N36" s="32">
        <f t="shared" si="7"/>
        <v>0.207456</v>
      </c>
      <c r="O36" s="32">
        <f t="shared" si="7"/>
        <v>0.69152000000000002</v>
      </c>
      <c r="P36" s="30">
        <v>5</v>
      </c>
      <c r="R36" s="29">
        <v>0.05</v>
      </c>
      <c r="S36" s="29">
        <v>0.3</v>
      </c>
      <c r="T36" s="29">
        <v>1</v>
      </c>
      <c r="V36" s="14" t="s">
        <v>129</v>
      </c>
      <c r="Z36" s="30"/>
    </row>
    <row r="37" spans="2:33" x14ac:dyDescent="0.35">
      <c r="B37" s="12" t="s">
        <v>75</v>
      </c>
      <c r="C37" s="12" t="s">
        <v>76</v>
      </c>
      <c r="D37" s="27" t="s">
        <v>144</v>
      </c>
      <c r="E37" s="12" t="s">
        <v>142</v>
      </c>
      <c r="G37" s="17" t="s">
        <v>98</v>
      </c>
      <c r="H37" s="17"/>
      <c r="I37" s="17"/>
      <c r="J37" s="17" t="s">
        <v>114</v>
      </c>
      <c r="K37" s="17"/>
      <c r="L37" s="33"/>
      <c r="M37" s="17"/>
      <c r="N37" s="17"/>
      <c r="O37" s="17"/>
      <c r="P37" s="17"/>
      <c r="V37" s="37" t="str">
        <f>G37</f>
        <v>*Wood and wood products demand process</v>
      </c>
      <c r="W37" s="38"/>
      <c r="X37" s="38"/>
      <c r="Y37" s="38"/>
      <c r="Z37" s="18"/>
      <c r="AA37" s="38"/>
      <c r="AB37" s="39"/>
      <c r="AC37" s="39"/>
      <c r="AD37" s="39"/>
      <c r="AE37" s="39"/>
      <c r="AF37" s="38"/>
      <c r="AG37" s="38"/>
    </row>
    <row r="38" spans="2:33" x14ac:dyDescent="0.35">
      <c r="B38" s="17" t="s">
        <v>103</v>
      </c>
      <c r="C38" s="18"/>
      <c r="D38" s="18"/>
      <c r="E38" s="18"/>
      <c r="G38" s="14" t="s">
        <v>130</v>
      </c>
      <c r="H38" s="14" t="s">
        <v>131</v>
      </c>
      <c r="I38" s="14" t="s">
        <v>132</v>
      </c>
      <c r="J38" s="22" t="s">
        <v>83</v>
      </c>
      <c r="K38" s="14" t="s">
        <v>67</v>
      </c>
      <c r="L38" s="23">
        <f>+SUMIFS(Input_shares!$L$2:$L$87,Input_shares!$C$2:$C$87,IND_Shares!$J38,Input_shares!$D$2:$D$87,IND_Shares!$K38)</f>
        <v>6.7000000000000002E-4</v>
      </c>
      <c r="M38" s="24">
        <f>L38</f>
        <v>6.7000000000000002E-4</v>
      </c>
      <c r="N38" s="24">
        <f>M38</f>
        <v>6.7000000000000002E-4</v>
      </c>
      <c r="O38" s="24">
        <f>N38</f>
        <v>6.7000000000000002E-4</v>
      </c>
      <c r="P38" s="14">
        <v>5</v>
      </c>
      <c r="V38" s="22" t="str">
        <f>"UC_Mitigation_"&amp;$J$37&amp;"_MaxShare_KER-BKE"</f>
        <v>UC_Mitigation_IWAP_MaxShare_KER-BKE</v>
      </c>
      <c r="W38" s="22" t="str">
        <f>"Maximum share of kerosene and Biokerosene in "&amp;$J$37</f>
        <v>Maximum share of kerosene and Biokerosene in IWAP</v>
      </c>
      <c r="X38" s="22" t="str">
        <f>J38</f>
        <v>I-DMD-WAP-E0</v>
      </c>
      <c r="Y38" s="22" t="s">
        <v>136</v>
      </c>
      <c r="Z38" s="14" t="s">
        <v>138</v>
      </c>
      <c r="AA38" s="34" t="str">
        <f>$AA$20</f>
        <v>UP</v>
      </c>
      <c r="AB38" s="25">
        <f>1+AB39</f>
        <v>0.99933000000000005</v>
      </c>
      <c r="AC38" s="25">
        <f t="shared" ref="AC38:AE38" si="8">1+AC39</f>
        <v>0.99933000000000005</v>
      </c>
      <c r="AD38" s="25">
        <f t="shared" si="8"/>
        <v>0.99933000000000005</v>
      </c>
      <c r="AE38" s="25">
        <f t="shared" si="8"/>
        <v>0.99933000000000005</v>
      </c>
      <c r="AF38" s="8">
        <v>0</v>
      </c>
      <c r="AG38" s="8">
        <v>5</v>
      </c>
    </row>
    <row r="39" spans="2:33" x14ac:dyDescent="0.35">
      <c r="B39" s="8" t="s">
        <v>75</v>
      </c>
      <c r="C39" s="8" t="s">
        <v>76</v>
      </c>
      <c r="D39" s="22" t="s">
        <v>89</v>
      </c>
      <c r="E39" s="8" t="s">
        <v>109</v>
      </c>
      <c r="G39" s="14" t="s">
        <v>130</v>
      </c>
      <c r="H39" s="14" t="s">
        <v>131</v>
      </c>
      <c r="I39" s="14" t="s">
        <v>132</v>
      </c>
      <c r="J39" s="22" t="s">
        <v>83</v>
      </c>
      <c r="K39" s="14" t="s">
        <v>69</v>
      </c>
      <c r="L39" s="23">
        <f>+SUMIFS(Input_shares!$L$2:$L$87,Input_shares!$C$2:$C$87,IND_Shares!$J39,Input_shares!$D$2:$D$87,IND_Shares!$K39)</f>
        <v>3.9300000000000003E-3</v>
      </c>
      <c r="M39" s="15"/>
      <c r="N39" s="15"/>
      <c r="O39" s="15"/>
      <c r="P39" s="14">
        <v>5</v>
      </c>
      <c r="X39" s="22" t="str">
        <f>X38</f>
        <v>I-DMD-WAP-E0</v>
      </c>
      <c r="Y39" s="22" t="s">
        <v>140</v>
      </c>
      <c r="Z39" s="14" t="s">
        <v>138</v>
      </c>
      <c r="AA39" s="34" t="str">
        <f>$AA$20</f>
        <v>UP</v>
      </c>
      <c r="AB39" s="35">
        <f>-L38</f>
        <v>-6.7000000000000002E-4</v>
      </c>
      <c r="AC39" s="35">
        <f>-M38</f>
        <v>-6.7000000000000002E-4</v>
      </c>
      <c r="AD39" s="35">
        <f>-N38</f>
        <v>-6.7000000000000002E-4</v>
      </c>
      <c r="AE39" s="35">
        <f>-O38</f>
        <v>-6.7000000000000002E-4</v>
      </c>
    </row>
    <row r="40" spans="2:33" x14ac:dyDescent="0.35">
      <c r="B40" s="8" t="s">
        <v>75</v>
      </c>
      <c r="C40" s="8" t="s">
        <v>76</v>
      </c>
      <c r="D40" s="22" t="s">
        <v>89</v>
      </c>
      <c r="E40" s="8" t="s">
        <v>110</v>
      </c>
      <c r="G40" s="14" t="s">
        <v>130</v>
      </c>
      <c r="H40" s="14" t="s">
        <v>131</v>
      </c>
      <c r="I40" s="14" t="s">
        <v>132</v>
      </c>
      <c r="J40" s="22" t="s">
        <v>83</v>
      </c>
      <c r="K40" s="14" t="s">
        <v>70</v>
      </c>
      <c r="L40" s="23">
        <f>+SUMIFS(Input_shares!$L$2:$L$87,Input_shares!$C$2:$C$87,IND_Shares!$J40,Input_shares!$D$2:$D$87,IND_Shares!$K40)</f>
        <v>1.2120000000000001E-2</v>
      </c>
      <c r="M40" s="24">
        <f t="shared" ref="M40:O41" si="9">L40</f>
        <v>1.2120000000000001E-2</v>
      </c>
      <c r="N40" s="24">
        <f t="shared" si="9"/>
        <v>1.2120000000000001E-2</v>
      </c>
      <c r="O40" s="24">
        <f t="shared" si="9"/>
        <v>1.2120000000000001E-2</v>
      </c>
      <c r="P40" s="14">
        <v>5</v>
      </c>
      <c r="V40" s="22" t="str">
        <f>"UC_Mitigation_"&amp;$J$37&amp;"_MaxShare_DST-BDS"</f>
        <v>UC_Mitigation_IWAP_MaxShare_DST-BDS</v>
      </c>
      <c r="W40" s="22" t="str">
        <f>"Maximum share of Diesel and Biodiesel in "&amp;$J$37</f>
        <v>Maximum share of Diesel and Biodiesel in IWAP</v>
      </c>
      <c r="X40" s="22" t="str">
        <f t="shared" ref="X40:X43" si="10">X39</f>
        <v>I-DMD-WAP-E0</v>
      </c>
      <c r="Y40" s="22" t="str">
        <f>Y38</f>
        <v>IND*</v>
      </c>
      <c r="Z40" s="14" t="s">
        <v>138</v>
      </c>
      <c r="AA40" s="34" t="str">
        <f>$AA$20</f>
        <v>UP</v>
      </c>
      <c r="AB40" s="25">
        <f>1+AB41</f>
        <v>0.98787999999999998</v>
      </c>
      <c r="AC40" s="25">
        <f t="shared" ref="AC40" si="11">1+AC41</f>
        <v>0.98787999999999998</v>
      </c>
      <c r="AD40" s="25">
        <f t="shared" ref="AD40" si="12">1+AD41</f>
        <v>0.98787999999999998</v>
      </c>
      <c r="AE40" s="25">
        <f t="shared" ref="AE40" si="13">1+AE41</f>
        <v>0.98787999999999998</v>
      </c>
      <c r="AF40" s="8">
        <v>0</v>
      </c>
      <c r="AG40" s="8">
        <v>5</v>
      </c>
    </row>
    <row r="41" spans="2:33" x14ac:dyDescent="0.35">
      <c r="B41" s="12" t="s">
        <v>75</v>
      </c>
      <c r="C41" s="12" t="s">
        <v>76</v>
      </c>
      <c r="D41" s="27" t="s">
        <v>89</v>
      </c>
      <c r="E41" s="12" t="s">
        <v>80</v>
      </c>
      <c r="G41" s="14" t="s">
        <v>130</v>
      </c>
      <c r="H41" s="14" t="s">
        <v>131</v>
      </c>
      <c r="I41" s="14" t="s">
        <v>132</v>
      </c>
      <c r="J41" s="22" t="s">
        <v>83</v>
      </c>
      <c r="K41" s="14" t="s">
        <v>72</v>
      </c>
      <c r="L41" s="23">
        <f>+SUMIFS(Input_shares!$L$2:$L$87,Input_shares!$C$2:$C$87,IND_Shares!$J41,Input_shares!$D$2:$D$87,IND_Shares!$K41)</f>
        <v>5.7439999999999998E-2</v>
      </c>
      <c r="M41" s="24">
        <f t="shared" si="9"/>
        <v>5.7439999999999998E-2</v>
      </c>
      <c r="N41" s="24">
        <f t="shared" si="9"/>
        <v>5.7439999999999998E-2</v>
      </c>
      <c r="O41" s="24">
        <f t="shared" si="9"/>
        <v>5.7439999999999998E-2</v>
      </c>
      <c r="P41" s="14">
        <v>5</v>
      </c>
      <c r="X41" s="22" t="str">
        <f t="shared" si="10"/>
        <v>I-DMD-WAP-E0</v>
      </c>
      <c r="Y41" s="22" t="s">
        <v>139</v>
      </c>
      <c r="Z41" s="14" t="s">
        <v>138</v>
      </c>
      <c r="AA41" s="34" t="str">
        <f>$AA$20</f>
        <v>UP</v>
      </c>
      <c r="AB41" s="35">
        <f>-L40</f>
        <v>-1.2120000000000001E-2</v>
      </c>
      <c r="AC41" s="35">
        <f>-M40</f>
        <v>-1.2120000000000001E-2</v>
      </c>
      <c r="AD41" s="35">
        <f>-N40</f>
        <v>-1.2120000000000001E-2</v>
      </c>
      <c r="AE41" s="35">
        <f>-O40</f>
        <v>-1.2120000000000001E-2</v>
      </c>
    </row>
    <row r="42" spans="2:33" x14ac:dyDescent="0.35">
      <c r="B42" s="17" t="s">
        <v>104</v>
      </c>
      <c r="C42" s="18"/>
      <c r="D42" s="18"/>
      <c r="E42" s="18"/>
      <c r="G42" s="14" t="s">
        <v>130</v>
      </c>
      <c r="H42" s="14" t="s">
        <v>131</v>
      </c>
      <c r="I42" s="14" t="s">
        <v>132</v>
      </c>
      <c r="J42" s="22" t="s">
        <v>83</v>
      </c>
      <c r="K42" s="14" t="s">
        <v>78</v>
      </c>
      <c r="L42" s="23">
        <f>+SUMIFS(Input_shares!$L$2:$L$87,Input_shares!$C$2:$C$87,IND_Shares!$J42,Input_shares!$D$2:$D$87,IND_Shares!$K42)</f>
        <v>0.14015</v>
      </c>
      <c r="M42" s="15"/>
      <c r="N42" s="15"/>
      <c r="O42" s="15"/>
      <c r="P42" s="14">
        <v>5</v>
      </c>
      <c r="V42" s="22" t="str">
        <f>"UC_Mitigation_"&amp;$J$37&amp;"_MaxShare_GAS-BGS"</f>
        <v>UC_Mitigation_IWAP_MaxShare_GAS-BGS</v>
      </c>
      <c r="W42" s="22" t="str">
        <f>"Maximum share of Gas and Biogas in "&amp;$J$37</f>
        <v>Maximum share of Gas and Biogas in IWAP</v>
      </c>
      <c r="X42" s="22" t="str">
        <f t="shared" si="10"/>
        <v>I-DMD-WAP-E0</v>
      </c>
      <c r="Y42" s="22" t="str">
        <f>Y40</f>
        <v>IND*</v>
      </c>
      <c r="Z42" s="14" t="s">
        <v>138</v>
      </c>
      <c r="AA42" s="22" t="s">
        <v>131</v>
      </c>
      <c r="AB42" s="25">
        <f>1+AB43</f>
        <v>0.94255999999999995</v>
      </c>
      <c r="AC42" s="25">
        <f t="shared" ref="AC42" si="14">1+AC43</f>
        <v>0.94255999999999995</v>
      </c>
      <c r="AD42" s="25">
        <f t="shared" ref="AD42" si="15">1+AD43</f>
        <v>0.94255999999999995</v>
      </c>
      <c r="AE42" s="25">
        <f t="shared" ref="AE42" si="16">1+AE43</f>
        <v>0.94255999999999995</v>
      </c>
      <c r="AF42" s="8">
        <v>0</v>
      </c>
      <c r="AG42" s="8">
        <v>5</v>
      </c>
    </row>
    <row r="43" spans="2:33" x14ac:dyDescent="0.35">
      <c r="B43" s="8" t="s">
        <v>75</v>
      </c>
      <c r="C43" s="8" t="s">
        <v>76</v>
      </c>
      <c r="D43" s="22" t="s">
        <v>90</v>
      </c>
      <c r="E43" s="8" t="s">
        <v>109</v>
      </c>
      <c r="G43" s="14" t="s">
        <v>130</v>
      </c>
      <c r="H43" s="14" t="s">
        <v>131</v>
      </c>
      <c r="I43" s="14" t="s">
        <v>132</v>
      </c>
      <c r="J43" s="22" t="s">
        <v>83</v>
      </c>
      <c r="K43" s="14" t="s">
        <v>81</v>
      </c>
      <c r="L43" s="23">
        <f>+SUMIFS(Input_shares!$L$2:$L$87,Input_shares!$C$2:$C$87,IND_Shares!$J43,Input_shares!$D$2:$D$87,IND_Shares!$K43)</f>
        <v>0.78573000000000004</v>
      </c>
      <c r="M43" s="15"/>
      <c r="N43" s="15"/>
      <c r="O43" s="15"/>
      <c r="P43" s="14">
        <v>5</v>
      </c>
      <c r="X43" s="22" t="str">
        <f t="shared" si="10"/>
        <v>I-DMD-WAP-E0</v>
      </c>
      <c r="Y43" s="22" t="s">
        <v>141</v>
      </c>
      <c r="Z43" s="14" t="s">
        <v>138</v>
      </c>
      <c r="AA43" s="22" t="s">
        <v>131</v>
      </c>
      <c r="AB43" s="35">
        <f>-L41</f>
        <v>-5.7439999999999998E-2</v>
      </c>
      <c r="AC43" s="35">
        <f>-M41</f>
        <v>-5.7439999999999998E-2</v>
      </c>
      <c r="AD43" s="35">
        <f>-N41</f>
        <v>-5.7439999999999998E-2</v>
      </c>
      <c r="AE43" s="35">
        <f>-O41</f>
        <v>-5.7439999999999998E-2</v>
      </c>
    </row>
    <row r="44" spans="2:33" x14ac:dyDescent="0.35">
      <c r="B44" s="8" t="s">
        <v>75</v>
      </c>
      <c r="C44" s="8" t="s">
        <v>76</v>
      </c>
      <c r="D44" s="22" t="s">
        <v>90</v>
      </c>
      <c r="E44" s="8" t="s">
        <v>110</v>
      </c>
      <c r="G44" s="14" t="s">
        <v>130</v>
      </c>
      <c r="H44" s="14" t="s">
        <v>131</v>
      </c>
      <c r="I44" s="14" t="s">
        <v>132</v>
      </c>
      <c r="J44" s="22" t="s">
        <v>83</v>
      </c>
      <c r="K44" s="14" t="s">
        <v>109</v>
      </c>
      <c r="L44" s="24">
        <f>+SUMIFS(Input_shares!$L$2:$L$87,Input_shares!$C$2:$C$87,IND_Shares!$J44,Input_shares!$D$2:$D$87,IND_Shares!$K44)</f>
        <v>0</v>
      </c>
      <c r="M44" s="28">
        <f>M38*R44</f>
        <v>3.3500000000000001E-5</v>
      </c>
      <c r="N44" s="28">
        <f>N38*S44</f>
        <v>2.0100000000000001E-4</v>
      </c>
      <c r="O44" s="28">
        <f>O38*T44</f>
        <v>6.7000000000000002E-4</v>
      </c>
      <c r="P44" s="14">
        <v>5</v>
      </c>
      <c r="R44" s="29">
        <v>0.05</v>
      </c>
      <c r="S44" s="29">
        <v>0.3</v>
      </c>
      <c r="T44" s="29">
        <v>1</v>
      </c>
      <c r="V44" s="14" t="s">
        <v>129</v>
      </c>
    </row>
    <row r="45" spans="2:33" x14ac:dyDescent="0.35">
      <c r="B45" s="12" t="s">
        <v>75</v>
      </c>
      <c r="C45" s="12" t="s">
        <v>76</v>
      </c>
      <c r="D45" s="27" t="s">
        <v>90</v>
      </c>
      <c r="E45" s="12" t="s">
        <v>80</v>
      </c>
      <c r="G45" s="14" t="s">
        <v>130</v>
      </c>
      <c r="H45" s="14" t="s">
        <v>131</v>
      </c>
      <c r="I45" s="14" t="s">
        <v>132</v>
      </c>
      <c r="J45" s="22" t="s">
        <v>83</v>
      </c>
      <c r="K45" s="14" t="s">
        <v>110</v>
      </c>
      <c r="L45" s="24">
        <f>+SUMIFS(Input_shares!$L$2:$L$87,Input_shares!$C$2:$C$87,IND_Shares!$J45,Input_shares!$D$2:$D$87,IND_Shares!$K45)</f>
        <v>0</v>
      </c>
      <c r="M45" s="28">
        <f t="shared" ref="M45:O46" si="17">M40*R45</f>
        <v>6.0600000000000009E-4</v>
      </c>
      <c r="N45" s="28">
        <f t="shared" si="17"/>
        <v>3.6359999999999999E-3</v>
      </c>
      <c r="O45" s="28">
        <f t="shared" si="17"/>
        <v>1.2120000000000001E-2</v>
      </c>
      <c r="P45" s="14">
        <v>5</v>
      </c>
      <c r="R45" s="29">
        <v>0.05</v>
      </c>
      <c r="S45" s="29">
        <v>0.3</v>
      </c>
      <c r="T45" s="29">
        <v>1</v>
      </c>
      <c r="V45" s="14" t="s">
        <v>129</v>
      </c>
    </row>
    <row r="46" spans="2:33" x14ac:dyDescent="0.35">
      <c r="B46" s="17" t="s">
        <v>105</v>
      </c>
      <c r="C46" s="18"/>
      <c r="D46" s="18"/>
      <c r="E46" s="18"/>
      <c r="G46" s="30" t="s">
        <v>130</v>
      </c>
      <c r="H46" s="30" t="s">
        <v>131</v>
      </c>
      <c r="I46" s="30" t="s">
        <v>132</v>
      </c>
      <c r="J46" s="27" t="s">
        <v>83</v>
      </c>
      <c r="K46" s="30" t="s">
        <v>80</v>
      </c>
      <c r="L46" s="31">
        <f>+SUMIFS(Input_shares!$L$2:$L$87,Input_shares!$C$2:$C$87,IND_Shares!$J46,Input_shares!$D$2:$D$87,IND_Shares!$K46)</f>
        <v>0</v>
      </c>
      <c r="M46" s="32">
        <f t="shared" si="17"/>
        <v>2.872E-3</v>
      </c>
      <c r="N46" s="32">
        <f t="shared" si="17"/>
        <v>1.7231999999999997E-2</v>
      </c>
      <c r="O46" s="32">
        <f t="shared" si="17"/>
        <v>5.7439999999999998E-2</v>
      </c>
      <c r="P46" s="30">
        <v>5</v>
      </c>
      <c r="R46" s="29">
        <v>0.05</v>
      </c>
      <c r="S46" s="29">
        <v>0.3</v>
      </c>
      <c r="T46" s="29">
        <v>1</v>
      </c>
      <c r="V46" s="14" t="s">
        <v>129</v>
      </c>
      <c r="Z46" s="30"/>
    </row>
    <row r="47" spans="2:33" x14ac:dyDescent="0.35">
      <c r="B47" s="8" t="s">
        <v>75</v>
      </c>
      <c r="C47" s="8" t="s">
        <v>76</v>
      </c>
      <c r="D47" s="22" t="s">
        <v>91</v>
      </c>
      <c r="E47" s="8" t="s">
        <v>109</v>
      </c>
      <c r="G47" s="17" t="s">
        <v>99</v>
      </c>
      <c r="H47" s="17"/>
      <c r="I47" s="17"/>
      <c r="J47" s="17" t="s">
        <v>115</v>
      </c>
      <c r="K47" s="17"/>
      <c r="L47" s="33"/>
      <c r="M47" s="17"/>
      <c r="N47" s="17"/>
      <c r="O47" s="17"/>
      <c r="P47" s="17"/>
      <c r="V47" s="37" t="str">
        <f>G47</f>
        <v>*Pulp, paper, publishing and printing demand process</v>
      </c>
      <c r="W47" s="38"/>
      <c r="X47" s="38"/>
      <c r="Y47" s="38"/>
      <c r="Z47" s="18"/>
      <c r="AA47" s="38"/>
      <c r="AB47" s="39"/>
      <c r="AC47" s="39"/>
      <c r="AD47" s="39"/>
      <c r="AE47" s="39"/>
      <c r="AF47" s="38"/>
      <c r="AG47" s="38"/>
    </row>
    <row r="48" spans="2:33" x14ac:dyDescent="0.35">
      <c r="B48" s="8" t="s">
        <v>75</v>
      </c>
      <c r="C48" s="8" t="s">
        <v>76</v>
      </c>
      <c r="D48" s="22" t="s">
        <v>91</v>
      </c>
      <c r="E48" s="8" t="s">
        <v>110</v>
      </c>
      <c r="G48" s="14" t="s">
        <v>130</v>
      </c>
      <c r="H48" s="14" t="s">
        <v>131</v>
      </c>
      <c r="I48" s="14" t="s">
        <v>132</v>
      </c>
      <c r="J48" s="22" t="s">
        <v>84</v>
      </c>
      <c r="K48" s="14" t="s">
        <v>67</v>
      </c>
      <c r="L48" s="23">
        <f>+SUMIFS(Input_shares!$L$2:$L$87,Input_shares!$C$2:$C$87,IND_Shares!$J48,Input_shares!$D$2:$D$87,IND_Shares!$K48)</f>
        <v>2.5899999999999999E-3</v>
      </c>
      <c r="M48" s="24">
        <f>L48</f>
        <v>2.5899999999999999E-3</v>
      </c>
      <c r="N48" s="24">
        <f>M48</f>
        <v>2.5899999999999999E-3</v>
      </c>
      <c r="O48" s="24">
        <f>N48</f>
        <v>2.5899999999999999E-3</v>
      </c>
      <c r="P48" s="14">
        <v>5</v>
      </c>
      <c r="V48" s="22" t="str">
        <f>"UC_Mitigation_"&amp;$J$47&amp;"_MaxShare_KER-BKE"</f>
        <v>UC_Mitigation_IPX4_MaxShare_KER-BKE</v>
      </c>
      <c r="W48" s="22" t="str">
        <f>"Maximum share of kerosene and Biokerosene in "&amp;$J$47</f>
        <v>Maximum share of kerosene and Biokerosene in IPX4</v>
      </c>
      <c r="X48" s="22" t="str">
        <f>J48</f>
        <v>I-DMD-PX4-E0</v>
      </c>
      <c r="Y48" s="22" t="s">
        <v>136</v>
      </c>
      <c r="Z48" s="14" t="s">
        <v>138</v>
      </c>
      <c r="AA48" s="34" t="str">
        <f>$AA$20</f>
        <v>UP</v>
      </c>
      <c r="AB48" s="25">
        <f>1+AB49</f>
        <v>0.99741000000000002</v>
      </c>
      <c r="AC48" s="25">
        <f t="shared" ref="AC48:AE48" si="18">1+AC49</f>
        <v>0.99741000000000002</v>
      </c>
      <c r="AD48" s="25">
        <f t="shared" si="18"/>
        <v>0.99741000000000002</v>
      </c>
      <c r="AE48" s="25">
        <f t="shared" si="18"/>
        <v>0.99741000000000002</v>
      </c>
      <c r="AF48" s="8">
        <v>0</v>
      </c>
      <c r="AG48" s="8">
        <v>5</v>
      </c>
    </row>
    <row r="49" spans="2:33" x14ac:dyDescent="0.35">
      <c r="B49" s="12" t="s">
        <v>75</v>
      </c>
      <c r="C49" s="12" t="s">
        <v>76</v>
      </c>
      <c r="D49" s="27" t="s">
        <v>91</v>
      </c>
      <c r="E49" s="12" t="s">
        <v>80</v>
      </c>
      <c r="G49" s="14" t="s">
        <v>130</v>
      </c>
      <c r="H49" s="14" t="s">
        <v>131</v>
      </c>
      <c r="I49" s="14" t="s">
        <v>132</v>
      </c>
      <c r="J49" s="22" t="s">
        <v>84</v>
      </c>
      <c r="K49" s="14" t="s">
        <v>69</v>
      </c>
      <c r="L49" s="23">
        <f>+SUMIFS(Input_shares!$L$2:$L$87,Input_shares!$C$2:$C$87,IND_Shares!$J49,Input_shares!$D$2:$D$87,IND_Shares!$K49)</f>
        <v>2.7470000000000001E-2</v>
      </c>
      <c r="M49" s="15"/>
      <c r="N49" s="15"/>
      <c r="O49" s="15"/>
      <c r="P49" s="14">
        <v>5</v>
      </c>
      <c r="X49" s="34" t="str">
        <f>X48</f>
        <v>I-DMD-PX4-E0</v>
      </c>
      <c r="Y49" s="22" t="s">
        <v>140</v>
      </c>
      <c r="Z49" s="14" t="s">
        <v>138</v>
      </c>
      <c r="AA49" s="34" t="str">
        <f>$AA$20</f>
        <v>UP</v>
      </c>
      <c r="AB49" s="35">
        <f>-L48</f>
        <v>-2.5899999999999999E-3</v>
      </c>
      <c r="AC49" s="35">
        <f>-M48</f>
        <v>-2.5899999999999999E-3</v>
      </c>
      <c r="AD49" s="35">
        <f>-N48</f>
        <v>-2.5899999999999999E-3</v>
      </c>
      <c r="AE49" s="35">
        <f>-O48</f>
        <v>-2.5899999999999999E-3</v>
      </c>
    </row>
    <row r="50" spans="2:33" x14ac:dyDescent="0.35">
      <c r="B50" s="17" t="s">
        <v>106</v>
      </c>
      <c r="C50" s="18"/>
      <c r="D50" s="18"/>
      <c r="E50" s="18"/>
      <c r="G50" s="14" t="s">
        <v>130</v>
      </c>
      <c r="H50" s="14" t="s">
        <v>131</v>
      </c>
      <c r="I50" s="14" t="s">
        <v>132</v>
      </c>
      <c r="J50" s="22" t="s">
        <v>84</v>
      </c>
      <c r="K50" s="14" t="s">
        <v>70</v>
      </c>
      <c r="L50" s="23">
        <f>+SUMIFS(Input_shares!$L$2:$L$87,Input_shares!$C$2:$C$87,IND_Shares!$J50,Input_shares!$D$2:$D$87,IND_Shares!$K50)</f>
        <v>2.1319999999999999E-2</v>
      </c>
      <c r="M50" s="24">
        <f t="shared" ref="M50:O51" si="19">L50</f>
        <v>2.1319999999999999E-2</v>
      </c>
      <c r="N50" s="24">
        <f t="shared" si="19"/>
        <v>2.1319999999999999E-2</v>
      </c>
      <c r="O50" s="24">
        <f t="shared" si="19"/>
        <v>2.1319999999999999E-2</v>
      </c>
      <c r="P50" s="14">
        <v>5</v>
      </c>
      <c r="V50" s="22" t="str">
        <f>"UC_Mitigation_"&amp;$J$47&amp;"_MaxShare_DST-BDS"</f>
        <v>UC_Mitigation_IPX4_MaxShare_DST-BDS</v>
      </c>
      <c r="W50" s="22" t="str">
        <f>"Maximum share of Diesel and Biodiesel in "&amp;$J$47</f>
        <v>Maximum share of Diesel and Biodiesel in IPX4</v>
      </c>
      <c r="X50" s="34" t="str">
        <f>X49</f>
        <v>I-DMD-PX4-E0</v>
      </c>
      <c r="Y50" s="22" t="str">
        <f>Y48</f>
        <v>IND*</v>
      </c>
      <c r="Z50" s="14" t="s">
        <v>138</v>
      </c>
      <c r="AA50" s="34" t="str">
        <f>$AA$20</f>
        <v>UP</v>
      </c>
      <c r="AB50" s="25">
        <f>1+AB51</f>
        <v>0.97867999999999999</v>
      </c>
      <c r="AC50" s="25">
        <f t="shared" ref="AC50" si="20">1+AC51</f>
        <v>0.97867999999999999</v>
      </c>
      <c r="AD50" s="25">
        <f t="shared" ref="AD50" si="21">1+AD51</f>
        <v>0.97867999999999999</v>
      </c>
      <c r="AE50" s="25">
        <f t="shared" ref="AE50" si="22">1+AE51</f>
        <v>0.97867999999999999</v>
      </c>
      <c r="AF50" s="8">
        <v>0</v>
      </c>
      <c r="AG50" s="8">
        <v>5</v>
      </c>
    </row>
    <row r="51" spans="2:33" x14ac:dyDescent="0.35">
      <c r="B51" s="8" t="s">
        <v>75</v>
      </c>
      <c r="C51" s="8" t="s">
        <v>76</v>
      </c>
      <c r="D51" s="22" t="s">
        <v>92</v>
      </c>
      <c r="E51" s="8" t="s">
        <v>109</v>
      </c>
      <c r="G51" s="14" t="s">
        <v>130</v>
      </c>
      <c r="H51" s="14" t="s">
        <v>131</v>
      </c>
      <c r="I51" s="14" t="s">
        <v>132</v>
      </c>
      <c r="J51" s="22" t="s">
        <v>84</v>
      </c>
      <c r="K51" s="14" t="s">
        <v>72</v>
      </c>
      <c r="L51" s="23">
        <f>+SUMIFS(Input_shares!$L$2:$L$87,Input_shares!$C$2:$C$87,IND_Shares!$J51,Input_shares!$D$2:$D$87,IND_Shares!$K51)</f>
        <v>0.48913000000000001</v>
      </c>
      <c r="M51" s="24">
        <f t="shared" si="19"/>
        <v>0.48913000000000001</v>
      </c>
      <c r="N51" s="24">
        <f t="shared" si="19"/>
        <v>0.48913000000000001</v>
      </c>
      <c r="O51" s="24">
        <f t="shared" si="19"/>
        <v>0.48913000000000001</v>
      </c>
      <c r="P51" s="14">
        <v>5</v>
      </c>
      <c r="X51" s="34" t="str">
        <f>X50</f>
        <v>I-DMD-PX4-E0</v>
      </c>
      <c r="Y51" s="22" t="s">
        <v>139</v>
      </c>
      <c r="Z51" s="14" t="s">
        <v>138</v>
      </c>
      <c r="AA51" s="34" t="str">
        <f>$AA$20</f>
        <v>UP</v>
      </c>
      <c r="AB51" s="35">
        <f>-L50</f>
        <v>-2.1319999999999999E-2</v>
      </c>
      <c r="AC51" s="35">
        <f>-M50</f>
        <v>-2.1319999999999999E-2</v>
      </c>
      <c r="AD51" s="35">
        <f>-N50</f>
        <v>-2.1319999999999999E-2</v>
      </c>
      <c r="AE51" s="35">
        <f>-O50</f>
        <v>-2.1319999999999999E-2</v>
      </c>
    </row>
    <row r="52" spans="2:33" x14ac:dyDescent="0.35">
      <c r="B52" s="8" t="s">
        <v>75</v>
      </c>
      <c r="C52" s="8" t="s">
        <v>76</v>
      </c>
      <c r="D52" s="22" t="s">
        <v>92</v>
      </c>
      <c r="E52" s="8" t="s">
        <v>110</v>
      </c>
      <c r="G52" s="14" t="s">
        <v>130</v>
      </c>
      <c r="H52" s="14" t="s">
        <v>131</v>
      </c>
      <c r="I52" s="14" t="s">
        <v>132</v>
      </c>
      <c r="J52" s="22" t="s">
        <v>84</v>
      </c>
      <c r="K52" s="14" t="s">
        <v>78</v>
      </c>
      <c r="L52" s="23">
        <f>+SUMIFS(Input_shares!$L$2:$L$87,Input_shares!$C$2:$C$87,IND_Shares!$J52,Input_shares!$D$2:$D$87,IND_Shares!$K52)</f>
        <v>0.45951999999999998</v>
      </c>
      <c r="M52" s="15"/>
      <c r="N52" s="15"/>
      <c r="O52" s="15"/>
      <c r="P52" s="14">
        <v>5</v>
      </c>
      <c r="V52" s="22" t="str">
        <f>"UC_Mitigation_"&amp;$J$47&amp;"_MaxShare_GAS-BGS"</f>
        <v>UC_Mitigation_IPX4_MaxShare_GAS-BGS</v>
      </c>
      <c r="W52" s="22" t="str">
        <f>"Maximum share of Gas and Biogas in "&amp;$J$47</f>
        <v>Maximum share of Gas and Biogas in IPX4</v>
      </c>
      <c r="X52" s="34" t="str">
        <f>X51</f>
        <v>I-DMD-PX4-E0</v>
      </c>
      <c r="Y52" s="22" t="str">
        <f>Y50</f>
        <v>IND*</v>
      </c>
      <c r="Z52" s="14" t="s">
        <v>138</v>
      </c>
      <c r="AA52" s="22" t="s">
        <v>131</v>
      </c>
      <c r="AB52" s="25">
        <f>1+AB53</f>
        <v>0.51086999999999994</v>
      </c>
      <c r="AC52" s="25">
        <f t="shared" ref="AC52" si="23">1+AC53</f>
        <v>0.51086999999999994</v>
      </c>
      <c r="AD52" s="25">
        <f t="shared" ref="AD52" si="24">1+AD53</f>
        <v>0.51086999999999994</v>
      </c>
      <c r="AE52" s="25">
        <f t="shared" ref="AE52" si="25">1+AE53</f>
        <v>0.51086999999999994</v>
      </c>
      <c r="AF52" s="8">
        <v>0</v>
      </c>
      <c r="AG52" s="8">
        <v>5</v>
      </c>
    </row>
    <row r="53" spans="2:33" x14ac:dyDescent="0.35">
      <c r="B53" s="12" t="s">
        <v>75</v>
      </c>
      <c r="C53" s="12" t="s">
        <v>76</v>
      </c>
      <c r="D53" s="27" t="s">
        <v>92</v>
      </c>
      <c r="E53" s="12" t="s">
        <v>80</v>
      </c>
      <c r="G53" s="14" t="s">
        <v>130</v>
      </c>
      <c r="H53" s="14" t="s">
        <v>131</v>
      </c>
      <c r="I53" s="14" t="s">
        <v>132</v>
      </c>
      <c r="J53" s="22" t="s">
        <v>84</v>
      </c>
      <c r="K53" s="14" t="s">
        <v>109</v>
      </c>
      <c r="L53" s="24">
        <f>+SUMIFS(Input_shares!$L$2:$L$87,Input_shares!$C$2:$C$87,IND_Shares!$J53,Input_shares!$D$2:$D$87,IND_Shares!$K53)</f>
        <v>0</v>
      </c>
      <c r="M53" s="28">
        <f>M48*R53</f>
        <v>1.295E-4</v>
      </c>
      <c r="N53" s="28">
        <f>N48*S53</f>
        <v>7.7699999999999991E-4</v>
      </c>
      <c r="O53" s="28">
        <f>O48*T53</f>
        <v>2.5899999999999999E-3</v>
      </c>
      <c r="P53" s="14">
        <v>5</v>
      </c>
      <c r="R53" s="29">
        <v>0.05</v>
      </c>
      <c r="S53" s="29">
        <v>0.3</v>
      </c>
      <c r="T53" s="29">
        <v>1</v>
      </c>
      <c r="X53" s="34" t="str">
        <f>X52</f>
        <v>I-DMD-PX4-E0</v>
      </c>
      <c r="Y53" s="22" t="s">
        <v>141</v>
      </c>
      <c r="Z53" s="14" t="s">
        <v>138</v>
      </c>
      <c r="AA53" s="22" t="s">
        <v>131</v>
      </c>
      <c r="AB53" s="40">
        <f>-L51</f>
        <v>-0.48913000000000001</v>
      </c>
      <c r="AC53" s="40">
        <f>-M51</f>
        <v>-0.48913000000000001</v>
      </c>
      <c r="AD53" s="40">
        <f>-N51</f>
        <v>-0.48913000000000001</v>
      </c>
      <c r="AE53" s="40">
        <f>-O51</f>
        <v>-0.48913000000000001</v>
      </c>
    </row>
    <row r="54" spans="2:33" x14ac:dyDescent="0.35">
      <c r="B54" s="17" t="s">
        <v>107</v>
      </c>
      <c r="C54" s="18"/>
      <c r="D54" s="18"/>
      <c r="E54" s="18"/>
      <c r="G54" s="14" t="s">
        <v>130</v>
      </c>
      <c r="H54" s="14" t="s">
        <v>131</v>
      </c>
      <c r="I54" s="14" t="s">
        <v>132</v>
      </c>
      <c r="J54" s="22" t="s">
        <v>84</v>
      </c>
      <c r="K54" s="14" t="s">
        <v>110</v>
      </c>
      <c r="L54" s="24">
        <f>+SUMIFS(Input_shares!$L$2:$L$87,Input_shares!$C$2:$C$87,IND_Shares!$J54,Input_shares!$D$2:$D$87,IND_Shares!$K54)</f>
        <v>0</v>
      </c>
      <c r="M54" s="28">
        <f t="shared" ref="M54:O55" si="26">M50*R54</f>
        <v>1.0659999999999999E-3</v>
      </c>
      <c r="N54" s="28">
        <f t="shared" si="26"/>
        <v>6.3959999999999998E-3</v>
      </c>
      <c r="O54" s="28">
        <f t="shared" si="26"/>
        <v>2.1319999999999999E-2</v>
      </c>
      <c r="P54" s="14">
        <v>5</v>
      </c>
      <c r="R54" s="29">
        <v>0.05</v>
      </c>
      <c r="S54" s="29">
        <v>0.3</v>
      </c>
      <c r="T54" s="29">
        <v>1</v>
      </c>
      <c r="V54" s="14" t="s">
        <v>129</v>
      </c>
    </row>
    <row r="55" spans="2:33" x14ac:dyDescent="0.35">
      <c r="B55" s="8" t="s">
        <v>75</v>
      </c>
      <c r="C55" s="8" t="s">
        <v>76</v>
      </c>
      <c r="D55" s="22" t="s">
        <v>93</v>
      </c>
      <c r="E55" s="8" t="s">
        <v>109</v>
      </c>
      <c r="G55" s="30" t="s">
        <v>130</v>
      </c>
      <c r="H55" s="30" t="s">
        <v>131</v>
      </c>
      <c r="I55" s="30" t="s">
        <v>132</v>
      </c>
      <c r="J55" s="27" t="s">
        <v>84</v>
      </c>
      <c r="K55" s="30" t="s">
        <v>80</v>
      </c>
      <c r="L55" s="31">
        <f>+SUMIFS(Input_shares!$L$2:$L$87,Input_shares!$C$2:$C$87,IND_Shares!$J55,Input_shares!$D$2:$D$87,IND_Shares!$K55)</f>
        <v>0</v>
      </c>
      <c r="M55" s="32">
        <f t="shared" si="26"/>
        <v>2.4456500000000003E-2</v>
      </c>
      <c r="N55" s="32">
        <f t="shared" si="26"/>
        <v>0.14673900000000001</v>
      </c>
      <c r="O55" s="32">
        <f t="shared" si="26"/>
        <v>0.48913000000000001</v>
      </c>
      <c r="P55" s="30">
        <v>5</v>
      </c>
      <c r="R55" s="29">
        <v>0.05</v>
      </c>
      <c r="S55" s="29">
        <v>0.3</v>
      </c>
      <c r="T55" s="29">
        <v>1</v>
      </c>
      <c r="V55" s="14" t="s">
        <v>129</v>
      </c>
      <c r="Z55" s="30"/>
    </row>
    <row r="56" spans="2:33" x14ac:dyDescent="0.35">
      <c r="B56" s="8" t="s">
        <v>75</v>
      </c>
      <c r="C56" s="8" t="s">
        <v>76</v>
      </c>
      <c r="D56" s="22" t="s">
        <v>93</v>
      </c>
      <c r="E56" s="8" t="s">
        <v>110</v>
      </c>
      <c r="G56" s="17" t="s">
        <v>100</v>
      </c>
      <c r="H56" s="17"/>
      <c r="I56" s="17"/>
      <c r="J56" s="17" t="s">
        <v>116</v>
      </c>
      <c r="K56" s="17"/>
      <c r="L56" s="33"/>
      <c r="M56" s="17"/>
      <c r="N56" s="17"/>
      <c r="O56" s="17"/>
      <c r="P56" s="17"/>
      <c r="V56" s="37" t="str">
        <f>G56</f>
        <v>*Chemicals and man-made fibres demand process</v>
      </c>
      <c r="W56" s="38"/>
      <c r="X56" s="38"/>
      <c r="Y56" s="38"/>
      <c r="Z56" s="18"/>
      <c r="AA56" s="38"/>
      <c r="AB56" s="39"/>
      <c r="AC56" s="39"/>
      <c r="AD56" s="39"/>
      <c r="AE56" s="39"/>
      <c r="AF56" s="38"/>
      <c r="AG56" s="38"/>
    </row>
    <row r="57" spans="2:33" x14ac:dyDescent="0.35">
      <c r="B57" s="12" t="s">
        <v>75</v>
      </c>
      <c r="C57" s="12" t="s">
        <v>76</v>
      </c>
      <c r="D57" s="27" t="s">
        <v>93</v>
      </c>
      <c r="E57" s="12" t="s">
        <v>80</v>
      </c>
      <c r="G57" s="14" t="s">
        <v>130</v>
      </c>
      <c r="H57" s="14" t="s">
        <v>131</v>
      </c>
      <c r="I57" s="14" t="s">
        <v>132</v>
      </c>
      <c r="J57" s="22" t="s">
        <v>85</v>
      </c>
      <c r="K57" s="14" t="s">
        <v>67</v>
      </c>
      <c r="L57" s="23">
        <f>+SUMIFS(Input_shares!$L$2:$L$87,Input_shares!$C$2:$C$87,IND_Shares!$J57,Input_shares!$D$2:$D$87,IND_Shares!$K57)</f>
        <v>1.48E-3</v>
      </c>
      <c r="M57" s="24">
        <f>L57</f>
        <v>1.48E-3</v>
      </c>
      <c r="N57" s="24">
        <f>M57</f>
        <v>1.48E-3</v>
      </c>
      <c r="O57" s="24">
        <f>N57</f>
        <v>1.48E-3</v>
      </c>
      <c r="P57" s="14">
        <v>5</v>
      </c>
      <c r="V57" s="22" t="str">
        <f>"UC_Mitigation_"&amp;$J$56&amp;"_MaxShare_KER-BKE"</f>
        <v>UC_Mitigation_ICAF_MaxShare_KER-BKE</v>
      </c>
      <c r="W57" s="22" t="str">
        <f>"Maximum share of kerosene and Biokerosene in "&amp;$J$56</f>
        <v>Maximum share of kerosene and Biokerosene in ICAF</v>
      </c>
      <c r="X57" s="22" t="str">
        <f>J57</f>
        <v>I-DMD-CAF-E0</v>
      </c>
      <c r="Y57" s="22" t="s">
        <v>136</v>
      </c>
      <c r="Z57" s="14" t="s">
        <v>138</v>
      </c>
      <c r="AA57" s="34" t="str">
        <f>$AA$20</f>
        <v>UP</v>
      </c>
      <c r="AB57" s="25">
        <f>1+AB58</f>
        <v>0.99851999999999996</v>
      </c>
      <c r="AC57" s="25">
        <f t="shared" ref="AC57:AE57" si="27">1+AC58</f>
        <v>0.99851999999999996</v>
      </c>
      <c r="AD57" s="25">
        <f t="shared" si="27"/>
        <v>0.99851999999999996</v>
      </c>
      <c r="AE57" s="25">
        <f t="shared" si="27"/>
        <v>0.99851999999999996</v>
      </c>
      <c r="AF57" s="8">
        <v>0</v>
      </c>
      <c r="AG57" s="8">
        <v>5</v>
      </c>
    </row>
    <row r="58" spans="2:33" x14ac:dyDescent="0.35">
      <c r="B58" s="17" t="s">
        <v>108</v>
      </c>
      <c r="C58" s="18"/>
      <c r="D58" s="18"/>
      <c r="E58" s="18"/>
      <c r="G58" s="14" t="s">
        <v>130</v>
      </c>
      <c r="H58" s="14" t="s">
        <v>131</v>
      </c>
      <c r="I58" s="14" t="s">
        <v>132</v>
      </c>
      <c r="J58" s="22" t="s">
        <v>85</v>
      </c>
      <c r="K58" s="14" t="s">
        <v>68</v>
      </c>
      <c r="L58" s="23">
        <f>+SUMIFS(Input_shares!$L$2:$L$87,Input_shares!$C$2:$C$87,IND_Shares!$J58,Input_shares!$D$2:$D$87,IND_Shares!$K58)</f>
        <v>5.1799999999999997E-3</v>
      </c>
      <c r="M58" s="15"/>
      <c r="N58" s="15"/>
      <c r="O58" s="15"/>
      <c r="P58" s="14">
        <v>5</v>
      </c>
      <c r="X58" s="34" t="str">
        <f>X57</f>
        <v>I-DMD-CAF-E0</v>
      </c>
      <c r="Y58" s="22" t="s">
        <v>140</v>
      </c>
      <c r="Z58" s="14" t="s">
        <v>138</v>
      </c>
      <c r="AA58" s="34" t="str">
        <f>$AA$20</f>
        <v>UP</v>
      </c>
      <c r="AB58" s="35">
        <f>-L57</f>
        <v>-1.48E-3</v>
      </c>
      <c r="AC58" s="35">
        <f>-M57</f>
        <v>-1.48E-3</v>
      </c>
      <c r="AD58" s="35">
        <f>-N57</f>
        <v>-1.48E-3</v>
      </c>
      <c r="AE58" s="35">
        <f>-O57</f>
        <v>-1.48E-3</v>
      </c>
    </row>
    <row r="59" spans="2:33" x14ac:dyDescent="0.35">
      <c r="B59" s="8" t="s">
        <v>75</v>
      </c>
      <c r="C59" s="8" t="s">
        <v>76</v>
      </c>
      <c r="D59" s="22" t="s">
        <v>94</v>
      </c>
      <c r="E59" s="8" t="s">
        <v>109</v>
      </c>
      <c r="G59" s="14" t="s">
        <v>130</v>
      </c>
      <c r="H59" s="14" t="s">
        <v>131</v>
      </c>
      <c r="I59" s="14" t="s">
        <v>132</v>
      </c>
      <c r="J59" s="22" t="s">
        <v>85</v>
      </c>
      <c r="K59" s="14" t="s">
        <v>69</v>
      </c>
      <c r="L59" s="23">
        <f>+SUMIFS(Input_shares!$L$2:$L$87,Input_shares!$C$2:$C$87,IND_Shares!$J59,Input_shares!$D$2:$D$87,IND_Shares!$K59)</f>
        <v>1.566E-2</v>
      </c>
      <c r="M59" s="15"/>
      <c r="N59" s="15"/>
      <c r="O59" s="15"/>
      <c r="P59" s="14">
        <v>5</v>
      </c>
      <c r="V59" s="22" t="str">
        <f>"UC_Mitigation_"&amp;$J$56&amp;"_MaxShare_DST-BDS"</f>
        <v>UC_Mitigation_ICAF_MaxShare_DST-BDS</v>
      </c>
      <c r="W59" s="22" t="str">
        <f>"Maximum share of Diesel and Biodiesel in "&amp;$J$56</f>
        <v>Maximum share of Diesel and Biodiesel in ICAF</v>
      </c>
      <c r="X59" s="34" t="str">
        <f t="shared" ref="X59:X62" si="28">X58</f>
        <v>I-DMD-CAF-E0</v>
      </c>
      <c r="Y59" s="22" t="str">
        <f>Y57</f>
        <v>IND*</v>
      </c>
      <c r="Z59" s="14" t="s">
        <v>138</v>
      </c>
      <c r="AA59" s="34" t="str">
        <f>$AA$20</f>
        <v>UP</v>
      </c>
      <c r="AB59" s="25">
        <f>1+AB60</f>
        <v>0.98172999999999999</v>
      </c>
      <c r="AC59" s="25">
        <f t="shared" ref="AC59" si="29">1+AC60</f>
        <v>0.98172999999999999</v>
      </c>
      <c r="AD59" s="25">
        <f t="shared" ref="AD59" si="30">1+AD60</f>
        <v>0.98172999999999999</v>
      </c>
      <c r="AE59" s="25">
        <f t="shared" ref="AE59" si="31">1+AE60</f>
        <v>0.98172999999999999</v>
      </c>
      <c r="AF59" s="8">
        <v>0</v>
      </c>
      <c r="AG59" s="8">
        <v>5</v>
      </c>
    </row>
    <row r="60" spans="2:33" x14ac:dyDescent="0.35">
      <c r="B60" s="8" t="s">
        <v>75</v>
      </c>
      <c r="C60" s="8" t="s">
        <v>76</v>
      </c>
      <c r="D60" s="22" t="s">
        <v>94</v>
      </c>
      <c r="E60" s="8" t="s">
        <v>110</v>
      </c>
      <c r="G60" s="14" t="s">
        <v>130</v>
      </c>
      <c r="H60" s="14" t="s">
        <v>131</v>
      </c>
      <c r="I60" s="14" t="s">
        <v>132</v>
      </c>
      <c r="J60" s="22" t="s">
        <v>85</v>
      </c>
      <c r="K60" s="14" t="s">
        <v>70</v>
      </c>
      <c r="L60" s="23">
        <f>+SUMIFS(Input_shares!$L$2:$L$87,Input_shares!$C$2:$C$87,IND_Shares!$J60,Input_shares!$D$2:$D$87,IND_Shares!$K60)</f>
        <v>1.8270000000000002E-2</v>
      </c>
      <c r="M60" s="24">
        <f>L60</f>
        <v>1.8270000000000002E-2</v>
      </c>
      <c r="N60" s="24">
        <f>M60</f>
        <v>1.8270000000000002E-2</v>
      </c>
      <c r="O60" s="24">
        <f>N60</f>
        <v>1.8270000000000002E-2</v>
      </c>
      <c r="P60" s="14">
        <v>5</v>
      </c>
      <c r="X60" s="34" t="str">
        <f t="shared" si="28"/>
        <v>I-DMD-CAF-E0</v>
      </c>
      <c r="Y60" s="22" t="s">
        <v>139</v>
      </c>
      <c r="Z60" s="14" t="s">
        <v>138</v>
      </c>
      <c r="AA60" s="34" t="str">
        <f>$AA$20</f>
        <v>UP</v>
      </c>
      <c r="AB60" s="35">
        <f>-L60</f>
        <v>-1.8270000000000002E-2</v>
      </c>
      <c r="AC60" s="35">
        <f>-M60</f>
        <v>-1.8270000000000002E-2</v>
      </c>
      <c r="AD60" s="35">
        <f>-N60</f>
        <v>-1.8270000000000002E-2</v>
      </c>
      <c r="AE60" s="35">
        <f>-O60</f>
        <v>-1.8270000000000002E-2</v>
      </c>
    </row>
    <row r="61" spans="2:33" x14ac:dyDescent="0.35">
      <c r="B61" s="8" t="s">
        <v>75</v>
      </c>
      <c r="C61" s="8" t="s">
        <v>76</v>
      </c>
      <c r="D61" s="22" t="s">
        <v>94</v>
      </c>
      <c r="E61" s="8" t="s">
        <v>80</v>
      </c>
      <c r="G61" s="14" t="s">
        <v>130</v>
      </c>
      <c r="H61" s="14" t="s">
        <v>131</v>
      </c>
      <c r="I61" s="14" t="s">
        <v>132</v>
      </c>
      <c r="J61" s="22" t="s">
        <v>85</v>
      </c>
      <c r="K61" s="14" t="s">
        <v>71</v>
      </c>
      <c r="L61" s="23">
        <f>+SUMIFS(Input_shares!$L$2:$L$87,Input_shares!$C$2:$C$87,IND_Shares!$J61,Input_shares!$D$2:$D$87,IND_Shares!$K61)</f>
        <v>3.0960000000000001E-2</v>
      </c>
      <c r="M61" s="15"/>
      <c r="N61" s="15"/>
      <c r="O61" s="15"/>
      <c r="P61" s="14">
        <v>5</v>
      </c>
      <c r="V61" s="22" t="str">
        <f>"UC_Mitigation_"&amp;$J$56&amp;"_MaxShare_GAS-BGS"</f>
        <v>UC_Mitigation_ICAF_MaxShare_GAS-BGS</v>
      </c>
      <c r="W61" s="22" t="str">
        <f>"Maximum share of Gas and Biogas in "&amp;$J$56</f>
        <v>Maximum share of Gas and Biogas in ICAF</v>
      </c>
      <c r="X61" s="34" t="str">
        <f t="shared" si="28"/>
        <v>I-DMD-CAF-E0</v>
      </c>
      <c r="Y61" s="22" t="str">
        <f>Y59</f>
        <v>IND*</v>
      </c>
      <c r="Z61" s="14" t="s">
        <v>138</v>
      </c>
      <c r="AA61" s="22" t="s">
        <v>131</v>
      </c>
      <c r="AB61" s="25">
        <f>1+AB62</f>
        <v>0.43579000000000001</v>
      </c>
      <c r="AC61" s="25">
        <f t="shared" ref="AC61" si="32">1+AC62</f>
        <v>0.43579000000000001</v>
      </c>
      <c r="AD61" s="25">
        <f t="shared" ref="AD61" si="33">1+AD62</f>
        <v>0.43579000000000001</v>
      </c>
      <c r="AE61" s="25">
        <f t="shared" ref="AE61" si="34">1+AE62</f>
        <v>0.43579000000000001</v>
      </c>
      <c r="AF61" s="8">
        <v>0</v>
      </c>
      <c r="AG61" s="8">
        <v>5</v>
      </c>
    </row>
    <row r="62" spans="2:33" x14ac:dyDescent="0.35">
      <c r="E62" s="8"/>
      <c r="G62" s="14" t="s">
        <v>130</v>
      </c>
      <c r="H62" s="14" t="s">
        <v>131</v>
      </c>
      <c r="I62" s="14" t="s">
        <v>132</v>
      </c>
      <c r="J62" s="22" t="s">
        <v>85</v>
      </c>
      <c r="K62" s="14" t="s">
        <v>72</v>
      </c>
      <c r="L62" s="23">
        <f>+SUMIFS(Input_shares!$L$2:$L$87,Input_shares!$C$2:$C$87,IND_Shares!$J62,Input_shares!$D$2:$D$87,IND_Shares!$K62)</f>
        <v>0.56420999999999999</v>
      </c>
      <c r="M62" s="24">
        <f>L62</f>
        <v>0.56420999999999999</v>
      </c>
      <c r="N62" s="24">
        <f>M62</f>
        <v>0.56420999999999999</v>
      </c>
      <c r="O62" s="24">
        <f>N62</f>
        <v>0.56420999999999999</v>
      </c>
      <c r="P62" s="14">
        <v>5</v>
      </c>
      <c r="X62" s="34" t="str">
        <f t="shared" si="28"/>
        <v>I-DMD-CAF-E0</v>
      </c>
      <c r="Y62" s="22" t="s">
        <v>141</v>
      </c>
      <c r="Z62" s="14" t="s">
        <v>138</v>
      </c>
      <c r="AA62" s="22" t="s">
        <v>131</v>
      </c>
      <c r="AB62" s="40">
        <f>-L62</f>
        <v>-0.56420999999999999</v>
      </c>
      <c r="AC62" s="40">
        <f>-M62</f>
        <v>-0.56420999999999999</v>
      </c>
      <c r="AD62" s="40">
        <f>-N62</f>
        <v>-0.56420999999999999</v>
      </c>
      <c r="AE62" s="40">
        <f>-O62</f>
        <v>-0.56420999999999999</v>
      </c>
    </row>
    <row r="63" spans="2:33" x14ac:dyDescent="0.35">
      <c r="E63" s="8"/>
      <c r="G63" s="14" t="s">
        <v>130</v>
      </c>
      <c r="H63" s="14" t="s">
        <v>131</v>
      </c>
      <c r="I63" s="14" t="s">
        <v>132</v>
      </c>
      <c r="J63" s="22" t="s">
        <v>85</v>
      </c>
      <c r="K63" s="14" t="s">
        <v>78</v>
      </c>
      <c r="L63" s="23">
        <f>+SUMIFS(Input_shares!$L$2:$L$87,Input_shares!$C$2:$C$87,IND_Shares!$J63,Input_shares!$D$2:$D$87,IND_Shares!$K63)</f>
        <v>0.36426999999999998</v>
      </c>
      <c r="M63" s="15"/>
      <c r="N63" s="15"/>
      <c r="O63" s="15"/>
      <c r="P63" s="14">
        <v>5</v>
      </c>
      <c r="V63" s="14" t="s">
        <v>129</v>
      </c>
    </row>
    <row r="64" spans="2:33" x14ac:dyDescent="0.35">
      <c r="G64" s="14" t="s">
        <v>130</v>
      </c>
      <c r="H64" s="14" t="s">
        <v>131</v>
      </c>
      <c r="I64" s="14" t="s">
        <v>132</v>
      </c>
      <c r="J64" s="22" t="s">
        <v>85</v>
      </c>
      <c r="K64" s="14" t="s">
        <v>109</v>
      </c>
      <c r="L64" s="24">
        <f>+SUMIFS(Input_shares!$L$2:$L$87,Input_shares!$C$2:$C$87,IND_Shares!$J64,Input_shares!$D$2:$D$87,IND_Shares!$K64)</f>
        <v>0</v>
      </c>
      <c r="M64" s="28">
        <f>M57*R64</f>
        <v>7.400000000000001E-5</v>
      </c>
      <c r="N64" s="28">
        <f>N57*S64</f>
        <v>4.4399999999999995E-4</v>
      </c>
      <c r="O64" s="28">
        <f>O57*T64</f>
        <v>1.48E-3</v>
      </c>
      <c r="P64" s="14">
        <v>5</v>
      </c>
      <c r="R64" s="29">
        <v>0.05</v>
      </c>
      <c r="S64" s="29">
        <v>0.3</v>
      </c>
      <c r="T64" s="29">
        <v>1</v>
      </c>
      <c r="V64" s="14" t="s">
        <v>129</v>
      </c>
    </row>
    <row r="65" spans="7:33" x14ac:dyDescent="0.35">
      <c r="G65" s="14" t="s">
        <v>130</v>
      </c>
      <c r="H65" s="14" t="s">
        <v>131</v>
      </c>
      <c r="I65" s="14" t="s">
        <v>132</v>
      </c>
      <c r="J65" s="22" t="s">
        <v>85</v>
      </c>
      <c r="K65" s="14" t="s">
        <v>110</v>
      </c>
      <c r="L65" s="24">
        <f>+SUMIFS(Input_shares!$L$2:$L$87,Input_shares!$C$2:$C$87,IND_Shares!$J65,Input_shares!$D$2:$D$87,IND_Shares!$K65)</f>
        <v>0</v>
      </c>
      <c r="M65" s="28">
        <f>M60*R65</f>
        <v>9.1350000000000014E-4</v>
      </c>
      <c r="N65" s="28">
        <f>N60*S65</f>
        <v>5.4810000000000006E-3</v>
      </c>
      <c r="O65" s="28">
        <f>O60*T65</f>
        <v>1.8270000000000002E-2</v>
      </c>
      <c r="P65" s="14">
        <v>5</v>
      </c>
      <c r="R65" s="29">
        <v>0.05</v>
      </c>
      <c r="S65" s="29">
        <v>0.3</v>
      </c>
      <c r="T65" s="29">
        <v>1</v>
      </c>
      <c r="V65" s="14" t="s">
        <v>129</v>
      </c>
    </row>
    <row r="66" spans="7:33" x14ac:dyDescent="0.35">
      <c r="G66" s="30" t="s">
        <v>130</v>
      </c>
      <c r="H66" s="30" t="s">
        <v>131</v>
      </c>
      <c r="I66" s="30" t="s">
        <v>132</v>
      </c>
      <c r="J66" s="27" t="s">
        <v>85</v>
      </c>
      <c r="K66" s="30" t="s">
        <v>80</v>
      </c>
      <c r="L66" s="31">
        <f>+SUMIFS(Input_shares!$L$2:$L$87,Input_shares!$C$2:$C$87,IND_Shares!$J66,Input_shares!$D$2:$D$87,IND_Shares!$K66)</f>
        <v>0</v>
      </c>
      <c r="M66" s="32">
        <f>M62*R66</f>
        <v>2.8210499999999999E-2</v>
      </c>
      <c r="N66" s="32">
        <f>N62*S66</f>
        <v>0.169263</v>
      </c>
      <c r="O66" s="32">
        <f>O62*T66</f>
        <v>0.56420999999999999</v>
      </c>
      <c r="P66" s="30">
        <v>5</v>
      </c>
      <c r="R66" s="29">
        <v>0.05</v>
      </c>
      <c r="S66" s="29">
        <v>0.3</v>
      </c>
      <c r="T66" s="29">
        <v>1</v>
      </c>
      <c r="V66" s="14" t="s">
        <v>129</v>
      </c>
      <c r="Z66" s="30"/>
    </row>
    <row r="67" spans="7:33" x14ac:dyDescent="0.35">
      <c r="G67" s="17" t="s">
        <v>101</v>
      </c>
      <c r="H67" s="17"/>
      <c r="I67" s="17"/>
      <c r="J67" s="17" t="s">
        <v>117</v>
      </c>
      <c r="K67" s="17"/>
      <c r="L67" s="33"/>
      <c r="M67" s="17"/>
      <c r="N67" s="17"/>
      <c r="O67" s="17"/>
      <c r="P67" s="17"/>
      <c r="V67" s="37" t="str">
        <f>G67</f>
        <v>*Rubber and plastic products demand process</v>
      </c>
      <c r="W67" s="38"/>
      <c r="X67" s="38"/>
      <c r="Y67" s="38"/>
      <c r="Z67" s="18"/>
      <c r="AA67" s="38"/>
      <c r="AB67" s="39"/>
      <c r="AC67" s="39"/>
      <c r="AD67" s="39"/>
      <c r="AE67" s="39"/>
      <c r="AF67" s="38"/>
      <c r="AG67" s="38"/>
    </row>
    <row r="68" spans="7:33" x14ac:dyDescent="0.35">
      <c r="G68" s="14" t="s">
        <v>130</v>
      </c>
      <c r="H68" s="14" t="s">
        <v>131</v>
      </c>
      <c r="I68" s="14" t="s">
        <v>132</v>
      </c>
      <c r="J68" s="22" t="s">
        <v>86</v>
      </c>
      <c r="K68" s="14" t="s">
        <v>67</v>
      </c>
      <c r="L68" s="23">
        <f>+SUMIFS(Input_shares!$L$2:$L$87,Input_shares!$C$2:$C$87,IND_Shares!$J68,Input_shares!$D$2:$D$87,IND_Shares!$K68)</f>
        <v>1.891E-2</v>
      </c>
      <c r="M68" s="24">
        <f>L68</f>
        <v>1.891E-2</v>
      </c>
      <c r="N68" s="24">
        <f>M68</f>
        <v>1.891E-2</v>
      </c>
      <c r="O68" s="24">
        <f>N68</f>
        <v>1.891E-2</v>
      </c>
      <c r="P68" s="14">
        <v>5</v>
      </c>
      <c r="V68" s="22" t="str">
        <f>"UC_Mitigation_"&amp;$J$67&amp;"_MaxShare_KER-BKE"</f>
        <v>UC_Mitigation_IRAP_MaxShare_KER-BKE</v>
      </c>
      <c r="W68" s="22" t="str">
        <f>"Maximum share of kerosene and Biokerosene in "&amp;$J$67</f>
        <v>Maximum share of kerosene and Biokerosene in IRAP</v>
      </c>
      <c r="X68" s="22" t="str">
        <f>J68</f>
        <v>I-DMD-RAP-E0</v>
      </c>
      <c r="Y68" s="22" t="s">
        <v>136</v>
      </c>
      <c r="Z68" s="14" t="s">
        <v>138</v>
      </c>
      <c r="AA68" s="34" t="str">
        <f>$AA$20</f>
        <v>UP</v>
      </c>
      <c r="AB68" s="25">
        <f>1+AB69</f>
        <v>0.98109000000000002</v>
      </c>
      <c r="AC68" s="25">
        <f t="shared" ref="AC68" si="35">1+AC69</f>
        <v>0.98109000000000002</v>
      </c>
      <c r="AD68" s="25">
        <f t="shared" ref="AD68" si="36">1+AD69</f>
        <v>0.98109000000000002</v>
      </c>
      <c r="AE68" s="25">
        <f t="shared" ref="AE68" si="37">1+AE69</f>
        <v>0.98109000000000002</v>
      </c>
      <c r="AF68" s="8">
        <v>0</v>
      </c>
      <c r="AG68" s="8">
        <v>5</v>
      </c>
    </row>
    <row r="69" spans="7:33" x14ac:dyDescent="0.35">
      <c r="G69" s="14" t="s">
        <v>130</v>
      </c>
      <c r="H69" s="14" t="s">
        <v>131</v>
      </c>
      <c r="I69" s="14" t="s">
        <v>132</v>
      </c>
      <c r="J69" s="22" t="s">
        <v>86</v>
      </c>
      <c r="K69" s="14" t="s">
        <v>69</v>
      </c>
      <c r="L69" s="23">
        <f>+SUMIFS(Input_shares!$L$2:$L$87,Input_shares!$C$2:$C$87,IND_Shares!$J69,Input_shares!$D$2:$D$87,IND_Shares!$K69)</f>
        <v>5.7700000000000001E-2</v>
      </c>
      <c r="M69" s="15"/>
      <c r="N69" s="15"/>
      <c r="O69" s="15"/>
      <c r="P69" s="14">
        <v>5</v>
      </c>
      <c r="X69" s="34" t="str">
        <f>X68</f>
        <v>I-DMD-RAP-E0</v>
      </c>
      <c r="Y69" s="22" t="s">
        <v>140</v>
      </c>
      <c r="Z69" s="14" t="s">
        <v>138</v>
      </c>
      <c r="AA69" s="34" t="str">
        <f>$AA$20</f>
        <v>UP</v>
      </c>
      <c r="AB69" s="35">
        <f>-L68</f>
        <v>-1.891E-2</v>
      </c>
      <c r="AC69" s="35">
        <f>-M68</f>
        <v>-1.891E-2</v>
      </c>
      <c r="AD69" s="35">
        <f>-N68</f>
        <v>-1.891E-2</v>
      </c>
      <c r="AE69" s="35">
        <f>-O68</f>
        <v>-1.891E-2</v>
      </c>
    </row>
    <row r="70" spans="7:33" x14ac:dyDescent="0.35">
      <c r="G70" s="14" t="s">
        <v>130</v>
      </c>
      <c r="H70" s="14" t="s">
        <v>131</v>
      </c>
      <c r="I70" s="14" t="s">
        <v>132</v>
      </c>
      <c r="J70" s="22" t="s">
        <v>86</v>
      </c>
      <c r="K70" s="14" t="s">
        <v>70</v>
      </c>
      <c r="L70" s="23">
        <f>+SUMIFS(Input_shares!$L$2:$L$87,Input_shares!$C$2:$C$87,IND_Shares!$J70,Input_shares!$D$2:$D$87,IND_Shares!$K70)</f>
        <v>2.3689999999999999E-2</v>
      </c>
      <c r="M70" s="24">
        <f t="shared" ref="M70:O71" si="38">L70</f>
        <v>2.3689999999999999E-2</v>
      </c>
      <c r="N70" s="24">
        <f t="shared" si="38"/>
        <v>2.3689999999999999E-2</v>
      </c>
      <c r="O70" s="24">
        <f t="shared" si="38"/>
        <v>2.3689999999999999E-2</v>
      </c>
      <c r="P70" s="14">
        <v>5</v>
      </c>
      <c r="V70" s="22" t="str">
        <f>"UC_Mitigation_"&amp;$J$67&amp;"_MaxShare_DST-BDS"</f>
        <v>UC_Mitigation_IRAP_MaxShare_DST-BDS</v>
      </c>
      <c r="W70" s="22" t="str">
        <f>"Maximum share of Diesel and Biodiesel in "&amp;$J$67</f>
        <v>Maximum share of Diesel and Biodiesel in IRAP</v>
      </c>
      <c r="X70" s="34" t="str">
        <f t="shared" ref="X70:X73" si="39">X69</f>
        <v>I-DMD-RAP-E0</v>
      </c>
      <c r="Y70" s="22" t="str">
        <f>Y68</f>
        <v>IND*</v>
      </c>
      <c r="Z70" s="14" t="s">
        <v>138</v>
      </c>
      <c r="AA70" s="34" t="str">
        <f>$AA$20</f>
        <v>UP</v>
      </c>
      <c r="AB70" s="25">
        <f>1+AB71</f>
        <v>0.97631000000000001</v>
      </c>
      <c r="AC70" s="25">
        <f t="shared" ref="AC70" si="40">1+AC71</f>
        <v>0.97631000000000001</v>
      </c>
      <c r="AD70" s="25">
        <f t="shared" ref="AD70" si="41">1+AD71</f>
        <v>0.97631000000000001</v>
      </c>
      <c r="AE70" s="25">
        <f t="shared" ref="AE70" si="42">1+AE71</f>
        <v>0.97631000000000001</v>
      </c>
      <c r="AF70" s="8">
        <v>0</v>
      </c>
      <c r="AG70" s="8">
        <v>5</v>
      </c>
    </row>
    <row r="71" spans="7:33" x14ac:dyDescent="0.35">
      <c r="G71" s="14" t="s">
        <v>130</v>
      </c>
      <c r="H71" s="14" t="s">
        <v>131</v>
      </c>
      <c r="I71" s="14" t="s">
        <v>132</v>
      </c>
      <c r="J71" s="22" t="s">
        <v>86</v>
      </c>
      <c r="K71" s="14" t="s">
        <v>72</v>
      </c>
      <c r="L71" s="23">
        <f>+SUMIFS(Input_shares!$L$2:$L$87,Input_shares!$C$2:$C$87,IND_Shares!$J71,Input_shares!$D$2:$D$87,IND_Shares!$K71)</f>
        <v>0.33373999999999998</v>
      </c>
      <c r="M71" s="24">
        <f t="shared" si="38"/>
        <v>0.33373999999999998</v>
      </c>
      <c r="N71" s="24">
        <f t="shared" si="38"/>
        <v>0.33373999999999998</v>
      </c>
      <c r="O71" s="24">
        <f t="shared" si="38"/>
        <v>0.33373999999999998</v>
      </c>
      <c r="P71" s="14">
        <v>5</v>
      </c>
      <c r="X71" s="34" t="str">
        <f t="shared" si="39"/>
        <v>I-DMD-RAP-E0</v>
      </c>
      <c r="Y71" s="22" t="s">
        <v>139</v>
      </c>
      <c r="Z71" s="14" t="s">
        <v>138</v>
      </c>
      <c r="AA71" s="34" t="str">
        <f>$AA$20</f>
        <v>UP</v>
      </c>
      <c r="AB71" s="35">
        <f>-L70</f>
        <v>-2.3689999999999999E-2</v>
      </c>
      <c r="AC71" s="35">
        <f>-M70</f>
        <v>-2.3689999999999999E-2</v>
      </c>
      <c r="AD71" s="35">
        <f>-N70</f>
        <v>-2.3689999999999999E-2</v>
      </c>
      <c r="AE71" s="35">
        <f>-O70</f>
        <v>-2.3689999999999999E-2</v>
      </c>
    </row>
    <row r="72" spans="7:33" x14ac:dyDescent="0.35">
      <c r="G72" s="14" t="s">
        <v>130</v>
      </c>
      <c r="H72" s="14" t="s">
        <v>131</v>
      </c>
      <c r="I72" s="14" t="s">
        <v>132</v>
      </c>
      <c r="J72" s="22" t="s">
        <v>86</v>
      </c>
      <c r="K72" s="14" t="s">
        <v>78</v>
      </c>
      <c r="L72" s="23">
        <f>+SUMIFS(Input_shares!$L$2:$L$87,Input_shares!$C$2:$C$87,IND_Shares!$J72,Input_shares!$D$2:$D$87,IND_Shares!$K72)</f>
        <v>0.56598999999999999</v>
      </c>
      <c r="M72" s="15"/>
      <c r="N72" s="15"/>
      <c r="O72" s="15"/>
      <c r="P72" s="14">
        <v>5</v>
      </c>
      <c r="V72" s="22" t="str">
        <f>"UC_Mitigation_"&amp;$J$67&amp;"_MaxShare_GAS-BGS"</f>
        <v>UC_Mitigation_IRAP_MaxShare_GAS-BGS</v>
      </c>
      <c r="W72" s="22" t="str">
        <f>"Maximum share of Gas and Biogas in "&amp;$J$67</f>
        <v>Maximum share of Gas and Biogas in IRAP</v>
      </c>
      <c r="X72" s="34" t="str">
        <f t="shared" si="39"/>
        <v>I-DMD-RAP-E0</v>
      </c>
      <c r="Y72" s="22" t="str">
        <f>Y70</f>
        <v>IND*</v>
      </c>
      <c r="Z72" s="14" t="s">
        <v>138</v>
      </c>
      <c r="AA72" s="22" t="s">
        <v>131</v>
      </c>
      <c r="AB72" s="25">
        <f>1+AB73</f>
        <v>0.66626000000000007</v>
      </c>
      <c r="AC72" s="25">
        <f t="shared" ref="AC72" si="43">1+AC73</f>
        <v>0.66626000000000007</v>
      </c>
      <c r="AD72" s="25">
        <f t="shared" ref="AD72" si="44">1+AD73</f>
        <v>0.66626000000000007</v>
      </c>
      <c r="AE72" s="25">
        <f t="shared" ref="AE72" si="45">1+AE73</f>
        <v>0.66626000000000007</v>
      </c>
      <c r="AF72" s="8">
        <v>0</v>
      </c>
      <c r="AG72" s="8">
        <v>5</v>
      </c>
    </row>
    <row r="73" spans="7:33" x14ac:dyDescent="0.35">
      <c r="G73" s="14" t="s">
        <v>130</v>
      </c>
      <c r="H73" s="14" t="s">
        <v>131</v>
      </c>
      <c r="I73" s="14" t="s">
        <v>132</v>
      </c>
      <c r="J73" s="22" t="s">
        <v>86</v>
      </c>
      <c r="K73" s="14" t="s">
        <v>109</v>
      </c>
      <c r="L73" s="24">
        <f>+SUMIFS(Input_shares!$L$2:$L$87,Input_shares!$C$2:$C$87,IND_Shares!$J73,Input_shares!$D$2:$D$87,IND_Shares!$K73)</f>
        <v>0</v>
      </c>
      <c r="M73" s="28">
        <f>M68*R73</f>
        <v>9.4550000000000005E-4</v>
      </c>
      <c r="N73" s="28">
        <f>N68*S73</f>
        <v>5.6730000000000001E-3</v>
      </c>
      <c r="O73" s="28">
        <f>O68*T73</f>
        <v>1.891E-2</v>
      </c>
      <c r="P73" s="14">
        <v>5</v>
      </c>
      <c r="R73" s="29">
        <v>0.05</v>
      </c>
      <c r="S73" s="29">
        <v>0.3</v>
      </c>
      <c r="T73" s="29">
        <v>1</v>
      </c>
      <c r="X73" s="34" t="str">
        <f t="shared" si="39"/>
        <v>I-DMD-RAP-E0</v>
      </c>
      <c r="Y73" s="22" t="s">
        <v>141</v>
      </c>
      <c r="Z73" s="14" t="s">
        <v>138</v>
      </c>
      <c r="AA73" s="22" t="s">
        <v>131</v>
      </c>
      <c r="AB73" s="35">
        <f>-L71</f>
        <v>-0.33373999999999998</v>
      </c>
      <c r="AC73" s="35">
        <f>-M71</f>
        <v>-0.33373999999999998</v>
      </c>
      <c r="AD73" s="35">
        <f>-N71</f>
        <v>-0.33373999999999998</v>
      </c>
      <c r="AE73" s="35">
        <f>-O71</f>
        <v>-0.33373999999999998</v>
      </c>
    </row>
    <row r="74" spans="7:33" x14ac:dyDescent="0.35">
      <c r="G74" s="14" t="s">
        <v>130</v>
      </c>
      <c r="H74" s="14" t="s">
        <v>131</v>
      </c>
      <c r="I74" s="14" t="s">
        <v>132</v>
      </c>
      <c r="J74" s="22" t="s">
        <v>86</v>
      </c>
      <c r="K74" s="14" t="s">
        <v>110</v>
      </c>
      <c r="L74" s="24">
        <f>+SUMIFS(Input_shares!$L$2:$L$87,Input_shares!$C$2:$C$87,IND_Shares!$J74,Input_shares!$D$2:$D$87,IND_Shares!$K74)</f>
        <v>0</v>
      </c>
      <c r="M74" s="28">
        <f t="shared" ref="M74:O75" si="46">M70*R74</f>
        <v>1.1845E-3</v>
      </c>
      <c r="N74" s="28">
        <f t="shared" si="46"/>
        <v>7.1069999999999996E-3</v>
      </c>
      <c r="O74" s="28">
        <f t="shared" si="46"/>
        <v>2.3689999999999999E-2</v>
      </c>
      <c r="P74" s="14">
        <v>5</v>
      </c>
      <c r="R74" s="29">
        <v>0.05</v>
      </c>
      <c r="S74" s="29">
        <v>0.3</v>
      </c>
      <c r="T74" s="29">
        <v>1</v>
      </c>
      <c r="V74" s="14" t="s">
        <v>129</v>
      </c>
    </row>
    <row r="75" spans="7:33" x14ac:dyDescent="0.35">
      <c r="G75" s="30" t="s">
        <v>130</v>
      </c>
      <c r="H75" s="30" t="s">
        <v>131</v>
      </c>
      <c r="I75" s="30" t="s">
        <v>132</v>
      </c>
      <c r="J75" s="27" t="s">
        <v>86</v>
      </c>
      <c r="K75" s="30" t="s">
        <v>80</v>
      </c>
      <c r="L75" s="31">
        <f>+SUMIFS(Input_shares!$L$2:$L$87,Input_shares!$C$2:$C$87,IND_Shares!$J75,Input_shares!$D$2:$D$87,IND_Shares!$K75)</f>
        <v>0</v>
      </c>
      <c r="M75" s="32">
        <f t="shared" si="46"/>
        <v>1.6687E-2</v>
      </c>
      <c r="N75" s="32">
        <f t="shared" si="46"/>
        <v>0.10012199999999999</v>
      </c>
      <c r="O75" s="32">
        <f t="shared" si="46"/>
        <v>0.33373999999999998</v>
      </c>
      <c r="P75" s="30">
        <v>5</v>
      </c>
      <c r="R75" s="29">
        <v>0.05</v>
      </c>
      <c r="S75" s="29">
        <v>0.3</v>
      </c>
      <c r="T75" s="29">
        <v>1</v>
      </c>
      <c r="V75" s="14" t="s">
        <v>129</v>
      </c>
      <c r="Z75" s="30"/>
    </row>
    <row r="76" spans="7:33" x14ac:dyDescent="0.35">
      <c r="G76" s="17" t="s">
        <v>102</v>
      </c>
      <c r="H76" s="17"/>
      <c r="I76" s="17"/>
      <c r="J76" s="17" t="s">
        <v>118</v>
      </c>
      <c r="K76" s="17"/>
      <c r="L76" s="33"/>
      <c r="M76" s="17"/>
      <c r="N76" s="17"/>
      <c r="O76" s="17"/>
      <c r="P76" s="17"/>
      <c r="V76" s="37" t="str">
        <f>G76</f>
        <v>*Other non-metallic mineral products demand process</v>
      </c>
      <c r="W76" s="38"/>
      <c r="X76" s="38"/>
      <c r="Y76" s="38"/>
      <c r="Z76" s="18"/>
      <c r="AA76" s="38"/>
      <c r="AB76" s="39"/>
      <c r="AC76" s="39"/>
      <c r="AD76" s="39"/>
      <c r="AE76" s="39"/>
      <c r="AF76" s="38"/>
      <c r="AG76" s="38"/>
    </row>
    <row r="77" spans="7:33" x14ac:dyDescent="0.35">
      <c r="G77" s="14" t="s">
        <v>130</v>
      </c>
      <c r="H77" s="14" t="s">
        <v>131</v>
      </c>
      <c r="I77" s="14" t="s">
        <v>132</v>
      </c>
      <c r="J77" s="22" t="s">
        <v>144</v>
      </c>
      <c r="K77" s="14" t="s">
        <v>65</v>
      </c>
      <c r="L77" s="23">
        <f>+SUMIFS(Input_shares!$L$2:$L$87,Input_shares!$C$2:$C$87,IND_Shares!$J77,Input_shares!$D$2:$D$87,IND_Shares!$K77)</f>
        <v>0.20257</v>
      </c>
      <c r="M77" s="24">
        <f t="shared" ref="M77:O78" si="47">L77</f>
        <v>0.20257</v>
      </c>
      <c r="N77" s="24">
        <f t="shared" si="47"/>
        <v>0.20257</v>
      </c>
      <c r="O77" s="24">
        <f t="shared" si="47"/>
        <v>0.20257</v>
      </c>
      <c r="P77" s="14">
        <v>5</v>
      </c>
      <c r="V77" s="22" t="str">
        <f>"UC_Mitigation_"&amp;$J$76&amp;"_MaxShare_KER-BKE"</f>
        <v>UC_Mitigation_IONM_MaxShare_KER-BKE</v>
      </c>
      <c r="W77" s="22" t="str">
        <f>"Maximum share of kerosene and Biokerosene in "&amp;$J$76</f>
        <v>Maximum share of kerosene and Biokerosene in IONM</v>
      </c>
      <c r="X77" s="34" t="str">
        <f>J77</f>
        <v>I-DMD-ONM-*</v>
      </c>
      <c r="Y77" s="22" t="s">
        <v>136</v>
      </c>
      <c r="Z77" s="14" t="s">
        <v>138</v>
      </c>
      <c r="AA77" s="34" t="str">
        <f>$AA$20</f>
        <v>UP</v>
      </c>
      <c r="AB77" s="25">
        <f>1+AB78</f>
        <v>0.99775999999999998</v>
      </c>
      <c r="AC77" s="25">
        <f t="shared" ref="AC77" si="48">1+AC78</f>
        <v>0.99775999999999998</v>
      </c>
      <c r="AD77" s="25">
        <f t="shared" ref="AD77" si="49">1+AD78</f>
        <v>0.99775999999999998</v>
      </c>
      <c r="AE77" s="25">
        <f t="shared" ref="AE77" si="50">1+AE78</f>
        <v>0.99775999999999998</v>
      </c>
      <c r="AF77" s="8">
        <v>0</v>
      </c>
      <c r="AG77" s="8">
        <v>5</v>
      </c>
    </row>
    <row r="78" spans="7:33" x14ac:dyDescent="0.35">
      <c r="G78" s="14" t="s">
        <v>130</v>
      </c>
      <c r="H78" s="14" t="s">
        <v>131</v>
      </c>
      <c r="I78" s="14" t="s">
        <v>132</v>
      </c>
      <c r="J78" s="22" t="s">
        <v>144</v>
      </c>
      <c r="K78" s="14" t="s">
        <v>67</v>
      </c>
      <c r="L78" s="23">
        <f>+SUMIFS(Input_shares!$L$2:$L$87,Input_shares!$C$2:$C$87,IND_Shares!$J78,Input_shares!$D$2:$D$87,IND_Shares!$K78)</f>
        <v>2.2399999999999998E-3</v>
      </c>
      <c r="M78" s="24">
        <f t="shared" si="47"/>
        <v>2.2399999999999998E-3</v>
      </c>
      <c r="N78" s="24">
        <f t="shared" si="47"/>
        <v>2.2399999999999998E-3</v>
      </c>
      <c r="O78" s="24">
        <f t="shared" si="47"/>
        <v>2.2399999999999998E-3</v>
      </c>
      <c r="P78" s="14">
        <v>5</v>
      </c>
      <c r="X78" s="34" t="str">
        <f>X77</f>
        <v>I-DMD-ONM-*</v>
      </c>
      <c r="Y78" s="22" t="s">
        <v>140</v>
      </c>
      <c r="Z78" s="14" t="s">
        <v>138</v>
      </c>
      <c r="AA78" s="34" t="str">
        <f>$AA$20</f>
        <v>UP</v>
      </c>
      <c r="AB78" s="35">
        <f>-L78</f>
        <v>-2.2399999999999998E-3</v>
      </c>
      <c r="AC78" s="35">
        <f>-M78</f>
        <v>-2.2399999999999998E-3</v>
      </c>
      <c r="AD78" s="35">
        <f>-N78</f>
        <v>-2.2399999999999998E-3</v>
      </c>
      <c r="AE78" s="35">
        <f>-O78</f>
        <v>-2.2399999999999998E-3</v>
      </c>
    </row>
    <row r="79" spans="7:33" x14ac:dyDescent="0.35">
      <c r="G79" s="14" t="s">
        <v>130</v>
      </c>
      <c r="H79" s="14" t="s">
        <v>131</v>
      </c>
      <c r="I79" s="14" t="s">
        <v>132</v>
      </c>
      <c r="J79" s="22" t="s">
        <v>144</v>
      </c>
      <c r="K79" s="14" t="s">
        <v>69</v>
      </c>
      <c r="L79" s="23">
        <f>+SUMIFS(Input_shares!$L$2:$L$87,Input_shares!$C$2:$C$87,IND_Shares!$J79,Input_shares!$D$2:$D$87,IND_Shares!$K79)</f>
        <v>5.2599999999999999E-3</v>
      </c>
      <c r="M79" s="15"/>
      <c r="N79" s="15"/>
      <c r="O79" s="15"/>
      <c r="P79" s="14">
        <v>5</v>
      </c>
      <c r="V79" s="22" t="str">
        <f>"UC_Mitigation_"&amp;$J$76&amp;"_MaxShare_DST-BDS"</f>
        <v>UC_Mitigation_IONM_MaxShare_DST-BDS</v>
      </c>
      <c r="W79" s="22" t="str">
        <f>"Maximum share of Diesel and Biodiesel in "&amp;$J$76</f>
        <v>Maximum share of Diesel and Biodiesel in IONM</v>
      </c>
      <c r="X79" s="34" t="str">
        <f t="shared" ref="X79:X83" si="51">X78</f>
        <v>I-DMD-ONM-*</v>
      </c>
      <c r="Y79" s="22" t="str">
        <f>Y77</f>
        <v>IND*</v>
      </c>
      <c r="Z79" s="14" t="s">
        <v>138</v>
      </c>
      <c r="AA79" s="34" t="str">
        <f>$AA$20</f>
        <v>UP</v>
      </c>
      <c r="AB79" s="25">
        <f>1+AB80</f>
        <v>0.97148999999999996</v>
      </c>
      <c r="AC79" s="25">
        <f t="shared" ref="AC79" si="52">1+AC80</f>
        <v>0.97148999999999996</v>
      </c>
      <c r="AD79" s="25">
        <f t="shared" ref="AD79" si="53">1+AD80</f>
        <v>0.97148999999999996</v>
      </c>
      <c r="AE79" s="25">
        <f t="shared" ref="AE79" si="54">1+AE80</f>
        <v>0.97148999999999996</v>
      </c>
      <c r="AF79" s="8">
        <v>0</v>
      </c>
      <c r="AG79" s="8">
        <v>5</v>
      </c>
    </row>
    <row r="80" spans="7:33" x14ac:dyDescent="0.35">
      <c r="G80" s="14" t="s">
        <v>130</v>
      </c>
      <c r="H80" s="14" t="s">
        <v>131</v>
      </c>
      <c r="I80" s="14" t="s">
        <v>132</v>
      </c>
      <c r="J80" s="22" t="s">
        <v>144</v>
      </c>
      <c r="K80" s="14" t="s">
        <v>70</v>
      </c>
      <c r="L80" s="23">
        <f>+SUMIFS(Input_shares!$L$2:$L$87,Input_shares!$C$2:$C$87,IND_Shares!$J80,Input_shares!$D$2:$D$87,IND_Shares!$K80)</f>
        <v>2.8510000000000001E-2</v>
      </c>
      <c r="M80" s="24">
        <f>L80</f>
        <v>2.8510000000000001E-2</v>
      </c>
      <c r="N80" s="24">
        <f>M80</f>
        <v>2.8510000000000001E-2</v>
      </c>
      <c r="O80" s="24">
        <f>N80</f>
        <v>2.8510000000000001E-2</v>
      </c>
      <c r="P80" s="14">
        <v>5</v>
      </c>
      <c r="X80" s="34" t="str">
        <f t="shared" si="51"/>
        <v>I-DMD-ONM-*</v>
      </c>
      <c r="Y80" s="22" t="s">
        <v>139</v>
      </c>
      <c r="Z80" s="14" t="s">
        <v>138</v>
      </c>
      <c r="AA80" s="34" t="str">
        <f>$AA$20</f>
        <v>UP</v>
      </c>
      <c r="AB80" s="35">
        <f>-L80</f>
        <v>-2.8510000000000001E-2</v>
      </c>
      <c r="AC80" s="35">
        <f>-M80</f>
        <v>-2.8510000000000001E-2</v>
      </c>
      <c r="AD80" s="35">
        <f>-N80</f>
        <v>-2.8510000000000001E-2</v>
      </c>
      <c r="AE80" s="35">
        <f>-O80</f>
        <v>-2.8510000000000001E-2</v>
      </c>
    </row>
    <row r="81" spans="7:33" x14ac:dyDescent="0.35">
      <c r="G81" s="14" t="s">
        <v>130</v>
      </c>
      <c r="H81" s="14" t="s">
        <v>131</v>
      </c>
      <c r="I81" s="14" t="s">
        <v>132</v>
      </c>
      <c r="J81" s="22" t="s">
        <v>144</v>
      </c>
      <c r="K81" s="14" t="s">
        <v>71</v>
      </c>
      <c r="L81" s="23">
        <f>+SUMIFS(Input_shares!$L$2:$L$87,Input_shares!$C$2:$C$87,IND_Shares!$J81,Input_shares!$D$2:$D$87,IND_Shares!$K81)</f>
        <v>0.31075000000000003</v>
      </c>
      <c r="M81" s="24">
        <f>L81</f>
        <v>0.31075000000000003</v>
      </c>
      <c r="N81" s="24">
        <f t="shared" ref="N81:O81" si="55">M81</f>
        <v>0.31075000000000003</v>
      </c>
      <c r="O81" s="24">
        <f t="shared" si="55"/>
        <v>0.31075000000000003</v>
      </c>
      <c r="P81" s="14">
        <v>5</v>
      </c>
      <c r="V81" s="22" t="str">
        <f>"UC_Mitigation_"&amp;$J$76&amp;"_MaxShare_GAS-BGS"</f>
        <v>UC_Mitigation_IONM_MaxShare_GAS-BGS</v>
      </c>
      <c r="W81" s="22" t="str">
        <f>"Maximum share of Gas and Biogas in "&amp;$J$76</f>
        <v>Maximum share of Gas and Biogas in IONM</v>
      </c>
      <c r="X81" s="34" t="str">
        <f t="shared" si="51"/>
        <v>I-DMD-ONM-*</v>
      </c>
      <c r="Y81" s="22" t="str">
        <f>Y79</f>
        <v>IND*</v>
      </c>
      <c r="Z81" s="14" t="s">
        <v>138</v>
      </c>
      <c r="AA81" s="22" t="s">
        <v>131</v>
      </c>
      <c r="AB81" s="25">
        <f>1+AB82</f>
        <v>0.92354000000000003</v>
      </c>
      <c r="AC81" s="25">
        <f t="shared" ref="AC81:AC83" si="56">1+AC82</f>
        <v>0.92354000000000003</v>
      </c>
      <c r="AD81" s="25">
        <f t="shared" ref="AD81:AD83" si="57">1+AD82</f>
        <v>0.92354000000000003</v>
      </c>
      <c r="AE81" s="25">
        <f t="shared" ref="AE81:AE83" si="58">1+AE82</f>
        <v>0.92354000000000003</v>
      </c>
      <c r="AF81" s="8">
        <v>0</v>
      </c>
      <c r="AG81" s="8">
        <v>5</v>
      </c>
    </row>
    <row r="82" spans="7:33" x14ac:dyDescent="0.35">
      <c r="G82" s="14" t="s">
        <v>130</v>
      </c>
      <c r="H82" s="14" t="s">
        <v>131</v>
      </c>
      <c r="I82" s="14" t="s">
        <v>132</v>
      </c>
      <c r="J82" s="22" t="s">
        <v>144</v>
      </c>
      <c r="K82" s="14" t="s">
        <v>72</v>
      </c>
      <c r="L82" s="23">
        <f>+SUMIFS(Input_shares!$L$2:$L$87,Input_shares!$C$2:$C$87,IND_Shares!$J82,Input_shares!$D$2:$D$87,IND_Shares!$K82)</f>
        <v>7.646E-2</v>
      </c>
      <c r="M82" s="24">
        <f>L82</f>
        <v>7.646E-2</v>
      </c>
      <c r="N82" s="24">
        <f>M82</f>
        <v>7.646E-2</v>
      </c>
      <c r="O82" s="24">
        <f>N82</f>
        <v>7.646E-2</v>
      </c>
      <c r="P82" s="14">
        <v>5</v>
      </c>
      <c r="X82" s="34" t="str">
        <f>X81</f>
        <v>I-DMD-ONM-*</v>
      </c>
      <c r="Y82" s="22" t="s">
        <v>141</v>
      </c>
      <c r="Z82" s="14" t="s">
        <v>138</v>
      </c>
      <c r="AA82" s="22" t="s">
        <v>131</v>
      </c>
      <c r="AB82" s="35">
        <f>-L82</f>
        <v>-7.646E-2</v>
      </c>
      <c r="AC82" s="35">
        <f>-M82</f>
        <v>-7.646E-2</v>
      </c>
      <c r="AD82" s="35">
        <f>-N82</f>
        <v>-7.646E-2</v>
      </c>
      <c r="AE82" s="35">
        <f>-O82</f>
        <v>-7.646E-2</v>
      </c>
    </row>
    <row r="83" spans="7:33" x14ac:dyDescent="0.35">
      <c r="G83" s="14" t="s">
        <v>130</v>
      </c>
      <c r="H83" s="14" t="s">
        <v>131</v>
      </c>
      <c r="I83" s="14" t="s">
        <v>132</v>
      </c>
      <c r="J83" s="22" t="s">
        <v>144</v>
      </c>
      <c r="K83" s="14" t="s">
        <v>78</v>
      </c>
      <c r="L83" s="23">
        <f>+SUMIFS(Input_shares!$L$2:$L$87,Input_shares!$C$2:$C$87,IND_Shares!$J83,Input_shares!$D$2:$D$87,IND_Shares!$K83)</f>
        <v>0.14044000000000001</v>
      </c>
      <c r="M83" s="15"/>
      <c r="N83" s="15"/>
      <c r="O83" s="15"/>
      <c r="P83" s="14">
        <v>5</v>
      </c>
      <c r="V83" s="22" t="str">
        <f>"UC_Mitigation_"&amp;$J$76&amp;"_MaxShare_COK-COA-BIO-H2"</f>
        <v>UC_Mitigation_IONM_MaxShare_COK-COA-BIO-H2</v>
      </c>
      <c r="W83" s="22" t="str">
        <f>"Maximum share of Solids, Biomass and H2 in "&amp;$J$76</f>
        <v>Maximum share of Solids, Biomass and H2 in IONM</v>
      </c>
      <c r="X83" s="34" t="str">
        <f t="shared" si="51"/>
        <v>I-DMD-ONM-*</v>
      </c>
      <c r="Y83" s="22" t="str">
        <f>Y81</f>
        <v>IND*</v>
      </c>
      <c r="Z83" s="14" t="s">
        <v>138</v>
      </c>
      <c r="AA83" s="22" t="s">
        <v>131</v>
      </c>
      <c r="AB83" s="25">
        <f>1+AB84</f>
        <v>0.48075999999999997</v>
      </c>
      <c r="AC83" s="25">
        <f t="shared" si="56"/>
        <v>0.48075999999999997</v>
      </c>
      <c r="AD83" s="25">
        <f t="shared" si="57"/>
        <v>0.48075999999999997</v>
      </c>
      <c r="AE83" s="25">
        <f t="shared" si="58"/>
        <v>0.48075999999999997</v>
      </c>
      <c r="AF83" s="8">
        <v>0</v>
      </c>
      <c r="AG83" s="8">
        <v>5</v>
      </c>
    </row>
    <row r="84" spans="7:33" x14ac:dyDescent="0.35">
      <c r="G84" s="14" t="s">
        <v>130</v>
      </c>
      <c r="H84" s="14" t="s">
        <v>131</v>
      </c>
      <c r="I84" s="14" t="s">
        <v>132</v>
      </c>
      <c r="J84" s="22" t="s">
        <v>144</v>
      </c>
      <c r="K84" s="14" t="s">
        <v>81</v>
      </c>
      <c r="L84" s="23">
        <f>+SUMIFS(Input_shares!$L$2:$L$87,Input_shares!$C$2:$C$87,IND_Shares!$J84,Input_shares!$D$2:$D$87,IND_Shares!$K84)</f>
        <v>5.9199999999999999E-3</v>
      </c>
      <c r="M84" s="24">
        <f>(M77+M81)*R84+$L84</f>
        <v>2.6452800000000005E-2</v>
      </c>
      <c r="N84" s="24">
        <f t="shared" ref="N84:O84" si="59">(N77+N81)*S84+$L84</f>
        <v>0.1291168</v>
      </c>
      <c r="O84" s="24">
        <f t="shared" si="59"/>
        <v>0.416576</v>
      </c>
      <c r="P84" s="14">
        <v>5</v>
      </c>
      <c r="R84" s="29">
        <f>5%*80%</f>
        <v>4.0000000000000008E-2</v>
      </c>
      <c r="S84" s="29">
        <f>30%*80%</f>
        <v>0.24</v>
      </c>
      <c r="T84" s="29">
        <f>100%*80%</f>
        <v>0.8</v>
      </c>
      <c r="X84" s="34" t="str">
        <f>X83</f>
        <v>I-DMD-ONM-*</v>
      </c>
      <c r="Y84" s="22" t="s">
        <v>143</v>
      </c>
      <c r="Z84" s="14" t="s">
        <v>138</v>
      </c>
      <c r="AA84" s="22" t="s">
        <v>131</v>
      </c>
      <c r="AB84" s="35">
        <f>-L77-L81-$L$84</f>
        <v>-0.51924000000000003</v>
      </c>
      <c r="AC84" s="35">
        <f t="shared" ref="AC84:AE84" si="60">-M77-M81-$L$84</f>
        <v>-0.51924000000000003</v>
      </c>
      <c r="AD84" s="35">
        <f t="shared" si="60"/>
        <v>-0.51924000000000003</v>
      </c>
      <c r="AE84" s="35">
        <f t="shared" si="60"/>
        <v>-0.51924000000000003</v>
      </c>
    </row>
    <row r="85" spans="7:33" x14ac:dyDescent="0.35">
      <c r="G85" s="14" t="s">
        <v>130</v>
      </c>
      <c r="H85" s="14" t="s">
        <v>131</v>
      </c>
      <c r="I85" s="14" t="s">
        <v>132</v>
      </c>
      <c r="J85" s="22" t="s">
        <v>144</v>
      </c>
      <c r="K85" s="14" t="s">
        <v>87</v>
      </c>
      <c r="L85" s="23">
        <f>+SUMIFS(Input_shares!$L$2:$L$87,Input_shares!$C$2:$C$87,IND_Shares!$J85,Input_shares!$D$2:$D$87,IND_Shares!$K85)</f>
        <v>0.10571999999999999</v>
      </c>
      <c r="M85" s="24"/>
      <c r="N85" s="15"/>
      <c r="O85" s="15"/>
      <c r="P85" s="14">
        <v>5</v>
      </c>
      <c r="R85" s="29"/>
      <c r="S85" s="29"/>
      <c r="T85" s="29"/>
      <c r="V85" s="14" t="s">
        <v>129</v>
      </c>
    </row>
    <row r="86" spans="7:33" x14ac:dyDescent="0.35">
      <c r="G86" s="14" t="s">
        <v>130</v>
      </c>
      <c r="H86" s="14" t="s">
        <v>131</v>
      </c>
      <c r="I86" s="14" t="s">
        <v>132</v>
      </c>
      <c r="J86" s="22" t="s">
        <v>144</v>
      </c>
      <c r="K86" s="14" t="s">
        <v>88</v>
      </c>
      <c r="L86" s="23">
        <f>+SUMIFS(Input_shares!$L$2:$L$87,Input_shares!$C$2:$C$87,IND_Shares!$J86,Input_shares!$D$2:$D$87,IND_Shares!$K86)</f>
        <v>0.12218999999999999</v>
      </c>
      <c r="M86" s="15"/>
      <c r="N86" s="15"/>
      <c r="O86" s="15"/>
      <c r="P86" s="14">
        <v>5</v>
      </c>
      <c r="R86" s="29"/>
      <c r="S86" s="29"/>
      <c r="T86" s="29"/>
      <c r="V86" s="14" t="s">
        <v>129</v>
      </c>
    </row>
    <row r="87" spans="7:33" x14ac:dyDescent="0.35">
      <c r="G87" s="14" t="s">
        <v>130</v>
      </c>
      <c r="H87" s="14" t="s">
        <v>131</v>
      </c>
      <c r="I87" s="14" t="s">
        <v>132</v>
      </c>
      <c r="J87" s="22" t="s">
        <v>144</v>
      </c>
      <c r="K87" s="14" t="s">
        <v>109</v>
      </c>
      <c r="L87" s="24">
        <f>+SUMIFS(Input_shares!$L$2:$L$87,Input_shares!$C$2:$C$87,IND_Shares!$J87,Input_shares!$D$2:$D$87,IND_Shares!$K87)</f>
        <v>0</v>
      </c>
      <c r="M87" s="28">
        <f>M78*R87</f>
        <v>1.12E-4</v>
      </c>
      <c r="N87" s="28">
        <f>N78*S87</f>
        <v>6.7199999999999996E-4</v>
      </c>
      <c r="O87" s="28">
        <f>O78*T87</f>
        <v>2.2399999999999998E-3</v>
      </c>
      <c r="P87" s="14">
        <v>5</v>
      </c>
      <c r="R87" s="29">
        <v>0.05</v>
      </c>
      <c r="S87" s="29">
        <v>0.3</v>
      </c>
      <c r="T87" s="29">
        <v>1</v>
      </c>
      <c r="V87" s="14" t="s">
        <v>129</v>
      </c>
    </row>
    <row r="88" spans="7:33" x14ac:dyDescent="0.35">
      <c r="G88" s="14" t="s">
        <v>130</v>
      </c>
      <c r="H88" s="14" t="s">
        <v>131</v>
      </c>
      <c r="I88" s="14" t="s">
        <v>132</v>
      </c>
      <c r="J88" s="22" t="s">
        <v>144</v>
      </c>
      <c r="K88" s="14" t="s">
        <v>110</v>
      </c>
      <c r="L88" s="24">
        <f>+SUMIFS(Input_shares!$L$2:$L$87,Input_shares!$C$2:$C$87,IND_Shares!$J88,Input_shares!$D$2:$D$87,IND_Shares!$K88)</f>
        <v>0</v>
      </c>
      <c r="M88" s="28">
        <f>M80*R88</f>
        <v>1.4255000000000001E-3</v>
      </c>
      <c r="N88" s="28">
        <f>N80*S88</f>
        <v>8.5529999999999998E-3</v>
      </c>
      <c r="O88" s="28">
        <f>O80*T88</f>
        <v>2.8510000000000001E-2</v>
      </c>
      <c r="P88" s="14">
        <v>5</v>
      </c>
      <c r="R88" s="29">
        <v>0.05</v>
      </c>
      <c r="S88" s="29">
        <v>0.3</v>
      </c>
      <c r="T88" s="29">
        <v>1</v>
      </c>
      <c r="V88" s="14" t="s">
        <v>129</v>
      </c>
    </row>
    <row r="89" spans="7:33" x14ac:dyDescent="0.35">
      <c r="G89" s="14" t="s">
        <v>130</v>
      </c>
      <c r="H89" s="14" t="s">
        <v>131</v>
      </c>
      <c r="I89" s="14" t="s">
        <v>132</v>
      </c>
      <c r="J89" s="22" t="s">
        <v>144</v>
      </c>
      <c r="K89" s="14" t="s">
        <v>80</v>
      </c>
      <c r="L89" s="24">
        <f>+SUMIFS(Input_shares!$L$2:$L$87,Input_shares!$C$2:$C$87,IND_Shares!$J89,Input_shares!$D$2:$D$87,IND_Shares!$K89)</f>
        <v>0</v>
      </c>
      <c r="M89" s="28">
        <f>M82*R89</f>
        <v>3.823E-3</v>
      </c>
      <c r="N89" s="28">
        <f>N82*S89</f>
        <v>2.2938E-2</v>
      </c>
      <c r="O89" s="28">
        <f>O82*T89</f>
        <v>7.646E-2</v>
      </c>
      <c r="P89" s="14">
        <v>5</v>
      </c>
      <c r="R89" s="29">
        <v>0.05</v>
      </c>
      <c r="S89" s="29">
        <v>0.3</v>
      </c>
      <c r="T89" s="29">
        <v>1</v>
      </c>
      <c r="V89" s="14" t="s">
        <v>129</v>
      </c>
    </row>
    <row r="90" spans="7:33" x14ac:dyDescent="0.35">
      <c r="G90" s="30" t="s">
        <v>130</v>
      </c>
      <c r="H90" s="30" t="s">
        <v>131</v>
      </c>
      <c r="I90" s="30" t="s">
        <v>132</v>
      </c>
      <c r="J90" s="27" t="s">
        <v>144</v>
      </c>
      <c r="K90" s="30" t="s">
        <v>142</v>
      </c>
      <c r="L90" s="31">
        <f>+SUMIFS(Input_shares!$L$2:$L$87,Input_shares!$C$2:$C$87,IND_Shares!$J90,Input_shares!$D$2:$D$87,IND_Shares!$K90)</f>
        <v>0</v>
      </c>
      <c r="M90" s="32">
        <f>(M77+M81)*R90</f>
        <v>5.133200000000001E-3</v>
      </c>
      <c r="N90" s="32">
        <f>(N77+N81)*S90</f>
        <v>3.0799199999999999E-2</v>
      </c>
      <c r="O90" s="32">
        <f>(O77+O81)*T90</f>
        <v>0.10266400000000001</v>
      </c>
      <c r="P90" s="30">
        <v>5</v>
      </c>
      <c r="R90" s="29">
        <f>5%*20%</f>
        <v>1.0000000000000002E-2</v>
      </c>
      <c r="S90" s="29">
        <f>30%*20%</f>
        <v>0.06</v>
      </c>
      <c r="T90" s="29">
        <f>100%*20%</f>
        <v>0.2</v>
      </c>
      <c r="V90" s="14" t="s">
        <v>129</v>
      </c>
      <c r="Z90" s="30"/>
    </row>
    <row r="91" spans="7:33" x14ac:dyDescent="0.35">
      <c r="G91" s="17" t="s">
        <v>103</v>
      </c>
      <c r="H91" s="17"/>
      <c r="I91" s="17"/>
      <c r="J91" s="17" t="s">
        <v>119</v>
      </c>
      <c r="K91" s="17"/>
      <c r="L91" s="33"/>
      <c r="M91" s="17"/>
      <c r="N91" s="17"/>
      <c r="O91" s="17"/>
      <c r="P91" s="17"/>
      <c r="V91" s="37" t="str">
        <f>G91</f>
        <v>*Basic metals and fabricated metal products demand process</v>
      </c>
      <c r="W91" s="38"/>
      <c r="X91" s="38"/>
      <c r="Y91" s="38"/>
      <c r="Z91" s="18"/>
      <c r="AA91" s="38"/>
      <c r="AB91" s="39"/>
      <c r="AC91" s="39"/>
      <c r="AD91" s="39"/>
      <c r="AE91" s="39"/>
      <c r="AF91" s="38"/>
      <c r="AG91" s="38"/>
    </row>
    <row r="92" spans="7:33" x14ac:dyDescent="0.35">
      <c r="G92" s="14" t="s">
        <v>130</v>
      </c>
      <c r="H92" s="14" t="s">
        <v>131</v>
      </c>
      <c r="I92" s="14" t="s">
        <v>132</v>
      </c>
      <c r="J92" s="14" t="s">
        <v>89</v>
      </c>
      <c r="K92" s="14" t="s">
        <v>65</v>
      </c>
      <c r="L92" s="23">
        <f>+SUMIFS(Input_shares!$L$2:$L$87,Input_shares!$C$2:$C$87,IND_Shares!$J92,Input_shares!$D$2:$D$87,IND_Shares!$K92)</f>
        <v>0</v>
      </c>
      <c r="M92" s="15"/>
      <c r="N92" s="15"/>
      <c r="O92" s="15"/>
      <c r="P92" s="14">
        <v>5</v>
      </c>
      <c r="V92" s="22" t="str">
        <f>"UC_Mitigation_"&amp;$J$91&amp;"_MaxShare_KER-BKE"</f>
        <v>UC_Mitigation_IMAP_MaxShare_KER-BKE</v>
      </c>
      <c r="W92" s="22" t="str">
        <f>"Maximum share of kerosene and Biokerosene in "&amp;$J$91</f>
        <v>Maximum share of kerosene and Biokerosene in IMAP</v>
      </c>
      <c r="X92" s="34" t="str">
        <f>J92</f>
        <v>I-DMD-MAP-E0</v>
      </c>
      <c r="Y92" s="22" t="s">
        <v>136</v>
      </c>
      <c r="Z92" s="14" t="s">
        <v>138</v>
      </c>
      <c r="AA92" s="34" t="str">
        <f>$AA$20</f>
        <v>UP</v>
      </c>
      <c r="AB92" s="25">
        <f>1+AB93</f>
        <v>0.99909999999999999</v>
      </c>
      <c r="AC92" s="25">
        <f t="shared" ref="AC92" si="61">1+AC93</f>
        <v>0.99909999999999999</v>
      </c>
      <c r="AD92" s="25">
        <f t="shared" ref="AD92" si="62">1+AD93</f>
        <v>0.99909999999999999</v>
      </c>
      <c r="AE92" s="25">
        <f t="shared" ref="AE92" si="63">1+AE93</f>
        <v>0.99909999999999999</v>
      </c>
      <c r="AF92" s="8">
        <v>0</v>
      </c>
      <c r="AG92" s="8">
        <v>5</v>
      </c>
    </row>
    <row r="93" spans="7:33" x14ac:dyDescent="0.35">
      <c r="G93" s="14" t="s">
        <v>130</v>
      </c>
      <c r="H93" s="14" t="s">
        <v>131</v>
      </c>
      <c r="I93" s="14" t="s">
        <v>132</v>
      </c>
      <c r="J93" s="14" t="s">
        <v>89</v>
      </c>
      <c r="K93" s="14" t="s">
        <v>67</v>
      </c>
      <c r="L93" s="23">
        <f>+SUMIFS(Input_shares!$L$2:$L$87,Input_shares!$C$2:$C$87,IND_Shares!$J93,Input_shares!$D$2:$D$87,IND_Shares!$K93)</f>
        <v>8.9999999999999998E-4</v>
      </c>
      <c r="M93" s="24">
        <f>L93</f>
        <v>8.9999999999999998E-4</v>
      </c>
      <c r="N93" s="24">
        <f>M93</f>
        <v>8.9999999999999998E-4</v>
      </c>
      <c r="O93" s="24">
        <f>N93</f>
        <v>8.9999999999999998E-4</v>
      </c>
      <c r="P93" s="14">
        <v>5</v>
      </c>
      <c r="X93" s="34" t="str">
        <f>X92</f>
        <v>I-DMD-MAP-E0</v>
      </c>
      <c r="Y93" s="22" t="s">
        <v>140</v>
      </c>
      <c r="Z93" s="14" t="s">
        <v>138</v>
      </c>
      <c r="AA93" s="34" t="str">
        <f>$AA$20</f>
        <v>UP</v>
      </c>
      <c r="AB93" s="35">
        <f>-L93</f>
        <v>-8.9999999999999998E-4</v>
      </c>
      <c r="AC93" s="35">
        <f>-M93</f>
        <v>-8.9999999999999998E-4</v>
      </c>
      <c r="AD93" s="35">
        <f>-N93</f>
        <v>-8.9999999999999998E-4</v>
      </c>
      <c r="AE93" s="35">
        <f>-O93</f>
        <v>-8.9999999999999998E-4</v>
      </c>
    </row>
    <row r="94" spans="7:33" x14ac:dyDescent="0.35">
      <c r="G94" s="14" t="s">
        <v>130</v>
      </c>
      <c r="H94" s="14" t="s">
        <v>131</v>
      </c>
      <c r="I94" s="14" t="s">
        <v>132</v>
      </c>
      <c r="J94" s="14" t="s">
        <v>89</v>
      </c>
      <c r="K94" s="14" t="s">
        <v>68</v>
      </c>
      <c r="L94" s="23">
        <f>+SUMIFS(Input_shares!$L$2:$L$87,Input_shares!$C$2:$C$87,IND_Shares!$J94,Input_shares!$D$2:$D$87,IND_Shares!$K94)</f>
        <v>1.6100000000000001E-3</v>
      </c>
      <c r="M94" s="15"/>
      <c r="N94" s="15"/>
      <c r="O94" s="15"/>
      <c r="P94" s="14">
        <v>5</v>
      </c>
      <c r="V94" s="22" t="str">
        <f>"UC_Mitigation_"&amp;J91&amp;"_MaxShare_DST-BDS"</f>
        <v>UC_Mitigation_IMAP_MaxShare_DST-BDS</v>
      </c>
      <c r="W94" s="22" t="str">
        <f>"Maximum share of Diesel and Biodiesel in "&amp;$J$91</f>
        <v>Maximum share of Diesel and Biodiesel in IMAP</v>
      </c>
      <c r="X94" s="34" t="str">
        <f t="shared" ref="X94:X97" si="64">X93</f>
        <v>I-DMD-MAP-E0</v>
      </c>
      <c r="Y94" s="22" t="str">
        <f>Y92</f>
        <v>IND*</v>
      </c>
      <c r="Z94" s="14" t="s">
        <v>138</v>
      </c>
      <c r="AA94" s="34" t="str">
        <f>$AA$20</f>
        <v>UP</v>
      </c>
      <c r="AB94" s="25">
        <f>1+AB95</f>
        <v>0.99641999999999997</v>
      </c>
      <c r="AC94" s="25">
        <f t="shared" ref="AC94" si="65">1+AC95</f>
        <v>0.99641999999999997</v>
      </c>
      <c r="AD94" s="25">
        <f t="shared" ref="AD94" si="66">1+AD95</f>
        <v>0.99641999999999997</v>
      </c>
      <c r="AE94" s="25">
        <f t="shared" ref="AE94" si="67">1+AE95</f>
        <v>0.99641999999999997</v>
      </c>
      <c r="AF94" s="8">
        <v>0</v>
      </c>
      <c r="AG94" s="8">
        <v>5</v>
      </c>
    </row>
    <row r="95" spans="7:33" x14ac:dyDescent="0.35">
      <c r="G95" s="14" t="s">
        <v>130</v>
      </c>
      <c r="H95" s="14" t="s">
        <v>131</v>
      </c>
      <c r="I95" s="14" t="s">
        <v>132</v>
      </c>
      <c r="J95" s="14" t="s">
        <v>89</v>
      </c>
      <c r="K95" s="14" t="s">
        <v>69</v>
      </c>
      <c r="L95" s="23">
        <f>+SUMIFS(Input_shares!$L$2:$L$87,Input_shares!$C$2:$C$87,IND_Shares!$J95,Input_shares!$D$2:$D$87,IND_Shares!$K95)</f>
        <v>2.64E-3</v>
      </c>
      <c r="M95" s="15"/>
      <c r="N95" s="15"/>
      <c r="O95" s="15"/>
      <c r="P95" s="14">
        <v>5</v>
      </c>
      <c r="X95" s="34" t="str">
        <f t="shared" si="64"/>
        <v>I-DMD-MAP-E0</v>
      </c>
      <c r="Y95" s="22" t="s">
        <v>139</v>
      </c>
      <c r="Z95" s="14" t="s">
        <v>138</v>
      </c>
      <c r="AA95" s="34" t="str">
        <f>$AA$20</f>
        <v>UP</v>
      </c>
      <c r="AB95" s="35">
        <f>-L96</f>
        <v>-3.5799999999999998E-3</v>
      </c>
      <c r="AC95" s="35">
        <f>-M96</f>
        <v>-3.5799999999999998E-3</v>
      </c>
      <c r="AD95" s="35">
        <f>-N96</f>
        <v>-3.5799999999999998E-3</v>
      </c>
      <c r="AE95" s="35">
        <f>-O96</f>
        <v>-3.5799999999999998E-3</v>
      </c>
    </row>
    <row r="96" spans="7:33" x14ac:dyDescent="0.35">
      <c r="G96" s="14" t="s">
        <v>130</v>
      </c>
      <c r="H96" s="14" t="s">
        <v>131</v>
      </c>
      <c r="I96" s="14" t="s">
        <v>132</v>
      </c>
      <c r="J96" s="14" t="s">
        <v>89</v>
      </c>
      <c r="K96" s="14" t="s">
        <v>70</v>
      </c>
      <c r="L96" s="23">
        <f>+SUMIFS(Input_shares!$L$2:$L$87,Input_shares!$C$2:$C$87,IND_Shares!$J96,Input_shares!$D$2:$D$87,IND_Shares!$K96)</f>
        <v>3.5799999999999998E-3</v>
      </c>
      <c r="M96" s="24">
        <f t="shared" ref="M96:O97" si="68">L96</f>
        <v>3.5799999999999998E-3</v>
      </c>
      <c r="N96" s="24">
        <f t="shared" si="68"/>
        <v>3.5799999999999998E-3</v>
      </c>
      <c r="O96" s="24">
        <f t="shared" si="68"/>
        <v>3.5799999999999998E-3</v>
      </c>
      <c r="P96" s="14">
        <v>5</v>
      </c>
      <c r="V96" s="22" t="str">
        <f>"UC_Mitigation_"&amp;$J$91&amp;"_MaxShare_GAS-BGS"</f>
        <v>UC_Mitigation_IMAP_MaxShare_GAS-BGS</v>
      </c>
      <c r="W96" s="22" t="str">
        <f>"Maximum share of Gas and Biogas in "&amp;$J$91</f>
        <v>Maximum share of Gas and Biogas in IMAP</v>
      </c>
      <c r="X96" s="34" t="str">
        <f t="shared" si="64"/>
        <v>I-DMD-MAP-E0</v>
      </c>
      <c r="Y96" s="22" t="str">
        <f>Y94</f>
        <v>IND*</v>
      </c>
      <c r="Z96" s="14" t="s">
        <v>138</v>
      </c>
      <c r="AA96" s="22" t="s">
        <v>131</v>
      </c>
      <c r="AB96" s="25">
        <f>1+AB97</f>
        <v>0.13351999999999997</v>
      </c>
      <c r="AC96" s="25">
        <f t="shared" ref="AC96" si="69">1+AC97</f>
        <v>0.13351999999999997</v>
      </c>
      <c r="AD96" s="25">
        <f t="shared" ref="AD96" si="70">1+AD97</f>
        <v>0.13351999999999997</v>
      </c>
      <c r="AE96" s="25">
        <f t="shared" ref="AE96" si="71">1+AE97</f>
        <v>0.13351999999999997</v>
      </c>
      <c r="AF96" s="8">
        <v>0</v>
      </c>
      <c r="AG96" s="8">
        <v>5</v>
      </c>
    </row>
    <row r="97" spans="7:33" x14ac:dyDescent="0.35">
      <c r="G97" s="14" t="s">
        <v>130</v>
      </c>
      <c r="H97" s="14" t="s">
        <v>131</v>
      </c>
      <c r="I97" s="14" t="s">
        <v>132</v>
      </c>
      <c r="J97" s="14" t="s">
        <v>89</v>
      </c>
      <c r="K97" s="14" t="s">
        <v>72</v>
      </c>
      <c r="L97" s="23">
        <f>+SUMIFS(Input_shares!$L$2:$L$87,Input_shares!$C$2:$C$87,IND_Shares!$J97,Input_shares!$D$2:$D$87,IND_Shares!$K97)</f>
        <v>0.86648000000000003</v>
      </c>
      <c r="M97" s="24">
        <f t="shared" si="68"/>
        <v>0.86648000000000003</v>
      </c>
      <c r="N97" s="24">
        <f t="shared" si="68"/>
        <v>0.86648000000000003</v>
      </c>
      <c r="O97" s="24">
        <f t="shared" si="68"/>
        <v>0.86648000000000003</v>
      </c>
      <c r="P97" s="14">
        <v>5</v>
      </c>
      <c r="R97" s="29">
        <v>0.05</v>
      </c>
      <c r="S97" s="29">
        <v>0.3</v>
      </c>
      <c r="T97" s="29">
        <v>1</v>
      </c>
      <c r="X97" s="34" t="str">
        <f t="shared" si="64"/>
        <v>I-DMD-MAP-E0</v>
      </c>
      <c r="Y97" s="22" t="s">
        <v>141</v>
      </c>
      <c r="Z97" s="14" t="s">
        <v>138</v>
      </c>
      <c r="AA97" s="22" t="s">
        <v>131</v>
      </c>
      <c r="AB97" s="35">
        <f>-L97</f>
        <v>-0.86648000000000003</v>
      </c>
      <c r="AC97" s="35">
        <f>-M97</f>
        <v>-0.86648000000000003</v>
      </c>
      <c r="AD97" s="35">
        <f>-N97</f>
        <v>-0.86648000000000003</v>
      </c>
      <c r="AE97" s="35">
        <f>-O97</f>
        <v>-0.86648000000000003</v>
      </c>
    </row>
    <row r="98" spans="7:33" x14ac:dyDescent="0.35">
      <c r="G98" s="14" t="s">
        <v>130</v>
      </c>
      <c r="H98" s="14" t="s">
        <v>131</v>
      </c>
      <c r="I98" s="14" t="s">
        <v>132</v>
      </c>
      <c r="J98" s="14" t="s">
        <v>89</v>
      </c>
      <c r="K98" s="14" t="s">
        <v>78</v>
      </c>
      <c r="L98" s="23">
        <f>+SUMIFS(Input_shares!$L$2:$L$87,Input_shares!$C$2:$C$87,IND_Shares!$J98,Input_shares!$D$2:$D$87,IND_Shares!$K98)</f>
        <v>0.12481</v>
      </c>
      <c r="M98" s="15"/>
      <c r="N98" s="15"/>
      <c r="O98" s="15"/>
      <c r="P98" s="14">
        <v>5</v>
      </c>
      <c r="R98" s="29">
        <v>0.05</v>
      </c>
      <c r="S98" s="29">
        <v>0.3</v>
      </c>
      <c r="T98" s="29">
        <v>1</v>
      </c>
      <c r="V98" s="14" t="s">
        <v>129</v>
      </c>
    </row>
    <row r="99" spans="7:33" x14ac:dyDescent="0.35">
      <c r="G99" s="14" t="s">
        <v>130</v>
      </c>
      <c r="H99" s="14" t="s">
        <v>131</v>
      </c>
      <c r="I99" s="14" t="s">
        <v>132</v>
      </c>
      <c r="J99" s="14" t="s">
        <v>89</v>
      </c>
      <c r="K99" s="14" t="s">
        <v>109</v>
      </c>
      <c r="L99" s="24">
        <f>+SUMIFS(Input_shares!$L$2:$L$87,Input_shares!$C$2:$C$87,IND_Shares!$J99,Input_shares!$D$2:$D$87,IND_Shares!$K99)</f>
        <v>0</v>
      </c>
      <c r="M99" s="28">
        <f>M93*R97</f>
        <v>4.5000000000000003E-5</v>
      </c>
      <c r="N99" s="28">
        <f>N93*S97</f>
        <v>2.7E-4</v>
      </c>
      <c r="O99" s="28">
        <f>O93*T97</f>
        <v>8.9999999999999998E-4</v>
      </c>
      <c r="P99" s="14">
        <v>5</v>
      </c>
      <c r="R99" s="29">
        <v>0.05</v>
      </c>
      <c r="S99" s="29">
        <v>0.3</v>
      </c>
      <c r="T99" s="29">
        <v>1</v>
      </c>
      <c r="V99" s="14" t="s">
        <v>129</v>
      </c>
    </row>
    <row r="100" spans="7:33" x14ac:dyDescent="0.35">
      <c r="G100" s="14" t="s">
        <v>130</v>
      </c>
      <c r="H100" s="14" t="s">
        <v>131</v>
      </c>
      <c r="I100" s="14" t="s">
        <v>132</v>
      </c>
      <c r="J100" s="14" t="s">
        <v>89</v>
      </c>
      <c r="K100" s="14" t="s">
        <v>110</v>
      </c>
      <c r="L100" s="24">
        <f>+SUMIFS(Input_shares!$L$2:$L$87,Input_shares!$C$2:$C$87,IND_Shares!$J100,Input_shares!$D$2:$D$87,IND_Shares!$K100)</f>
        <v>0</v>
      </c>
      <c r="M100" s="28">
        <f t="shared" ref="M100:O101" si="72">M96*R98</f>
        <v>1.7900000000000001E-4</v>
      </c>
      <c r="N100" s="28">
        <f t="shared" si="72"/>
        <v>1.0739999999999999E-3</v>
      </c>
      <c r="O100" s="28">
        <f t="shared" si="72"/>
        <v>3.5799999999999998E-3</v>
      </c>
      <c r="P100" s="14">
        <v>5</v>
      </c>
      <c r="V100" s="14" t="s">
        <v>129</v>
      </c>
    </row>
    <row r="101" spans="7:33" x14ac:dyDescent="0.35">
      <c r="G101" s="30" t="s">
        <v>130</v>
      </c>
      <c r="H101" s="30" t="s">
        <v>131</v>
      </c>
      <c r="I101" s="30" t="s">
        <v>132</v>
      </c>
      <c r="J101" s="30" t="s">
        <v>89</v>
      </c>
      <c r="K101" s="30" t="s">
        <v>80</v>
      </c>
      <c r="L101" s="31">
        <f>+SUMIFS(Input_shares!$L$2:$L$87,Input_shares!$C$2:$C$87,IND_Shares!$J101,Input_shares!$D$2:$D$87,IND_Shares!$K101)</f>
        <v>0</v>
      </c>
      <c r="M101" s="32">
        <f t="shared" si="72"/>
        <v>4.3324000000000001E-2</v>
      </c>
      <c r="N101" s="32">
        <f t="shared" si="72"/>
        <v>0.25994400000000001</v>
      </c>
      <c r="O101" s="32">
        <f t="shared" si="72"/>
        <v>0.86648000000000003</v>
      </c>
      <c r="P101" s="30">
        <v>5</v>
      </c>
      <c r="V101" s="14" t="s">
        <v>129</v>
      </c>
      <c r="Z101" s="30"/>
    </row>
    <row r="102" spans="7:33" x14ac:dyDescent="0.35">
      <c r="G102" s="17" t="s">
        <v>104</v>
      </c>
      <c r="H102" s="17"/>
      <c r="I102" s="17"/>
      <c r="J102" s="17" t="s">
        <v>120</v>
      </c>
      <c r="K102" s="17"/>
      <c r="L102" s="33"/>
      <c r="M102" s="17"/>
      <c r="N102" s="17"/>
      <c r="O102" s="17"/>
      <c r="P102" s="17"/>
      <c r="V102" s="37" t="str">
        <f>G102</f>
        <v>*Machinery and equipment n.e.c. demand process</v>
      </c>
      <c r="W102" s="38"/>
      <c r="X102" s="38"/>
      <c r="Y102" s="38"/>
      <c r="Z102" s="18"/>
      <c r="AA102" s="38"/>
      <c r="AB102" s="39"/>
      <c r="AC102" s="39"/>
      <c r="AD102" s="39"/>
      <c r="AE102" s="39"/>
      <c r="AF102" s="38"/>
      <c r="AG102" s="38"/>
    </row>
    <row r="103" spans="7:33" x14ac:dyDescent="0.35">
      <c r="G103" s="14" t="s">
        <v>130</v>
      </c>
      <c r="H103" s="14" t="s">
        <v>131</v>
      </c>
      <c r="I103" s="14" t="s">
        <v>132</v>
      </c>
      <c r="J103" s="14" t="s">
        <v>90</v>
      </c>
      <c r="K103" s="14" t="s">
        <v>67</v>
      </c>
      <c r="L103" s="23">
        <f>+SUMIFS(Input_shares!$L$2:$L$87,Input_shares!$C$2:$C$87,IND_Shares!$J103,Input_shares!$D$2:$D$87,IND_Shares!$K103)</f>
        <v>8.5299999999999994E-3</v>
      </c>
      <c r="M103" s="24">
        <f>L103</f>
        <v>8.5299999999999994E-3</v>
      </c>
      <c r="N103" s="24">
        <f>M103</f>
        <v>8.5299999999999994E-3</v>
      </c>
      <c r="O103" s="24">
        <f>N103</f>
        <v>8.5299999999999994E-3</v>
      </c>
      <c r="P103" s="14">
        <v>5</v>
      </c>
      <c r="V103" s="22" t="str">
        <f>"UC_Mitigation_"&amp;$J$102&amp;"_MaxShare_KER-BKE"</f>
        <v>UC_Mitigation_IMAE_MaxShare_KER-BKE</v>
      </c>
      <c r="W103" s="22" t="str">
        <f>"Maximum share of kerosene and Biokerosene in "&amp;$J$102</f>
        <v>Maximum share of kerosene and Biokerosene in IMAE</v>
      </c>
      <c r="X103" s="22" t="str">
        <f>J103</f>
        <v>I-DMD-MAE-E0</v>
      </c>
      <c r="Y103" s="22" t="s">
        <v>136</v>
      </c>
      <c r="Z103" s="14" t="s">
        <v>138</v>
      </c>
      <c r="AA103" s="34" t="str">
        <f>$AA$20</f>
        <v>UP</v>
      </c>
      <c r="AB103" s="25">
        <f>1+AB104</f>
        <v>0.99146999999999996</v>
      </c>
      <c r="AC103" s="25">
        <f t="shared" ref="AC103" si="73">1+AC104</f>
        <v>0.99146999999999996</v>
      </c>
      <c r="AD103" s="25">
        <f t="shared" ref="AD103" si="74">1+AD104</f>
        <v>0.99146999999999996</v>
      </c>
      <c r="AE103" s="25">
        <f t="shared" ref="AE103" si="75">1+AE104</f>
        <v>0.99146999999999996</v>
      </c>
      <c r="AF103" s="8">
        <v>0</v>
      </c>
      <c r="AG103" s="8">
        <v>5</v>
      </c>
    </row>
    <row r="104" spans="7:33" x14ac:dyDescent="0.35">
      <c r="G104" s="14" t="s">
        <v>130</v>
      </c>
      <c r="H104" s="14" t="s">
        <v>131</v>
      </c>
      <c r="I104" s="14" t="s">
        <v>132</v>
      </c>
      <c r="J104" s="14" t="s">
        <v>90</v>
      </c>
      <c r="K104" s="14" t="s">
        <v>69</v>
      </c>
      <c r="L104" s="23">
        <f>+SUMIFS(Input_shares!$L$2:$L$87,Input_shares!$C$2:$C$87,IND_Shares!$J104,Input_shares!$D$2:$D$87,IND_Shares!$K104)</f>
        <v>5.2569999999999999E-2</v>
      </c>
      <c r="M104" s="15"/>
      <c r="N104" s="15"/>
      <c r="O104" s="15"/>
      <c r="P104" s="14">
        <v>5</v>
      </c>
      <c r="X104" s="34" t="str">
        <f>X103</f>
        <v>I-DMD-MAE-E0</v>
      </c>
      <c r="Y104" s="22" t="s">
        <v>140</v>
      </c>
      <c r="Z104" s="14" t="s">
        <v>138</v>
      </c>
      <c r="AA104" s="34" t="str">
        <f>$AA$20</f>
        <v>UP</v>
      </c>
      <c r="AB104" s="35">
        <f>-L103</f>
        <v>-8.5299999999999994E-3</v>
      </c>
      <c r="AC104" s="35">
        <f>-M103</f>
        <v>-8.5299999999999994E-3</v>
      </c>
      <c r="AD104" s="35">
        <f>-N103</f>
        <v>-8.5299999999999994E-3</v>
      </c>
      <c r="AE104" s="35">
        <f>-O103</f>
        <v>-8.5299999999999994E-3</v>
      </c>
    </row>
    <row r="105" spans="7:33" x14ac:dyDescent="0.35">
      <c r="G105" s="14" t="s">
        <v>130</v>
      </c>
      <c r="H105" s="14" t="s">
        <v>131</v>
      </c>
      <c r="I105" s="14" t="s">
        <v>132</v>
      </c>
      <c r="J105" s="14" t="s">
        <v>90</v>
      </c>
      <c r="K105" s="14" t="s">
        <v>70</v>
      </c>
      <c r="L105" s="23">
        <f>+SUMIFS(Input_shares!$L$2:$L$87,Input_shares!$C$2:$C$87,IND_Shares!$J105,Input_shares!$D$2:$D$87,IND_Shares!$K105)</f>
        <v>3.7220000000000003E-2</v>
      </c>
      <c r="M105" s="24">
        <f t="shared" ref="M105:O106" si="76">L105</f>
        <v>3.7220000000000003E-2</v>
      </c>
      <c r="N105" s="24">
        <f t="shared" si="76"/>
        <v>3.7220000000000003E-2</v>
      </c>
      <c r="O105" s="24">
        <f t="shared" si="76"/>
        <v>3.7220000000000003E-2</v>
      </c>
      <c r="P105" s="14">
        <v>5</v>
      </c>
      <c r="V105" s="22" t="str">
        <f>"UC_Mitigation_"&amp;$J$102&amp;"_MaxShare_DST-BDS"</f>
        <v>UC_Mitigation_IMAE_MaxShare_DST-BDS</v>
      </c>
      <c r="W105" s="22" t="str">
        <f>"Maximum share of Diesel and Biodiesel in "&amp;$J$102</f>
        <v>Maximum share of Diesel and Biodiesel in IMAE</v>
      </c>
      <c r="X105" s="34" t="str">
        <f t="shared" ref="X105:X108" si="77">X104</f>
        <v>I-DMD-MAE-E0</v>
      </c>
      <c r="Y105" s="22" t="str">
        <f>Y103</f>
        <v>IND*</v>
      </c>
      <c r="Z105" s="14" t="s">
        <v>138</v>
      </c>
      <c r="AA105" s="34" t="str">
        <f>$AA$20</f>
        <v>UP</v>
      </c>
      <c r="AB105" s="25">
        <f>1+AB106</f>
        <v>0.96277999999999997</v>
      </c>
      <c r="AC105" s="25">
        <f t="shared" ref="AC105" si="78">1+AC106</f>
        <v>0.96277999999999997</v>
      </c>
      <c r="AD105" s="25">
        <f t="shared" ref="AD105" si="79">1+AD106</f>
        <v>0.96277999999999997</v>
      </c>
      <c r="AE105" s="25">
        <f t="shared" ref="AE105" si="80">1+AE106</f>
        <v>0.96277999999999997</v>
      </c>
      <c r="AF105" s="8">
        <v>0</v>
      </c>
      <c r="AG105" s="8">
        <v>5</v>
      </c>
    </row>
    <row r="106" spans="7:33" x14ac:dyDescent="0.35">
      <c r="G106" s="14" t="s">
        <v>130</v>
      </c>
      <c r="H106" s="14" t="s">
        <v>131</v>
      </c>
      <c r="I106" s="14" t="s">
        <v>132</v>
      </c>
      <c r="J106" s="14" t="s">
        <v>90</v>
      </c>
      <c r="K106" s="14" t="s">
        <v>72</v>
      </c>
      <c r="L106" s="23">
        <f>+SUMIFS(Input_shares!$L$2:$L$87,Input_shares!$C$2:$C$87,IND_Shares!$J106,Input_shares!$D$2:$D$87,IND_Shares!$K106)</f>
        <v>0.42292000000000002</v>
      </c>
      <c r="M106" s="24">
        <f t="shared" si="76"/>
        <v>0.42292000000000002</v>
      </c>
      <c r="N106" s="24">
        <f t="shared" si="76"/>
        <v>0.42292000000000002</v>
      </c>
      <c r="O106" s="24">
        <f t="shared" si="76"/>
        <v>0.42292000000000002</v>
      </c>
      <c r="P106" s="14">
        <v>5</v>
      </c>
      <c r="R106" s="29">
        <v>0.05</v>
      </c>
      <c r="S106" s="29">
        <v>0.3</v>
      </c>
      <c r="T106" s="29">
        <v>1</v>
      </c>
      <c r="X106" s="34" t="str">
        <f t="shared" si="77"/>
        <v>I-DMD-MAE-E0</v>
      </c>
      <c r="Y106" s="22" t="s">
        <v>139</v>
      </c>
      <c r="Z106" s="14" t="s">
        <v>138</v>
      </c>
      <c r="AA106" s="34" t="str">
        <f>$AA$20</f>
        <v>UP</v>
      </c>
      <c r="AB106" s="35">
        <f>-L105</f>
        <v>-3.7220000000000003E-2</v>
      </c>
      <c r="AC106" s="35">
        <f>-M105</f>
        <v>-3.7220000000000003E-2</v>
      </c>
      <c r="AD106" s="35">
        <f>-N105</f>
        <v>-3.7220000000000003E-2</v>
      </c>
      <c r="AE106" s="35">
        <f>-O105</f>
        <v>-3.7220000000000003E-2</v>
      </c>
    </row>
    <row r="107" spans="7:33" x14ac:dyDescent="0.35">
      <c r="G107" s="14" t="s">
        <v>130</v>
      </c>
      <c r="H107" s="14" t="s">
        <v>131</v>
      </c>
      <c r="I107" s="14" t="s">
        <v>132</v>
      </c>
      <c r="J107" s="14" t="s">
        <v>90</v>
      </c>
      <c r="K107" s="14" t="s">
        <v>78</v>
      </c>
      <c r="L107" s="23">
        <f>+SUMIFS(Input_shares!$L$2:$L$87,Input_shares!$C$2:$C$87,IND_Shares!$J107,Input_shares!$D$2:$D$87,IND_Shares!$K107)</f>
        <v>0.47877999999999998</v>
      </c>
      <c r="M107" s="15"/>
      <c r="N107" s="15"/>
      <c r="O107" s="15"/>
      <c r="P107" s="14">
        <v>5</v>
      </c>
      <c r="R107" s="29">
        <v>0.05</v>
      </c>
      <c r="S107" s="29">
        <v>0.3</v>
      </c>
      <c r="T107" s="29">
        <v>1</v>
      </c>
      <c r="V107" s="22" t="str">
        <f>"UC_Mitigation_"&amp;$J$102&amp;"_MaxShare_GAS-BGS"</f>
        <v>UC_Mitigation_IMAE_MaxShare_GAS-BGS</v>
      </c>
      <c r="W107" s="22" t="str">
        <f>"Maximum share of Gas and Biogas in "&amp;$J$102</f>
        <v>Maximum share of Gas and Biogas in IMAE</v>
      </c>
      <c r="X107" s="34" t="str">
        <f t="shared" si="77"/>
        <v>I-DMD-MAE-E0</v>
      </c>
      <c r="Y107" s="22" t="str">
        <f>Y105</f>
        <v>IND*</v>
      </c>
      <c r="Z107" s="14" t="s">
        <v>138</v>
      </c>
      <c r="AA107" s="22" t="s">
        <v>131</v>
      </c>
      <c r="AB107" s="25">
        <f>1+AB108</f>
        <v>0.57708000000000004</v>
      </c>
      <c r="AC107" s="25">
        <f t="shared" ref="AC107" si="81">1+AC108</f>
        <v>0.57708000000000004</v>
      </c>
      <c r="AD107" s="25">
        <f t="shared" ref="AD107" si="82">1+AD108</f>
        <v>0.57708000000000004</v>
      </c>
      <c r="AE107" s="25">
        <f t="shared" ref="AE107" si="83">1+AE108</f>
        <v>0.57708000000000004</v>
      </c>
      <c r="AF107" s="8">
        <v>0</v>
      </c>
      <c r="AG107" s="8">
        <v>5</v>
      </c>
    </row>
    <row r="108" spans="7:33" x14ac:dyDescent="0.35">
      <c r="G108" s="14" t="s">
        <v>130</v>
      </c>
      <c r="H108" s="14" t="s">
        <v>131</v>
      </c>
      <c r="I108" s="14" t="s">
        <v>132</v>
      </c>
      <c r="J108" s="14" t="s">
        <v>90</v>
      </c>
      <c r="K108" s="14" t="s">
        <v>109</v>
      </c>
      <c r="L108" s="24">
        <f>+SUMIFS(Input_shares!$L$2:$L$87,Input_shares!$C$2:$C$87,IND_Shares!$J108,Input_shares!$D$2:$D$87,IND_Shares!$K108)</f>
        <v>0</v>
      </c>
      <c r="M108" s="28">
        <f>M103*R106</f>
        <v>4.2650000000000001E-4</v>
      </c>
      <c r="N108" s="28">
        <f>N103*S106</f>
        <v>2.5589999999999996E-3</v>
      </c>
      <c r="O108" s="28">
        <f>O103*T106</f>
        <v>8.5299999999999994E-3</v>
      </c>
      <c r="P108" s="14">
        <v>5</v>
      </c>
      <c r="R108" s="29">
        <v>0.05</v>
      </c>
      <c r="S108" s="29">
        <v>0.3</v>
      </c>
      <c r="T108" s="29">
        <v>1</v>
      </c>
      <c r="X108" s="34" t="str">
        <f t="shared" si="77"/>
        <v>I-DMD-MAE-E0</v>
      </c>
      <c r="Y108" s="22" t="s">
        <v>141</v>
      </c>
      <c r="Z108" s="14" t="s">
        <v>138</v>
      </c>
      <c r="AA108" s="22" t="s">
        <v>131</v>
      </c>
      <c r="AB108" s="35">
        <f>-L106</f>
        <v>-0.42292000000000002</v>
      </c>
      <c r="AC108" s="35">
        <f>-M106</f>
        <v>-0.42292000000000002</v>
      </c>
      <c r="AD108" s="35">
        <f>-N106</f>
        <v>-0.42292000000000002</v>
      </c>
      <c r="AE108" s="35">
        <f>-O106</f>
        <v>-0.42292000000000002</v>
      </c>
    </row>
    <row r="109" spans="7:33" x14ac:dyDescent="0.35">
      <c r="G109" s="14" t="s">
        <v>130</v>
      </c>
      <c r="H109" s="14" t="s">
        <v>131</v>
      </c>
      <c r="I109" s="14" t="s">
        <v>132</v>
      </c>
      <c r="J109" s="14" t="s">
        <v>90</v>
      </c>
      <c r="K109" s="14" t="s">
        <v>110</v>
      </c>
      <c r="L109" s="24">
        <f>+SUMIFS(Input_shares!$L$2:$L$87,Input_shares!$C$2:$C$87,IND_Shares!$J109,Input_shares!$D$2:$D$87,IND_Shares!$K109)</f>
        <v>0</v>
      </c>
      <c r="M109" s="28">
        <f t="shared" ref="M109:O110" si="84">M105*R107</f>
        <v>1.8610000000000002E-3</v>
      </c>
      <c r="N109" s="28">
        <f t="shared" si="84"/>
        <v>1.1166000000000001E-2</v>
      </c>
      <c r="O109" s="28">
        <f t="shared" si="84"/>
        <v>3.7220000000000003E-2</v>
      </c>
      <c r="P109" s="14">
        <v>5</v>
      </c>
      <c r="V109" s="14" t="s">
        <v>129</v>
      </c>
    </row>
    <row r="110" spans="7:33" x14ac:dyDescent="0.35">
      <c r="G110" s="30" t="s">
        <v>130</v>
      </c>
      <c r="H110" s="30" t="s">
        <v>131</v>
      </c>
      <c r="I110" s="30" t="s">
        <v>132</v>
      </c>
      <c r="J110" s="30" t="s">
        <v>90</v>
      </c>
      <c r="K110" s="30" t="s">
        <v>80</v>
      </c>
      <c r="L110" s="31">
        <f>+SUMIFS(Input_shares!$L$2:$L$87,Input_shares!$C$2:$C$87,IND_Shares!$J110,Input_shares!$D$2:$D$87,IND_Shares!$K110)</f>
        <v>0</v>
      </c>
      <c r="M110" s="32">
        <f t="shared" si="84"/>
        <v>2.1146000000000002E-2</v>
      </c>
      <c r="N110" s="32">
        <f t="shared" si="84"/>
        <v>0.12687599999999999</v>
      </c>
      <c r="O110" s="32">
        <f t="shared" si="84"/>
        <v>0.42292000000000002</v>
      </c>
      <c r="P110" s="30">
        <v>5</v>
      </c>
      <c r="V110" s="14" t="s">
        <v>129</v>
      </c>
      <c r="Z110" s="30"/>
    </row>
    <row r="111" spans="7:33" x14ac:dyDescent="0.35">
      <c r="G111" s="17" t="s">
        <v>105</v>
      </c>
      <c r="H111" s="17"/>
      <c r="I111" s="17"/>
      <c r="J111" s="17" t="s">
        <v>121</v>
      </c>
      <c r="K111" s="17"/>
      <c r="L111" s="33"/>
      <c r="M111" s="17"/>
      <c r="N111" s="17"/>
      <c r="O111" s="17"/>
      <c r="P111" s="17"/>
      <c r="V111" s="37" t="str">
        <f>G111</f>
        <v>*Electrical and optical equipment demand process</v>
      </c>
      <c r="W111" s="38"/>
      <c r="X111" s="38"/>
      <c r="Y111" s="38"/>
      <c r="Z111" s="18"/>
      <c r="AA111" s="38"/>
      <c r="AB111" s="39"/>
      <c r="AC111" s="39"/>
      <c r="AD111" s="39"/>
      <c r="AE111" s="39"/>
      <c r="AF111" s="38"/>
      <c r="AG111" s="38"/>
    </row>
    <row r="112" spans="7:33" x14ac:dyDescent="0.35">
      <c r="G112" s="14" t="s">
        <v>130</v>
      </c>
      <c r="H112" s="14" t="s">
        <v>131</v>
      </c>
      <c r="I112" s="14" t="s">
        <v>132</v>
      </c>
      <c r="J112" s="14" t="s">
        <v>91</v>
      </c>
      <c r="K112" s="14" t="s">
        <v>67</v>
      </c>
      <c r="L112" s="23">
        <f>+SUMIFS(Input_shares!$L$2:$L$87,Input_shares!$C$2:$C$87,IND_Shares!$J112,Input_shares!$D$2:$D$87,IND_Shares!$K112)</f>
        <v>2.2899999999999999E-3</v>
      </c>
      <c r="M112" s="24">
        <f>L112</f>
        <v>2.2899999999999999E-3</v>
      </c>
      <c r="N112" s="24">
        <f>M112</f>
        <v>2.2899999999999999E-3</v>
      </c>
      <c r="O112" s="24">
        <f>N112</f>
        <v>2.2899999999999999E-3</v>
      </c>
      <c r="P112" s="14">
        <v>5</v>
      </c>
      <c r="V112" s="22" t="str">
        <f>"UC_Mitigation_"&amp;$J$111&amp;"_MaxShare_KER-BKE"</f>
        <v>UC_Mitigation_IEOE_MaxShare_KER-BKE</v>
      </c>
      <c r="W112" s="22" t="str">
        <f>"Maximum share of kerosene and Biokerosene in "&amp;$J$111</f>
        <v>Maximum share of kerosene and Biokerosene in IEOE</v>
      </c>
      <c r="X112" s="22" t="str">
        <f>J112</f>
        <v>I-DMD-EOE-E0</v>
      </c>
      <c r="Y112" s="22" t="s">
        <v>136</v>
      </c>
      <c r="Z112" s="14" t="s">
        <v>138</v>
      </c>
      <c r="AA112" s="34" t="str">
        <f>$AA$20</f>
        <v>UP</v>
      </c>
      <c r="AB112" s="25">
        <f>1+AB113</f>
        <v>0.99770999999999999</v>
      </c>
      <c r="AC112" s="25">
        <f t="shared" ref="AC112" si="85">1+AC113</f>
        <v>0.99770999999999999</v>
      </c>
      <c r="AD112" s="25">
        <f t="shared" ref="AD112" si="86">1+AD113</f>
        <v>0.99770999999999999</v>
      </c>
      <c r="AE112" s="25">
        <f t="shared" ref="AE112" si="87">1+AE113</f>
        <v>0.99770999999999999</v>
      </c>
      <c r="AF112" s="8">
        <v>0</v>
      </c>
      <c r="AG112" s="8">
        <v>5</v>
      </c>
    </row>
    <row r="113" spans="7:33" x14ac:dyDescent="0.35">
      <c r="G113" s="14" t="s">
        <v>130</v>
      </c>
      <c r="H113" s="14" t="s">
        <v>131</v>
      </c>
      <c r="I113" s="14" t="s">
        <v>132</v>
      </c>
      <c r="J113" s="14" t="s">
        <v>91</v>
      </c>
      <c r="K113" s="14" t="s">
        <v>69</v>
      </c>
      <c r="L113" s="23">
        <f>+SUMIFS(Input_shares!$L$2:$L$87,Input_shares!$C$2:$C$87,IND_Shares!$J113,Input_shares!$D$2:$D$87,IND_Shares!$K113)</f>
        <v>1.4449999999999999E-2</v>
      </c>
      <c r="M113" s="15"/>
      <c r="N113" s="15"/>
      <c r="O113" s="15"/>
      <c r="P113" s="14">
        <v>5</v>
      </c>
      <c r="X113" s="22" t="str">
        <f>X112</f>
        <v>I-DMD-EOE-E0</v>
      </c>
      <c r="Y113" s="22" t="s">
        <v>140</v>
      </c>
      <c r="Z113" s="14" t="s">
        <v>138</v>
      </c>
      <c r="AA113" s="34" t="str">
        <f>$AA$20</f>
        <v>UP</v>
      </c>
      <c r="AB113" s="35">
        <f>-L112</f>
        <v>-2.2899999999999999E-3</v>
      </c>
      <c r="AC113" s="35">
        <f>-M112</f>
        <v>-2.2899999999999999E-3</v>
      </c>
      <c r="AD113" s="35">
        <f>-N112</f>
        <v>-2.2899999999999999E-3</v>
      </c>
      <c r="AE113" s="35">
        <f>-O112</f>
        <v>-2.2899999999999999E-3</v>
      </c>
    </row>
    <row r="114" spans="7:33" x14ac:dyDescent="0.35">
      <c r="G114" s="14" t="s">
        <v>130</v>
      </c>
      <c r="H114" s="14" t="s">
        <v>131</v>
      </c>
      <c r="I114" s="14" t="s">
        <v>132</v>
      </c>
      <c r="J114" s="14" t="s">
        <v>91</v>
      </c>
      <c r="K114" s="14" t="s">
        <v>70</v>
      </c>
      <c r="L114" s="23">
        <f>+SUMIFS(Input_shares!$L$2:$L$87,Input_shares!$C$2:$C$87,IND_Shares!$J114,Input_shares!$D$2:$D$87,IND_Shares!$K114)</f>
        <v>4.4000000000000003E-3</v>
      </c>
      <c r="M114" s="24">
        <f t="shared" ref="M114:O115" si="88">L114</f>
        <v>4.4000000000000003E-3</v>
      </c>
      <c r="N114" s="24">
        <f t="shared" si="88"/>
        <v>4.4000000000000003E-3</v>
      </c>
      <c r="O114" s="24">
        <f t="shared" si="88"/>
        <v>4.4000000000000003E-3</v>
      </c>
      <c r="P114" s="14">
        <v>5</v>
      </c>
      <c r="V114" s="22" t="str">
        <f>"UC_Mitigation_"&amp;$J$111&amp;"_MaxShare_DST-BDS"</f>
        <v>UC_Mitigation_IEOE_MaxShare_DST-BDS</v>
      </c>
      <c r="W114" s="22" t="str">
        <f>"Maximum share of Diesel and Biodiesel in "&amp;$J$111</f>
        <v>Maximum share of Diesel and Biodiesel in IEOE</v>
      </c>
      <c r="X114" s="22" t="str">
        <f t="shared" ref="X114:X117" si="89">X113</f>
        <v>I-DMD-EOE-E0</v>
      </c>
      <c r="Y114" s="22" t="str">
        <f>Y112</f>
        <v>IND*</v>
      </c>
      <c r="Z114" s="14" t="s">
        <v>138</v>
      </c>
      <c r="AA114" s="34" t="str">
        <f>$AA$20</f>
        <v>UP</v>
      </c>
      <c r="AB114" s="25">
        <f>1+AB115</f>
        <v>0.99560000000000004</v>
      </c>
      <c r="AC114" s="25">
        <f t="shared" ref="AC114" si="90">1+AC115</f>
        <v>0.99560000000000004</v>
      </c>
      <c r="AD114" s="25">
        <f t="shared" ref="AD114" si="91">1+AD115</f>
        <v>0.99560000000000004</v>
      </c>
      <c r="AE114" s="25">
        <f t="shared" ref="AE114" si="92">1+AE115</f>
        <v>0.99560000000000004</v>
      </c>
      <c r="AF114" s="8">
        <v>0</v>
      </c>
      <c r="AG114" s="8">
        <v>5</v>
      </c>
    </row>
    <row r="115" spans="7:33" x14ac:dyDescent="0.35">
      <c r="G115" s="14" t="s">
        <v>130</v>
      </c>
      <c r="H115" s="14" t="s">
        <v>131</v>
      </c>
      <c r="I115" s="14" t="s">
        <v>132</v>
      </c>
      <c r="J115" s="14" t="s">
        <v>91</v>
      </c>
      <c r="K115" s="14" t="s">
        <v>72</v>
      </c>
      <c r="L115" s="23">
        <f>+SUMIFS(Input_shares!$L$2:$L$87,Input_shares!$C$2:$C$87,IND_Shares!$J115,Input_shares!$D$2:$D$87,IND_Shares!$K115)</f>
        <v>0.17746999999999999</v>
      </c>
      <c r="M115" s="24">
        <f t="shared" si="88"/>
        <v>0.17746999999999999</v>
      </c>
      <c r="N115" s="24">
        <f t="shared" si="88"/>
        <v>0.17746999999999999</v>
      </c>
      <c r="O115" s="24">
        <f t="shared" si="88"/>
        <v>0.17746999999999999</v>
      </c>
      <c r="P115" s="14">
        <v>5</v>
      </c>
      <c r="R115" s="29">
        <v>0.05</v>
      </c>
      <c r="S115" s="29">
        <v>0.3</v>
      </c>
      <c r="T115" s="29">
        <v>1</v>
      </c>
      <c r="X115" s="22" t="str">
        <f t="shared" si="89"/>
        <v>I-DMD-EOE-E0</v>
      </c>
      <c r="Y115" s="22" t="s">
        <v>139</v>
      </c>
      <c r="Z115" s="14" t="s">
        <v>138</v>
      </c>
      <c r="AA115" s="34" t="str">
        <f>$AA$20</f>
        <v>UP</v>
      </c>
      <c r="AB115" s="35">
        <f>-L114</f>
        <v>-4.4000000000000003E-3</v>
      </c>
      <c r="AC115" s="35">
        <f>-M114</f>
        <v>-4.4000000000000003E-3</v>
      </c>
      <c r="AD115" s="35">
        <f>-N114</f>
        <v>-4.4000000000000003E-3</v>
      </c>
      <c r="AE115" s="35">
        <f>-O114</f>
        <v>-4.4000000000000003E-3</v>
      </c>
    </row>
    <row r="116" spans="7:33" x14ac:dyDescent="0.35">
      <c r="G116" s="14" t="s">
        <v>130</v>
      </c>
      <c r="H116" s="14" t="s">
        <v>131</v>
      </c>
      <c r="I116" s="14" t="s">
        <v>132</v>
      </c>
      <c r="J116" s="14" t="s">
        <v>91</v>
      </c>
      <c r="K116" s="14" t="s">
        <v>78</v>
      </c>
      <c r="L116" s="23">
        <f>+SUMIFS(Input_shares!$L$2:$L$87,Input_shares!$C$2:$C$87,IND_Shares!$J116,Input_shares!$D$2:$D$87,IND_Shares!$K116)</f>
        <v>0.80142000000000002</v>
      </c>
      <c r="M116" s="15"/>
      <c r="N116" s="15"/>
      <c r="O116" s="15"/>
      <c r="P116" s="14">
        <v>5</v>
      </c>
      <c r="R116" s="29">
        <v>0.05</v>
      </c>
      <c r="S116" s="29">
        <v>0.3</v>
      </c>
      <c r="T116" s="29">
        <v>1</v>
      </c>
      <c r="V116" s="22" t="str">
        <f>"UC_Mitigation_"&amp;$J$111&amp;"_MaxShare_GAS-BGS"</f>
        <v>UC_Mitigation_IEOE_MaxShare_GAS-BGS</v>
      </c>
      <c r="W116" s="22" t="str">
        <f>"Maximum share of Gas and Biogas in "&amp;$J$111</f>
        <v>Maximum share of Gas and Biogas in IEOE</v>
      </c>
      <c r="X116" s="22" t="str">
        <f t="shared" si="89"/>
        <v>I-DMD-EOE-E0</v>
      </c>
      <c r="Y116" s="22" t="str">
        <f>Y114</f>
        <v>IND*</v>
      </c>
      <c r="Z116" s="14" t="s">
        <v>138</v>
      </c>
      <c r="AA116" s="22" t="s">
        <v>131</v>
      </c>
      <c r="AB116" s="25">
        <f>1+AB117</f>
        <v>0.82252999999999998</v>
      </c>
      <c r="AC116" s="25">
        <f t="shared" ref="AC116" si="93">1+AC117</f>
        <v>0.82252999999999998</v>
      </c>
      <c r="AD116" s="25">
        <f t="shared" ref="AD116" si="94">1+AD117</f>
        <v>0.82252999999999998</v>
      </c>
      <c r="AE116" s="25">
        <f t="shared" ref="AE116" si="95">1+AE117</f>
        <v>0.82252999999999998</v>
      </c>
      <c r="AF116" s="8">
        <v>0</v>
      </c>
      <c r="AG116" s="8">
        <v>5</v>
      </c>
    </row>
    <row r="117" spans="7:33" x14ac:dyDescent="0.35">
      <c r="G117" s="14" t="s">
        <v>130</v>
      </c>
      <c r="H117" s="14" t="s">
        <v>131</v>
      </c>
      <c r="I117" s="14" t="s">
        <v>132</v>
      </c>
      <c r="J117" s="14" t="s">
        <v>91</v>
      </c>
      <c r="K117" s="14" t="s">
        <v>109</v>
      </c>
      <c r="L117" s="24">
        <f>+SUMIFS(Input_shares!$L$2:$L$87,Input_shares!$C$2:$C$87,IND_Shares!$J117,Input_shares!$D$2:$D$87,IND_Shares!$K117)</f>
        <v>0</v>
      </c>
      <c r="M117" s="28">
        <f>M112*R115</f>
        <v>1.145E-4</v>
      </c>
      <c r="N117" s="28">
        <f>N112*S115</f>
        <v>6.87E-4</v>
      </c>
      <c r="O117" s="28">
        <f>O112*T115</f>
        <v>2.2899999999999999E-3</v>
      </c>
      <c r="P117" s="14">
        <v>5</v>
      </c>
      <c r="R117" s="29">
        <v>0.05</v>
      </c>
      <c r="S117" s="29">
        <v>0.3</v>
      </c>
      <c r="T117" s="29">
        <v>1</v>
      </c>
      <c r="X117" s="22" t="str">
        <f t="shared" si="89"/>
        <v>I-DMD-EOE-E0</v>
      </c>
      <c r="Y117" s="22" t="s">
        <v>141</v>
      </c>
      <c r="Z117" s="14" t="s">
        <v>138</v>
      </c>
      <c r="AA117" s="22" t="s">
        <v>131</v>
      </c>
      <c r="AB117" s="35">
        <f>-L115</f>
        <v>-0.17746999999999999</v>
      </c>
      <c r="AC117" s="35">
        <f>-M115</f>
        <v>-0.17746999999999999</v>
      </c>
      <c r="AD117" s="35">
        <f>-N115</f>
        <v>-0.17746999999999999</v>
      </c>
      <c r="AE117" s="35">
        <f>-O115</f>
        <v>-0.17746999999999999</v>
      </c>
    </row>
    <row r="118" spans="7:33" x14ac:dyDescent="0.35">
      <c r="G118" s="14" t="s">
        <v>130</v>
      </c>
      <c r="H118" s="14" t="s">
        <v>131</v>
      </c>
      <c r="I118" s="14" t="s">
        <v>132</v>
      </c>
      <c r="J118" s="14" t="s">
        <v>91</v>
      </c>
      <c r="K118" s="14" t="s">
        <v>110</v>
      </c>
      <c r="L118" s="24">
        <f>+SUMIFS(Input_shares!$L$2:$L$87,Input_shares!$C$2:$C$87,IND_Shares!$J118,Input_shares!$D$2:$D$87,IND_Shares!$K118)</f>
        <v>0</v>
      </c>
      <c r="M118" s="28">
        <f t="shared" ref="M118:O119" si="96">M114*R116</f>
        <v>2.2000000000000003E-4</v>
      </c>
      <c r="N118" s="28">
        <f t="shared" si="96"/>
        <v>1.32E-3</v>
      </c>
      <c r="O118" s="28">
        <f t="shared" si="96"/>
        <v>4.4000000000000003E-3</v>
      </c>
      <c r="P118" s="14">
        <v>5</v>
      </c>
      <c r="V118" s="14" t="s">
        <v>129</v>
      </c>
    </row>
    <row r="119" spans="7:33" x14ac:dyDescent="0.35">
      <c r="G119" s="30" t="s">
        <v>130</v>
      </c>
      <c r="H119" s="30" t="s">
        <v>131</v>
      </c>
      <c r="I119" s="30" t="s">
        <v>132</v>
      </c>
      <c r="J119" s="30" t="s">
        <v>91</v>
      </c>
      <c r="K119" s="30" t="s">
        <v>80</v>
      </c>
      <c r="L119" s="31">
        <f>+SUMIFS(Input_shares!$L$2:$L$87,Input_shares!$C$2:$C$87,IND_Shares!$J119,Input_shares!$D$2:$D$87,IND_Shares!$K119)</f>
        <v>0</v>
      </c>
      <c r="M119" s="32">
        <f t="shared" si="96"/>
        <v>8.8734999999999994E-3</v>
      </c>
      <c r="N119" s="32">
        <f t="shared" si="96"/>
        <v>5.3240999999999997E-2</v>
      </c>
      <c r="O119" s="32">
        <f t="shared" si="96"/>
        <v>0.17746999999999999</v>
      </c>
      <c r="P119" s="30">
        <v>5</v>
      </c>
      <c r="V119" s="14" t="s">
        <v>129</v>
      </c>
      <c r="Z119" s="30"/>
    </row>
    <row r="120" spans="7:33" x14ac:dyDescent="0.35">
      <c r="G120" s="17" t="s">
        <v>106</v>
      </c>
      <c r="H120" s="17"/>
      <c r="I120" s="17"/>
      <c r="J120" s="17" t="s">
        <v>122</v>
      </c>
      <c r="K120" s="17"/>
      <c r="L120" s="33"/>
      <c r="M120" s="17"/>
      <c r="N120" s="17"/>
      <c r="O120" s="17"/>
      <c r="P120" s="17"/>
      <c r="V120" s="37" t="str">
        <f>G120</f>
        <v>*Transport equipment manufacture demand process</v>
      </c>
      <c r="W120" s="38"/>
      <c r="X120" s="38"/>
      <c r="Y120" s="38"/>
      <c r="Z120" s="18"/>
      <c r="AA120" s="38"/>
      <c r="AB120" s="39"/>
      <c r="AC120" s="39"/>
      <c r="AD120" s="39"/>
      <c r="AE120" s="39"/>
      <c r="AF120" s="38"/>
      <c r="AG120" s="38"/>
    </row>
    <row r="121" spans="7:33" x14ac:dyDescent="0.35">
      <c r="G121" s="14" t="s">
        <v>130</v>
      </c>
      <c r="H121" s="14" t="s">
        <v>131</v>
      </c>
      <c r="I121" s="14" t="s">
        <v>132</v>
      </c>
      <c r="J121" s="14" t="s">
        <v>92</v>
      </c>
      <c r="K121" s="14" t="s">
        <v>67</v>
      </c>
      <c r="L121" s="23">
        <f>+SUMIFS(Input_shares!$L$2:$L$87,Input_shares!$C$2:$C$87,IND_Shares!$J121,Input_shares!$D$2:$D$87,IND_Shares!$K121)</f>
        <v>1.34E-2</v>
      </c>
      <c r="M121" s="24">
        <f>L121</f>
        <v>1.34E-2</v>
      </c>
      <c r="N121" s="24">
        <f>M121</f>
        <v>1.34E-2</v>
      </c>
      <c r="O121" s="24">
        <f>N121</f>
        <v>1.34E-2</v>
      </c>
      <c r="P121" s="14">
        <v>5</v>
      </c>
      <c r="V121" s="22" t="str">
        <f>"UC_Mitigation_"&amp;$J$120&amp;"_MaxShare_KER-BKE"</f>
        <v>UC_Mitigation_ITEM_MaxShare_KER-BKE</v>
      </c>
      <c r="W121" s="22" t="str">
        <f>"Maximum share of kerosene and Biokerosene in "&amp;$J$120</f>
        <v>Maximum share of kerosene and Biokerosene in ITEM</v>
      </c>
      <c r="X121" s="22" t="str">
        <f>J121</f>
        <v>I-DMD-TEM-E0</v>
      </c>
      <c r="Y121" s="22" t="s">
        <v>136</v>
      </c>
      <c r="Z121" s="14" t="s">
        <v>138</v>
      </c>
      <c r="AA121" s="34" t="str">
        <f>$AA$20</f>
        <v>UP</v>
      </c>
      <c r="AB121" s="25">
        <f>1+AB122</f>
        <v>0.98660000000000003</v>
      </c>
      <c r="AC121" s="25">
        <f t="shared" ref="AC121" si="97">1+AC122</f>
        <v>0.98660000000000003</v>
      </c>
      <c r="AD121" s="25">
        <f t="shared" ref="AD121" si="98">1+AD122</f>
        <v>0.98660000000000003</v>
      </c>
      <c r="AE121" s="25">
        <f t="shared" ref="AE121" si="99">1+AE122</f>
        <v>0.98660000000000003</v>
      </c>
      <c r="AF121" s="8">
        <v>0</v>
      </c>
      <c r="AG121" s="8">
        <v>5</v>
      </c>
    </row>
    <row r="122" spans="7:33" x14ac:dyDescent="0.35">
      <c r="G122" s="14" t="s">
        <v>130</v>
      </c>
      <c r="H122" s="14" t="s">
        <v>131</v>
      </c>
      <c r="I122" s="14" t="s">
        <v>132</v>
      </c>
      <c r="J122" s="14" t="s">
        <v>92</v>
      </c>
      <c r="K122" s="14" t="s">
        <v>69</v>
      </c>
      <c r="L122" s="23">
        <f>+SUMIFS(Input_shares!$L$2:$L$87,Input_shares!$C$2:$C$87,IND_Shares!$J122,Input_shares!$D$2:$D$87,IND_Shares!$K122)</f>
        <v>0.16417999999999999</v>
      </c>
      <c r="M122" s="15"/>
      <c r="N122" s="15"/>
      <c r="O122" s="15"/>
      <c r="P122" s="14">
        <v>5</v>
      </c>
      <c r="X122" s="34" t="str">
        <f>X121</f>
        <v>I-DMD-TEM-E0</v>
      </c>
      <c r="Y122" s="22" t="s">
        <v>140</v>
      </c>
      <c r="Z122" s="14" t="s">
        <v>138</v>
      </c>
      <c r="AA122" s="34" t="str">
        <f>$AA$20</f>
        <v>UP</v>
      </c>
      <c r="AB122" s="35">
        <f>-L121</f>
        <v>-1.34E-2</v>
      </c>
      <c r="AC122" s="35">
        <f>-M121</f>
        <v>-1.34E-2</v>
      </c>
      <c r="AD122" s="35">
        <f>-N121</f>
        <v>-1.34E-2</v>
      </c>
      <c r="AE122" s="35">
        <f>-O121</f>
        <v>-1.34E-2</v>
      </c>
    </row>
    <row r="123" spans="7:33" x14ac:dyDescent="0.35">
      <c r="G123" s="14" t="s">
        <v>130</v>
      </c>
      <c r="H123" s="14" t="s">
        <v>131</v>
      </c>
      <c r="I123" s="14" t="s">
        <v>132</v>
      </c>
      <c r="J123" s="14" t="s">
        <v>92</v>
      </c>
      <c r="K123" s="14" t="s">
        <v>70</v>
      </c>
      <c r="L123" s="23">
        <f>+SUMIFS(Input_shares!$L$2:$L$87,Input_shares!$C$2:$C$87,IND_Shares!$J123,Input_shares!$D$2:$D$87,IND_Shares!$K123)</f>
        <v>4.5650000000000003E-2</v>
      </c>
      <c r="M123" s="24">
        <f t="shared" ref="M123:O124" si="100">L123</f>
        <v>4.5650000000000003E-2</v>
      </c>
      <c r="N123" s="24">
        <f t="shared" si="100"/>
        <v>4.5650000000000003E-2</v>
      </c>
      <c r="O123" s="24">
        <f t="shared" si="100"/>
        <v>4.5650000000000003E-2</v>
      </c>
      <c r="P123" s="14">
        <v>5</v>
      </c>
      <c r="V123" s="22" t="str">
        <f>"UC_Mitigation_"&amp;$J$120&amp;"_MaxShare_DST-BDS"</f>
        <v>UC_Mitigation_ITEM_MaxShare_DST-BDS</v>
      </c>
      <c r="W123" s="22" t="str">
        <f>"Maximum share of Diesel and Biodiesel in "&amp;$J$120</f>
        <v>Maximum share of Diesel and Biodiesel in ITEM</v>
      </c>
      <c r="X123" s="34" t="str">
        <f t="shared" ref="X123:X126" si="101">X122</f>
        <v>I-DMD-TEM-E0</v>
      </c>
      <c r="Y123" s="22" t="str">
        <f>Y121</f>
        <v>IND*</v>
      </c>
      <c r="Z123" s="14" t="s">
        <v>138</v>
      </c>
      <c r="AA123" s="34" t="str">
        <f>$AA$20</f>
        <v>UP</v>
      </c>
      <c r="AB123" s="25">
        <f>1+AB124</f>
        <v>0.95435000000000003</v>
      </c>
      <c r="AC123" s="25">
        <f t="shared" ref="AC123" si="102">1+AC124</f>
        <v>0.95435000000000003</v>
      </c>
      <c r="AD123" s="25">
        <f t="shared" ref="AD123" si="103">1+AD124</f>
        <v>0.95435000000000003</v>
      </c>
      <c r="AE123" s="25">
        <f t="shared" ref="AE123" si="104">1+AE124</f>
        <v>0.95435000000000003</v>
      </c>
      <c r="AF123" s="8">
        <v>0</v>
      </c>
      <c r="AG123" s="8">
        <v>5</v>
      </c>
    </row>
    <row r="124" spans="7:33" x14ac:dyDescent="0.35">
      <c r="G124" s="14" t="s">
        <v>130</v>
      </c>
      <c r="H124" s="14" t="s">
        <v>131</v>
      </c>
      <c r="I124" s="14" t="s">
        <v>132</v>
      </c>
      <c r="J124" s="14" t="s">
        <v>92</v>
      </c>
      <c r="K124" s="14" t="s">
        <v>72</v>
      </c>
      <c r="L124" s="23">
        <f>+SUMIFS(Input_shares!$L$2:$L$87,Input_shares!$C$2:$C$87,IND_Shares!$J124,Input_shares!$D$2:$D$87,IND_Shares!$K124)</f>
        <v>0.20462</v>
      </c>
      <c r="M124" s="24">
        <f t="shared" si="100"/>
        <v>0.20462</v>
      </c>
      <c r="N124" s="24">
        <f t="shared" si="100"/>
        <v>0.20462</v>
      </c>
      <c r="O124" s="24">
        <f t="shared" si="100"/>
        <v>0.20462</v>
      </c>
      <c r="P124" s="14">
        <v>5</v>
      </c>
      <c r="R124" s="29">
        <v>0.05</v>
      </c>
      <c r="S124" s="29">
        <v>0.3</v>
      </c>
      <c r="T124" s="29">
        <v>1</v>
      </c>
      <c r="X124" s="34" t="str">
        <f t="shared" si="101"/>
        <v>I-DMD-TEM-E0</v>
      </c>
      <c r="Y124" s="22" t="s">
        <v>139</v>
      </c>
      <c r="Z124" s="14" t="s">
        <v>138</v>
      </c>
      <c r="AA124" s="34" t="str">
        <f>$AA$20</f>
        <v>UP</v>
      </c>
      <c r="AB124" s="35">
        <f>-L123</f>
        <v>-4.5650000000000003E-2</v>
      </c>
      <c r="AC124" s="35">
        <f>-M123</f>
        <v>-4.5650000000000003E-2</v>
      </c>
      <c r="AD124" s="35">
        <f>-N123</f>
        <v>-4.5650000000000003E-2</v>
      </c>
      <c r="AE124" s="35">
        <f>-O123</f>
        <v>-4.5650000000000003E-2</v>
      </c>
    </row>
    <row r="125" spans="7:33" x14ac:dyDescent="0.35">
      <c r="G125" s="14" t="s">
        <v>130</v>
      </c>
      <c r="H125" s="14" t="s">
        <v>131</v>
      </c>
      <c r="I125" s="14" t="s">
        <v>132</v>
      </c>
      <c r="J125" s="14" t="s">
        <v>92</v>
      </c>
      <c r="K125" s="14" t="s">
        <v>78</v>
      </c>
      <c r="L125" s="23">
        <f>+SUMIFS(Input_shares!$L$2:$L$87,Input_shares!$C$2:$C$87,IND_Shares!$J125,Input_shares!$D$2:$D$87,IND_Shares!$K125)</f>
        <v>0.57218000000000002</v>
      </c>
      <c r="M125" s="15"/>
      <c r="N125" s="15"/>
      <c r="O125" s="15"/>
      <c r="P125" s="14">
        <v>5</v>
      </c>
      <c r="R125" s="29">
        <v>0.05</v>
      </c>
      <c r="S125" s="29">
        <v>0.3</v>
      </c>
      <c r="T125" s="29">
        <v>1</v>
      </c>
      <c r="V125" s="22" t="str">
        <f>"UC_Mitigation_"&amp;$J$120&amp;"_MaxShare_GAS-BGS"</f>
        <v>UC_Mitigation_ITEM_MaxShare_GAS-BGS</v>
      </c>
      <c r="W125" s="22" t="str">
        <f>"Maximum share of Gas and Biogas in "&amp;$J$120</f>
        <v>Maximum share of Gas and Biogas in ITEM</v>
      </c>
      <c r="X125" s="34" t="str">
        <f t="shared" si="101"/>
        <v>I-DMD-TEM-E0</v>
      </c>
      <c r="Y125" s="22" t="str">
        <f>Y123</f>
        <v>IND*</v>
      </c>
      <c r="Z125" s="14" t="s">
        <v>138</v>
      </c>
      <c r="AA125" s="22" t="s">
        <v>131</v>
      </c>
      <c r="AB125" s="25">
        <f>1+AB126</f>
        <v>0.79537999999999998</v>
      </c>
      <c r="AC125" s="25">
        <f t="shared" ref="AC125" si="105">1+AC126</f>
        <v>0.79537999999999998</v>
      </c>
      <c r="AD125" s="25">
        <f t="shared" ref="AD125" si="106">1+AD126</f>
        <v>0.79537999999999998</v>
      </c>
      <c r="AE125" s="25">
        <f t="shared" ref="AE125" si="107">1+AE126</f>
        <v>0.79537999999999998</v>
      </c>
      <c r="AF125" s="8">
        <v>0</v>
      </c>
      <c r="AG125" s="8">
        <v>5</v>
      </c>
    </row>
    <row r="126" spans="7:33" x14ac:dyDescent="0.35">
      <c r="G126" s="14" t="s">
        <v>130</v>
      </c>
      <c r="H126" s="14" t="s">
        <v>131</v>
      </c>
      <c r="I126" s="14" t="s">
        <v>132</v>
      </c>
      <c r="J126" s="14" t="s">
        <v>92</v>
      </c>
      <c r="K126" s="14" t="s">
        <v>109</v>
      </c>
      <c r="L126" s="24">
        <f>+SUMIFS(Input_shares!$L$2:$L$87,Input_shares!$C$2:$C$87,IND_Shares!$J126,Input_shares!$D$2:$D$87,IND_Shares!$K126)</f>
        <v>0</v>
      </c>
      <c r="M126" s="28">
        <f>M121*R124</f>
        <v>6.7000000000000002E-4</v>
      </c>
      <c r="N126" s="28">
        <f>N121*S124</f>
        <v>4.0200000000000001E-3</v>
      </c>
      <c r="O126" s="28">
        <f>O121*T124</f>
        <v>1.34E-2</v>
      </c>
      <c r="P126" s="14">
        <v>5</v>
      </c>
      <c r="R126" s="29">
        <v>0.05</v>
      </c>
      <c r="S126" s="29">
        <v>0.3</v>
      </c>
      <c r="T126" s="29">
        <v>1</v>
      </c>
      <c r="X126" s="34" t="str">
        <f t="shared" si="101"/>
        <v>I-DMD-TEM-E0</v>
      </c>
      <c r="Y126" s="22" t="s">
        <v>141</v>
      </c>
      <c r="Z126" s="14" t="s">
        <v>138</v>
      </c>
      <c r="AA126" s="22" t="s">
        <v>131</v>
      </c>
      <c r="AB126" s="35">
        <f>-L124</f>
        <v>-0.20462</v>
      </c>
      <c r="AC126" s="35">
        <f>-M124</f>
        <v>-0.20462</v>
      </c>
      <c r="AD126" s="35">
        <f>-N124</f>
        <v>-0.20462</v>
      </c>
      <c r="AE126" s="35">
        <f>-O124</f>
        <v>-0.20462</v>
      </c>
    </row>
    <row r="127" spans="7:33" x14ac:dyDescent="0.35">
      <c r="G127" s="14" t="s">
        <v>130</v>
      </c>
      <c r="H127" s="14" t="s">
        <v>131</v>
      </c>
      <c r="I127" s="14" t="s">
        <v>132</v>
      </c>
      <c r="J127" s="14" t="s">
        <v>92</v>
      </c>
      <c r="K127" s="14" t="s">
        <v>110</v>
      </c>
      <c r="L127" s="24">
        <f>+SUMIFS(Input_shares!$L$2:$L$87,Input_shares!$C$2:$C$87,IND_Shares!$J127,Input_shares!$D$2:$D$87,IND_Shares!$K127)</f>
        <v>0</v>
      </c>
      <c r="M127" s="28">
        <f t="shared" ref="M127:O128" si="108">M123*R126</f>
        <v>2.2825000000000002E-3</v>
      </c>
      <c r="N127" s="28">
        <f t="shared" si="108"/>
        <v>1.3695000000000001E-2</v>
      </c>
      <c r="O127" s="28">
        <f t="shared" si="108"/>
        <v>4.5650000000000003E-2</v>
      </c>
      <c r="P127" s="14">
        <v>5</v>
      </c>
      <c r="V127" s="14" t="s">
        <v>129</v>
      </c>
    </row>
    <row r="128" spans="7:33" x14ac:dyDescent="0.35">
      <c r="G128" s="30" t="s">
        <v>130</v>
      </c>
      <c r="H128" s="30" t="s">
        <v>131</v>
      </c>
      <c r="I128" s="30" t="s">
        <v>132</v>
      </c>
      <c r="J128" s="30" t="s">
        <v>92</v>
      </c>
      <c r="K128" s="30" t="s">
        <v>80</v>
      </c>
      <c r="L128" s="31">
        <f>+SUMIFS(Input_shares!$L$2:$L$87,Input_shares!$C$2:$C$87,IND_Shares!$J128,Input_shares!$D$2:$D$87,IND_Shares!$K128)</f>
        <v>0</v>
      </c>
      <c r="M128" s="32">
        <f t="shared" si="108"/>
        <v>0</v>
      </c>
      <c r="N128" s="32">
        <f t="shared" si="108"/>
        <v>0</v>
      </c>
      <c r="O128" s="32">
        <f t="shared" si="108"/>
        <v>0</v>
      </c>
      <c r="P128" s="30">
        <v>5</v>
      </c>
      <c r="V128" s="14" t="s">
        <v>129</v>
      </c>
      <c r="Z128" s="30"/>
    </row>
    <row r="129" spans="7:33" x14ac:dyDescent="0.35">
      <c r="G129" s="17" t="s">
        <v>107</v>
      </c>
      <c r="H129" s="17"/>
      <c r="I129" s="17"/>
      <c r="J129" s="17" t="s">
        <v>123</v>
      </c>
      <c r="K129" s="17"/>
      <c r="L129" s="33"/>
      <c r="M129" s="17"/>
      <c r="N129" s="17"/>
      <c r="O129" s="17"/>
      <c r="P129" s="17"/>
      <c r="V129" s="37" t="str">
        <f>G129</f>
        <v>*Other manufacturing demand process</v>
      </c>
      <c r="W129" s="38"/>
      <c r="X129" s="38"/>
      <c r="Y129" s="38"/>
      <c r="Z129" s="18"/>
      <c r="AA129" s="38"/>
      <c r="AB129" s="39"/>
      <c r="AC129" s="39"/>
      <c r="AD129" s="39"/>
      <c r="AE129" s="39"/>
      <c r="AF129" s="38"/>
      <c r="AG129" s="38"/>
    </row>
    <row r="130" spans="7:33" x14ac:dyDescent="0.35">
      <c r="G130" s="14" t="s">
        <v>130</v>
      </c>
      <c r="H130" s="14" t="s">
        <v>131</v>
      </c>
      <c r="I130" s="14" t="s">
        <v>132</v>
      </c>
      <c r="J130" s="14" t="s">
        <v>93</v>
      </c>
      <c r="K130" s="14" t="s">
        <v>67</v>
      </c>
      <c r="L130" s="23">
        <f>+SUMIFS(Input_shares!$L$2:$L$87,Input_shares!$C$2:$C$87,IND_Shares!$J130,Input_shares!$D$2:$D$87,IND_Shares!$K130)</f>
        <v>3.7599999999999999E-3</v>
      </c>
      <c r="M130" s="24">
        <f>L130</f>
        <v>3.7599999999999999E-3</v>
      </c>
      <c r="N130" s="24">
        <f>M130</f>
        <v>3.7599999999999999E-3</v>
      </c>
      <c r="O130" s="24">
        <f>N130</f>
        <v>3.7599999999999999E-3</v>
      </c>
      <c r="P130" s="14">
        <v>5</v>
      </c>
      <c r="V130" s="22" t="str">
        <f>"UC_Mitigation_"&amp;$J$129&amp;"_MaxShare_KER-BKE"</f>
        <v>UC_Mitigation_IOMA_MaxShare_KER-BKE</v>
      </c>
      <c r="W130" s="22" t="str">
        <f>"Maximum share of kerosene and Biokerosene in "&amp;$J$129</f>
        <v>Maximum share of kerosene and Biokerosene in IOMA</v>
      </c>
      <c r="X130" s="22" t="str">
        <f>J130</f>
        <v>I-DMD-OMA-E0</v>
      </c>
      <c r="Y130" s="22" t="s">
        <v>136</v>
      </c>
      <c r="Z130" s="14" t="s">
        <v>138</v>
      </c>
      <c r="AA130" s="34" t="str">
        <f>$AA$20</f>
        <v>UP</v>
      </c>
      <c r="AB130" s="25">
        <f>1+AB131</f>
        <v>0.99624000000000001</v>
      </c>
      <c r="AC130" s="25">
        <f t="shared" ref="AC130" si="109">1+AC131</f>
        <v>0.99624000000000001</v>
      </c>
      <c r="AD130" s="25">
        <f t="shared" ref="AD130" si="110">1+AD131</f>
        <v>0.99624000000000001</v>
      </c>
      <c r="AE130" s="25">
        <f t="shared" ref="AE130" si="111">1+AE131</f>
        <v>0.99624000000000001</v>
      </c>
      <c r="AF130" s="8">
        <v>0</v>
      </c>
      <c r="AG130" s="8">
        <v>5</v>
      </c>
    </row>
    <row r="131" spans="7:33" x14ac:dyDescent="0.35">
      <c r="G131" s="14" t="s">
        <v>130</v>
      </c>
      <c r="H131" s="14" t="s">
        <v>131</v>
      </c>
      <c r="I131" s="14" t="s">
        <v>132</v>
      </c>
      <c r="J131" s="14" t="s">
        <v>93</v>
      </c>
      <c r="K131" s="14" t="s">
        <v>68</v>
      </c>
      <c r="L131" s="23">
        <f>+SUMIFS(Input_shares!$L$2:$L$87,Input_shares!$C$2:$C$87,IND_Shares!$J131,Input_shares!$D$2:$D$87,IND_Shares!$K131)</f>
        <v>3.0630000000000001E-2</v>
      </c>
      <c r="M131" s="15"/>
      <c r="N131" s="15"/>
      <c r="O131" s="15"/>
      <c r="P131" s="14">
        <v>5</v>
      </c>
      <c r="X131" s="34" t="str">
        <f>X130</f>
        <v>I-DMD-OMA-E0</v>
      </c>
      <c r="Y131" s="22" t="s">
        <v>140</v>
      </c>
      <c r="Z131" s="14" t="s">
        <v>138</v>
      </c>
      <c r="AA131" s="34" t="str">
        <f>$AA$20</f>
        <v>UP</v>
      </c>
      <c r="AB131" s="35">
        <f>-L130</f>
        <v>-3.7599999999999999E-3</v>
      </c>
      <c r="AC131" s="35">
        <f>-M130</f>
        <v>-3.7599999999999999E-3</v>
      </c>
      <c r="AD131" s="35">
        <f>-N130</f>
        <v>-3.7599999999999999E-3</v>
      </c>
      <c r="AE131" s="35">
        <f>-O130</f>
        <v>-3.7599999999999999E-3</v>
      </c>
    </row>
    <row r="132" spans="7:33" x14ac:dyDescent="0.35">
      <c r="G132" s="14" t="s">
        <v>130</v>
      </c>
      <c r="H132" s="14" t="s">
        <v>131</v>
      </c>
      <c r="I132" s="14" t="s">
        <v>132</v>
      </c>
      <c r="J132" s="14" t="s">
        <v>93</v>
      </c>
      <c r="K132" s="14" t="s">
        <v>69</v>
      </c>
      <c r="L132" s="23">
        <f>+SUMIFS(Input_shares!$L$2:$L$87,Input_shares!$C$2:$C$87,IND_Shares!$J132,Input_shares!$D$2:$D$87,IND_Shares!$K132)</f>
        <v>5.0340000000000003E-2</v>
      </c>
      <c r="M132" s="15"/>
      <c r="N132" s="15"/>
      <c r="O132" s="15"/>
      <c r="P132" s="14">
        <v>5</v>
      </c>
      <c r="V132" s="22" t="str">
        <f>"UC_Mitigation_"&amp;$J$129&amp;"_MaxShare_DST-BDS"</f>
        <v>UC_Mitigation_IOMA_MaxShare_DST-BDS</v>
      </c>
      <c r="W132" s="22" t="str">
        <f>"Maximum share of Diesel and Biodiesel in "&amp;$J$129</f>
        <v>Maximum share of Diesel and Biodiesel in IOMA</v>
      </c>
      <c r="X132" s="34" t="str">
        <f t="shared" ref="X132:X135" si="112">X131</f>
        <v>I-DMD-OMA-E0</v>
      </c>
      <c r="Y132" s="22" t="str">
        <f>Y130</f>
        <v>IND*</v>
      </c>
      <c r="Z132" s="14" t="s">
        <v>138</v>
      </c>
      <c r="AA132" s="34" t="str">
        <f>$AA$20</f>
        <v>UP</v>
      </c>
      <c r="AB132" s="25">
        <f>1+AB133</f>
        <v>0.98292000000000002</v>
      </c>
      <c r="AC132" s="25">
        <f t="shared" ref="AC132" si="113">1+AC133</f>
        <v>0.98292000000000002</v>
      </c>
      <c r="AD132" s="25">
        <f t="shared" ref="AD132" si="114">1+AD133</f>
        <v>0.98292000000000002</v>
      </c>
      <c r="AE132" s="25">
        <f t="shared" ref="AE132" si="115">1+AE133</f>
        <v>0.98292000000000002</v>
      </c>
      <c r="AF132" s="8">
        <v>0</v>
      </c>
      <c r="AG132" s="8">
        <v>5</v>
      </c>
    </row>
    <row r="133" spans="7:33" x14ac:dyDescent="0.35">
      <c r="G133" s="14" t="s">
        <v>130</v>
      </c>
      <c r="H133" s="14" t="s">
        <v>131</v>
      </c>
      <c r="I133" s="14" t="s">
        <v>132</v>
      </c>
      <c r="J133" s="14" t="s">
        <v>93</v>
      </c>
      <c r="K133" s="14" t="s">
        <v>70</v>
      </c>
      <c r="L133" s="23">
        <f>+SUMIFS(Input_shares!$L$2:$L$87,Input_shares!$C$2:$C$87,IND_Shares!$J133,Input_shares!$D$2:$D$87,IND_Shares!$K133)</f>
        <v>1.7080000000000001E-2</v>
      </c>
      <c r="M133" s="24">
        <f t="shared" ref="M133:O134" si="116">L133</f>
        <v>1.7080000000000001E-2</v>
      </c>
      <c r="N133" s="24">
        <f t="shared" si="116"/>
        <v>1.7080000000000001E-2</v>
      </c>
      <c r="O133" s="24">
        <f t="shared" si="116"/>
        <v>1.7080000000000001E-2</v>
      </c>
      <c r="P133" s="14">
        <v>5</v>
      </c>
      <c r="X133" s="34" t="str">
        <f t="shared" si="112"/>
        <v>I-DMD-OMA-E0</v>
      </c>
      <c r="Y133" s="22" t="s">
        <v>139</v>
      </c>
      <c r="Z133" s="14" t="s">
        <v>138</v>
      </c>
      <c r="AA133" s="34" t="str">
        <f>$AA$20</f>
        <v>UP</v>
      </c>
      <c r="AB133" s="35">
        <f>-L133</f>
        <v>-1.7080000000000001E-2</v>
      </c>
      <c r="AC133" s="35">
        <f>-M133</f>
        <v>-1.7080000000000001E-2</v>
      </c>
      <c r="AD133" s="35">
        <f>-N133</f>
        <v>-1.7080000000000001E-2</v>
      </c>
      <c r="AE133" s="35">
        <f>-O133</f>
        <v>-1.7080000000000001E-2</v>
      </c>
    </row>
    <row r="134" spans="7:33" x14ac:dyDescent="0.35">
      <c r="G134" s="14" t="s">
        <v>130</v>
      </c>
      <c r="H134" s="14" t="s">
        <v>131</v>
      </c>
      <c r="I134" s="14" t="s">
        <v>132</v>
      </c>
      <c r="J134" s="14" t="s">
        <v>93</v>
      </c>
      <c r="K134" s="14" t="s">
        <v>72</v>
      </c>
      <c r="L134" s="23">
        <f>+SUMIFS(Input_shares!$L$2:$L$87,Input_shares!$C$2:$C$87,IND_Shares!$J134,Input_shares!$D$2:$D$87,IND_Shares!$K134)</f>
        <v>0.42902000000000001</v>
      </c>
      <c r="M134" s="24">
        <f t="shared" si="116"/>
        <v>0.42902000000000001</v>
      </c>
      <c r="N134" s="24">
        <f t="shared" si="116"/>
        <v>0.42902000000000001</v>
      </c>
      <c r="O134" s="24">
        <f t="shared" si="116"/>
        <v>0.42902000000000001</v>
      </c>
      <c r="P134" s="14">
        <v>5</v>
      </c>
      <c r="R134" s="29">
        <v>0.05</v>
      </c>
      <c r="S134" s="29">
        <v>0.3</v>
      </c>
      <c r="T134" s="29">
        <v>1</v>
      </c>
      <c r="V134" s="22" t="str">
        <f>"UC_Mitigation_"&amp;$J$129&amp;"_MaxShare_GAS-BGS"</f>
        <v>UC_Mitigation_IOMA_MaxShare_GAS-BGS</v>
      </c>
      <c r="W134" s="22" t="str">
        <f>"Maximum share of Gas and Biogas in "&amp;$J$129</f>
        <v>Maximum share of Gas and Biogas in IOMA</v>
      </c>
      <c r="X134" s="34" t="str">
        <f t="shared" si="112"/>
        <v>I-DMD-OMA-E0</v>
      </c>
      <c r="Y134" s="22" t="str">
        <f>Y132</f>
        <v>IND*</v>
      </c>
      <c r="Z134" s="14" t="s">
        <v>138</v>
      </c>
      <c r="AA134" s="22" t="s">
        <v>131</v>
      </c>
      <c r="AB134" s="25">
        <f>1+AB135</f>
        <v>0.57098000000000004</v>
      </c>
      <c r="AC134" s="25">
        <f t="shared" ref="AC134" si="117">1+AC135</f>
        <v>0.57098000000000004</v>
      </c>
      <c r="AD134" s="25">
        <f t="shared" ref="AD134" si="118">1+AD135</f>
        <v>0.57098000000000004</v>
      </c>
      <c r="AE134" s="25">
        <f t="shared" ref="AE134" si="119">1+AE135</f>
        <v>0.57098000000000004</v>
      </c>
      <c r="AF134" s="8">
        <v>0</v>
      </c>
      <c r="AG134" s="8">
        <v>5</v>
      </c>
    </row>
    <row r="135" spans="7:33" x14ac:dyDescent="0.35">
      <c r="G135" s="14" t="s">
        <v>130</v>
      </c>
      <c r="H135" s="14" t="s">
        <v>131</v>
      </c>
      <c r="I135" s="14" t="s">
        <v>132</v>
      </c>
      <c r="J135" s="14" t="s">
        <v>93</v>
      </c>
      <c r="K135" s="14" t="s">
        <v>78</v>
      </c>
      <c r="L135" s="23">
        <f>+SUMIFS(Input_shares!$L$2:$L$87,Input_shares!$C$2:$C$87,IND_Shares!$J135,Input_shares!$D$2:$D$87,IND_Shares!$K135)</f>
        <v>0.46919</v>
      </c>
      <c r="M135" s="15"/>
      <c r="N135" s="15"/>
      <c r="O135" s="15"/>
      <c r="P135" s="14">
        <v>5</v>
      </c>
      <c r="R135" s="29">
        <v>0.05</v>
      </c>
      <c r="S135" s="29">
        <v>0.3</v>
      </c>
      <c r="T135" s="29">
        <v>1</v>
      </c>
      <c r="X135" s="34" t="str">
        <f t="shared" si="112"/>
        <v>I-DMD-OMA-E0</v>
      </c>
      <c r="Y135" s="22" t="s">
        <v>141</v>
      </c>
      <c r="Z135" s="14" t="s">
        <v>138</v>
      </c>
      <c r="AA135" s="22" t="s">
        <v>131</v>
      </c>
      <c r="AB135" s="35">
        <f>-L134</f>
        <v>-0.42902000000000001</v>
      </c>
      <c r="AC135" s="35">
        <f>-M134</f>
        <v>-0.42902000000000001</v>
      </c>
      <c r="AD135" s="35">
        <f>-N134</f>
        <v>-0.42902000000000001</v>
      </c>
      <c r="AE135" s="35">
        <f>-O134</f>
        <v>-0.42902000000000001</v>
      </c>
    </row>
    <row r="136" spans="7:33" x14ac:dyDescent="0.35">
      <c r="G136" s="14" t="s">
        <v>130</v>
      </c>
      <c r="H136" s="14" t="s">
        <v>131</v>
      </c>
      <c r="I136" s="14" t="s">
        <v>132</v>
      </c>
      <c r="J136" s="14" t="s">
        <v>93</v>
      </c>
      <c r="K136" s="14" t="s">
        <v>109</v>
      </c>
      <c r="L136" s="24">
        <f>+SUMIFS(Input_shares!$L$2:$L$87,Input_shares!$C$2:$C$87,IND_Shares!$J136,Input_shares!$D$2:$D$87,IND_Shares!$K136)</f>
        <v>0</v>
      </c>
      <c r="M136" s="28">
        <f>M130*R134</f>
        <v>1.8800000000000002E-4</v>
      </c>
      <c r="N136" s="28">
        <f>N130*S134</f>
        <v>1.1279999999999999E-3</v>
      </c>
      <c r="O136" s="28">
        <f>O130*T134</f>
        <v>3.7599999999999999E-3</v>
      </c>
      <c r="P136" s="14">
        <v>5</v>
      </c>
      <c r="R136" s="29">
        <v>0.05</v>
      </c>
      <c r="S136" s="29">
        <v>0.3</v>
      </c>
      <c r="T136" s="29">
        <v>1</v>
      </c>
      <c r="V136" s="14" t="s">
        <v>129</v>
      </c>
    </row>
    <row r="137" spans="7:33" x14ac:dyDescent="0.35">
      <c r="G137" s="14" t="s">
        <v>130</v>
      </c>
      <c r="H137" s="14" t="s">
        <v>131</v>
      </c>
      <c r="I137" s="14" t="s">
        <v>132</v>
      </c>
      <c r="J137" s="14" t="s">
        <v>93</v>
      </c>
      <c r="K137" s="14" t="s">
        <v>110</v>
      </c>
      <c r="L137" s="24">
        <f>+SUMIFS(Input_shares!$L$2:$L$87,Input_shares!$C$2:$C$87,IND_Shares!$J137,Input_shares!$D$2:$D$87,IND_Shares!$K137)</f>
        <v>0</v>
      </c>
      <c r="M137" s="28">
        <f t="shared" ref="M137:O138" si="120">M133*R135</f>
        <v>8.5400000000000016E-4</v>
      </c>
      <c r="N137" s="28">
        <f t="shared" si="120"/>
        <v>5.1240000000000001E-3</v>
      </c>
      <c r="O137" s="28">
        <f t="shared" si="120"/>
        <v>1.7080000000000001E-2</v>
      </c>
      <c r="P137" s="14">
        <v>5</v>
      </c>
      <c r="V137" s="14" t="s">
        <v>129</v>
      </c>
    </row>
    <row r="138" spans="7:33" x14ac:dyDescent="0.35">
      <c r="G138" s="30" t="s">
        <v>130</v>
      </c>
      <c r="H138" s="30" t="s">
        <v>131</v>
      </c>
      <c r="I138" s="30" t="s">
        <v>132</v>
      </c>
      <c r="J138" s="30" t="s">
        <v>93</v>
      </c>
      <c r="K138" s="30" t="s">
        <v>80</v>
      </c>
      <c r="L138" s="31">
        <f>+SUMIFS(Input_shares!$L$2:$L$87,Input_shares!$C$2:$C$87,IND_Shares!$J138,Input_shares!$D$2:$D$87,IND_Shares!$K138)</f>
        <v>0</v>
      </c>
      <c r="M138" s="32">
        <f t="shared" si="120"/>
        <v>2.1451000000000001E-2</v>
      </c>
      <c r="N138" s="32">
        <f t="shared" si="120"/>
        <v>0.12870599999999999</v>
      </c>
      <c r="O138" s="32">
        <f t="shared" si="120"/>
        <v>0.42902000000000001</v>
      </c>
      <c r="P138" s="30">
        <v>5</v>
      </c>
      <c r="V138" s="14" t="s">
        <v>129</v>
      </c>
      <c r="Z138" s="30"/>
    </row>
    <row r="139" spans="7:33" x14ac:dyDescent="0.35">
      <c r="G139" s="17" t="s">
        <v>108</v>
      </c>
      <c r="H139" s="17"/>
      <c r="I139" s="17"/>
      <c r="J139" s="17" t="s">
        <v>124</v>
      </c>
      <c r="K139" s="17"/>
      <c r="L139" s="33"/>
      <c r="M139" s="17"/>
      <c r="N139" s="17"/>
      <c r="O139" s="17"/>
      <c r="P139" s="17"/>
      <c r="V139" s="37" t="str">
        <f>G139</f>
        <v>*Construction demand process</v>
      </c>
      <c r="W139" s="38"/>
      <c r="X139" s="38"/>
      <c r="Y139" s="38"/>
      <c r="Z139" s="18"/>
      <c r="AA139" s="38"/>
      <c r="AB139" s="39"/>
      <c r="AC139" s="39"/>
      <c r="AD139" s="39"/>
      <c r="AE139" s="39"/>
      <c r="AF139" s="38"/>
      <c r="AG139" s="38"/>
    </row>
    <row r="140" spans="7:33" x14ac:dyDescent="0.35">
      <c r="G140" s="14" t="s">
        <v>130</v>
      </c>
      <c r="H140" s="14" t="s">
        <v>131</v>
      </c>
      <c r="I140" s="14" t="s">
        <v>132</v>
      </c>
      <c r="J140" s="14" t="s">
        <v>94</v>
      </c>
      <c r="K140" s="14" t="s">
        <v>67</v>
      </c>
      <c r="L140" s="23">
        <f>+SUMIFS(Input_shares!$L$2:$L$87,Input_shares!$C$2:$C$87,IND_Shares!$J140,Input_shares!$D$2:$D$87,IND_Shares!$K140)</f>
        <v>1.6049999999999998E-2</v>
      </c>
      <c r="M140" s="24">
        <f>L140</f>
        <v>1.6049999999999998E-2</v>
      </c>
      <c r="N140" s="24">
        <f>M140</f>
        <v>1.6049999999999998E-2</v>
      </c>
      <c r="O140" s="24">
        <f>N140</f>
        <v>1.6049999999999998E-2</v>
      </c>
      <c r="P140" s="14">
        <v>5</v>
      </c>
      <c r="V140" s="22" t="str">
        <f>"UC_Mitigation_"&amp;$J$139&amp;"_MaxShare_KER-BKE"</f>
        <v>UC_Mitigation_ICON_MaxShare_KER-BKE</v>
      </c>
      <c r="W140" s="22" t="str">
        <f>"Maximum share of kerosene and Biokerosene in "&amp;$J$139</f>
        <v>Maximum share of kerosene and Biokerosene in ICON</v>
      </c>
      <c r="X140" s="22" t="str">
        <f>J140</f>
        <v>I-DMD-CON-E0</v>
      </c>
      <c r="Y140" s="22" t="s">
        <v>136</v>
      </c>
      <c r="Z140" s="14" t="s">
        <v>138</v>
      </c>
      <c r="AA140" s="34" t="str">
        <f>$AA$20</f>
        <v>UP</v>
      </c>
      <c r="AB140" s="25">
        <f>1+AB141</f>
        <v>0.98394999999999999</v>
      </c>
      <c r="AC140" s="25">
        <f t="shared" ref="AC140" si="121">1+AC141</f>
        <v>0.98394999999999999</v>
      </c>
      <c r="AD140" s="25">
        <f t="shared" ref="AD140" si="122">1+AD141</f>
        <v>0.98394999999999999</v>
      </c>
      <c r="AE140" s="25">
        <f t="shared" ref="AE140" si="123">1+AE141</f>
        <v>0.98394999999999999</v>
      </c>
      <c r="AF140" s="8">
        <v>0</v>
      </c>
      <c r="AG140" s="8">
        <v>5</v>
      </c>
    </row>
    <row r="141" spans="7:33" x14ac:dyDescent="0.35">
      <c r="G141" s="14" t="s">
        <v>130</v>
      </c>
      <c r="H141" s="14" t="s">
        <v>131</v>
      </c>
      <c r="I141" s="14" t="s">
        <v>132</v>
      </c>
      <c r="J141" s="14" t="s">
        <v>94</v>
      </c>
      <c r="K141" s="14" t="s">
        <v>69</v>
      </c>
      <c r="L141" s="23">
        <f>+SUMIFS(Input_shares!$L$2:$L$87,Input_shares!$C$2:$C$87,IND_Shares!$J141,Input_shares!$D$2:$D$87,IND_Shares!$K141)</f>
        <v>1.324E-2</v>
      </c>
      <c r="M141" s="15"/>
      <c r="N141" s="15"/>
      <c r="O141" s="15"/>
      <c r="P141" s="14">
        <v>5</v>
      </c>
      <c r="X141" s="34" t="str">
        <f>X140</f>
        <v>I-DMD-CON-E0</v>
      </c>
      <c r="Y141" s="22" t="s">
        <v>140</v>
      </c>
      <c r="Z141" s="14" t="s">
        <v>138</v>
      </c>
      <c r="AA141" s="34" t="str">
        <f>$AA$20</f>
        <v>UP</v>
      </c>
      <c r="AB141" s="35">
        <f>-L140</f>
        <v>-1.6049999999999998E-2</v>
      </c>
      <c r="AC141" s="35">
        <f>-M140</f>
        <v>-1.6049999999999998E-2</v>
      </c>
      <c r="AD141" s="35">
        <f>-N140</f>
        <v>-1.6049999999999998E-2</v>
      </c>
      <c r="AE141" s="35">
        <f>-O140</f>
        <v>-1.6049999999999998E-2</v>
      </c>
    </row>
    <row r="142" spans="7:33" x14ac:dyDescent="0.35">
      <c r="G142" s="14" t="s">
        <v>130</v>
      </c>
      <c r="H142" s="14" t="s">
        <v>131</v>
      </c>
      <c r="I142" s="14" t="s">
        <v>132</v>
      </c>
      <c r="J142" s="14" t="s">
        <v>94</v>
      </c>
      <c r="K142" s="14" t="s">
        <v>70</v>
      </c>
      <c r="L142" s="23">
        <f>+SUMIFS(Input_shares!$L$2:$L$87,Input_shares!$C$2:$C$87,IND_Shares!$J142,Input_shares!$D$2:$D$87,IND_Shares!$K142)</f>
        <v>0.70487999999999995</v>
      </c>
      <c r="M142" s="24">
        <f t="shared" ref="M142:O143" si="124">L142</f>
        <v>0.70487999999999995</v>
      </c>
      <c r="N142" s="24">
        <f t="shared" si="124"/>
        <v>0.70487999999999995</v>
      </c>
      <c r="O142" s="24">
        <f t="shared" si="124"/>
        <v>0.70487999999999995</v>
      </c>
      <c r="P142" s="14">
        <v>5</v>
      </c>
      <c r="V142" s="22" t="str">
        <f>"UC_Mitigation_"&amp;$J$139&amp;"_MaxShare_DST-BDS"</f>
        <v>UC_Mitigation_ICON_MaxShare_DST-BDS</v>
      </c>
      <c r="W142" s="22" t="str">
        <f>"Maximum share of Diesel and Biodiesel in "&amp;$J$139</f>
        <v>Maximum share of Diesel and Biodiesel in ICON</v>
      </c>
      <c r="X142" s="34" t="str">
        <f t="shared" ref="X142:X145" si="125">X141</f>
        <v>I-DMD-CON-E0</v>
      </c>
      <c r="Y142" s="22" t="str">
        <f>Y140</f>
        <v>IND*</v>
      </c>
      <c r="Z142" s="14" t="s">
        <v>138</v>
      </c>
      <c r="AA142" s="34" t="str">
        <f>$AA$20</f>
        <v>UP</v>
      </c>
      <c r="AB142" s="25">
        <f>1+AB143</f>
        <v>0.29512000000000005</v>
      </c>
      <c r="AC142" s="25">
        <f t="shared" ref="AC142" si="126">1+AC143</f>
        <v>0.29512000000000005</v>
      </c>
      <c r="AD142" s="25">
        <f t="shared" ref="AD142" si="127">1+AD143</f>
        <v>0.29512000000000005</v>
      </c>
      <c r="AE142" s="25">
        <f t="shared" ref="AE142" si="128">1+AE143</f>
        <v>0.29512000000000005</v>
      </c>
      <c r="AF142" s="8">
        <v>0</v>
      </c>
      <c r="AG142" s="8">
        <v>5</v>
      </c>
    </row>
    <row r="143" spans="7:33" x14ac:dyDescent="0.35">
      <c r="G143" s="14" t="s">
        <v>130</v>
      </c>
      <c r="H143" s="14" t="s">
        <v>131</v>
      </c>
      <c r="I143" s="14" t="s">
        <v>132</v>
      </c>
      <c r="J143" s="14" t="s">
        <v>94</v>
      </c>
      <c r="K143" s="14" t="s">
        <v>72</v>
      </c>
      <c r="L143" s="23">
        <f>+SUMIFS(Input_shares!$L$2:$L$87,Input_shares!$C$2:$C$87,IND_Shares!$J143,Input_shares!$D$2:$D$87,IND_Shares!$K143)</f>
        <v>7.2489999999999999E-2</v>
      </c>
      <c r="M143" s="24">
        <f t="shared" si="124"/>
        <v>7.2489999999999999E-2</v>
      </c>
      <c r="N143" s="24">
        <f t="shared" si="124"/>
        <v>7.2489999999999999E-2</v>
      </c>
      <c r="O143" s="24">
        <f t="shared" si="124"/>
        <v>7.2489999999999999E-2</v>
      </c>
      <c r="P143" s="14">
        <v>5</v>
      </c>
      <c r="R143" s="29">
        <v>0.05</v>
      </c>
      <c r="S143" s="29">
        <v>0.3</v>
      </c>
      <c r="T143" s="29">
        <v>1</v>
      </c>
      <c r="X143" s="34" t="str">
        <f t="shared" si="125"/>
        <v>I-DMD-CON-E0</v>
      </c>
      <c r="Y143" s="22" t="s">
        <v>139</v>
      </c>
      <c r="Z143" s="14" t="s">
        <v>138</v>
      </c>
      <c r="AA143" s="34" t="str">
        <f>$AA$20</f>
        <v>UP</v>
      </c>
      <c r="AB143" s="35">
        <f>-L142</f>
        <v>-0.70487999999999995</v>
      </c>
      <c r="AC143" s="35">
        <f>-M142</f>
        <v>-0.70487999999999995</v>
      </c>
      <c r="AD143" s="35">
        <f>-N142</f>
        <v>-0.70487999999999995</v>
      </c>
      <c r="AE143" s="35">
        <f>-O142</f>
        <v>-0.70487999999999995</v>
      </c>
    </row>
    <row r="144" spans="7:33" x14ac:dyDescent="0.35">
      <c r="G144" s="14" t="s">
        <v>130</v>
      </c>
      <c r="H144" s="14" t="s">
        <v>131</v>
      </c>
      <c r="I144" s="14" t="s">
        <v>132</v>
      </c>
      <c r="J144" s="14" t="s">
        <v>94</v>
      </c>
      <c r="K144" s="14" t="s">
        <v>78</v>
      </c>
      <c r="L144" s="23">
        <f>+SUMIFS(Input_shares!$L$2:$L$87,Input_shares!$C$2:$C$87,IND_Shares!$J144,Input_shares!$D$2:$D$87,IND_Shares!$K144)</f>
        <v>0.19336</v>
      </c>
      <c r="M144" s="15"/>
      <c r="N144" s="15"/>
      <c r="O144" s="15"/>
      <c r="P144" s="14">
        <v>5</v>
      </c>
      <c r="R144" s="29">
        <v>0.05</v>
      </c>
      <c r="S144" s="29">
        <v>0.3</v>
      </c>
      <c r="T144" s="29">
        <v>1</v>
      </c>
      <c r="V144" s="22" t="str">
        <f>"UC_Mitigation_"&amp;$J$139&amp;"_MaxShare_GAS-BGS"</f>
        <v>UC_Mitigation_ICON_MaxShare_GAS-BGS</v>
      </c>
      <c r="W144" s="22" t="str">
        <f>"Maximum share of Gas and Biogas in "&amp;$J$139</f>
        <v>Maximum share of Gas and Biogas in ICON</v>
      </c>
      <c r="X144" s="34" t="str">
        <f t="shared" si="125"/>
        <v>I-DMD-CON-E0</v>
      </c>
      <c r="Y144" s="22" t="str">
        <f>Y142</f>
        <v>IND*</v>
      </c>
      <c r="Z144" s="14" t="s">
        <v>138</v>
      </c>
      <c r="AA144" s="22" t="s">
        <v>131</v>
      </c>
      <c r="AB144" s="25">
        <f>1+AB145</f>
        <v>0.92751000000000006</v>
      </c>
      <c r="AC144" s="25">
        <f t="shared" ref="AC144" si="129">1+AC145</f>
        <v>0.92751000000000006</v>
      </c>
      <c r="AD144" s="25">
        <f t="shared" ref="AD144" si="130">1+AD145</f>
        <v>0.92751000000000006</v>
      </c>
      <c r="AE144" s="25">
        <f t="shared" ref="AE144" si="131">1+AE145</f>
        <v>0.92751000000000006</v>
      </c>
      <c r="AF144" s="8">
        <v>0</v>
      </c>
      <c r="AG144" s="8">
        <v>5</v>
      </c>
    </row>
    <row r="145" spans="7:31" x14ac:dyDescent="0.35">
      <c r="G145" s="14" t="s">
        <v>130</v>
      </c>
      <c r="H145" s="14" t="s">
        <v>131</v>
      </c>
      <c r="I145" s="14" t="s">
        <v>132</v>
      </c>
      <c r="J145" s="14" t="s">
        <v>94</v>
      </c>
      <c r="K145" s="14" t="s">
        <v>109</v>
      </c>
      <c r="L145" s="24">
        <f>+SUMIFS(Input_shares!$L$2:$L$87,Input_shares!$C$2:$C$87,IND_Shares!$J145,Input_shares!$D$2:$D$87,IND_Shares!$K145)</f>
        <v>0</v>
      </c>
      <c r="M145" s="28">
        <f>M140*R143</f>
        <v>8.0249999999999994E-4</v>
      </c>
      <c r="N145" s="28">
        <f>N140*S143</f>
        <v>4.814999999999999E-3</v>
      </c>
      <c r="O145" s="28">
        <f>O140*T143</f>
        <v>1.6049999999999998E-2</v>
      </c>
      <c r="P145" s="14">
        <v>5</v>
      </c>
      <c r="R145" s="29">
        <v>0.05</v>
      </c>
      <c r="S145" s="29">
        <v>0.3</v>
      </c>
      <c r="T145" s="29">
        <v>1</v>
      </c>
      <c r="X145" s="34" t="str">
        <f t="shared" si="125"/>
        <v>I-DMD-CON-E0</v>
      </c>
      <c r="Y145" s="22" t="s">
        <v>141</v>
      </c>
      <c r="Z145" s="14" t="s">
        <v>138</v>
      </c>
      <c r="AA145" s="22" t="s">
        <v>131</v>
      </c>
      <c r="AB145" s="40">
        <f>-L143</f>
        <v>-7.2489999999999999E-2</v>
      </c>
      <c r="AC145" s="40">
        <f>-M143</f>
        <v>-7.2489999999999999E-2</v>
      </c>
      <c r="AD145" s="40">
        <f>-N143</f>
        <v>-7.2489999999999999E-2</v>
      </c>
      <c r="AE145" s="40">
        <f>-O143</f>
        <v>-7.2489999999999999E-2</v>
      </c>
    </row>
    <row r="146" spans="7:31" x14ac:dyDescent="0.35">
      <c r="G146" s="14" t="s">
        <v>130</v>
      </c>
      <c r="H146" s="14" t="s">
        <v>131</v>
      </c>
      <c r="I146" s="14" t="s">
        <v>132</v>
      </c>
      <c r="J146" s="14" t="s">
        <v>94</v>
      </c>
      <c r="K146" s="14" t="s">
        <v>110</v>
      </c>
      <c r="L146" s="24">
        <f>+SUMIFS(Input_shares!$L$2:$L$87,Input_shares!$C$2:$C$87,IND_Shares!$J146,Input_shares!$D$2:$D$87,IND_Shares!$K146)</f>
        <v>0</v>
      </c>
      <c r="M146" s="28">
        <f t="shared" ref="M146:O147" si="132">M142*R144</f>
        <v>3.5243999999999998E-2</v>
      </c>
      <c r="N146" s="28">
        <f t="shared" si="132"/>
        <v>0.21146399999999999</v>
      </c>
      <c r="O146" s="28">
        <f t="shared" si="132"/>
        <v>0.70487999999999995</v>
      </c>
      <c r="P146" s="14">
        <v>5</v>
      </c>
    </row>
    <row r="147" spans="7:31" x14ac:dyDescent="0.35">
      <c r="G147" s="30" t="s">
        <v>130</v>
      </c>
      <c r="H147" s="30" t="s">
        <v>131</v>
      </c>
      <c r="I147" s="30" t="s">
        <v>132</v>
      </c>
      <c r="J147" s="30" t="s">
        <v>94</v>
      </c>
      <c r="K147" s="30" t="s">
        <v>80</v>
      </c>
      <c r="L147" s="31">
        <f>+SUMIFS(Input_shares!$L$2:$L$87,Input_shares!$C$2:$C$87,IND_Shares!$J147,Input_shares!$D$2:$D$87,IND_Shares!$K147)</f>
        <v>0</v>
      </c>
      <c r="M147" s="32">
        <f t="shared" si="132"/>
        <v>3.6245000000000001E-3</v>
      </c>
      <c r="N147" s="32">
        <f t="shared" si="132"/>
        <v>2.1746999999999999E-2</v>
      </c>
      <c r="O147" s="32">
        <f t="shared" si="132"/>
        <v>7.2489999999999999E-2</v>
      </c>
      <c r="P147" s="30">
        <v>5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C86C-49BD-4A96-A452-E68125738254}">
  <sheetPr>
    <tabColor theme="9" tint="0.79998168889431442"/>
  </sheetPr>
  <dimension ref="C5:K7"/>
  <sheetViews>
    <sheetView workbookViewId="0">
      <selection activeCell="D16" sqref="D16"/>
    </sheetView>
  </sheetViews>
  <sheetFormatPr defaultRowHeight="14.5" x14ac:dyDescent="0.35"/>
  <sheetData>
    <row r="5" spans="3:11" x14ac:dyDescent="0.35">
      <c r="C5" s="66" t="s">
        <v>185</v>
      </c>
      <c r="D5" s="57"/>
      <c r="E5" s="57"/>
      <c r="F5" s="57"/>
      <c r="G5" s="58"/>
      <c r="H5" s="58"/>
      <c r="I5" s="58"/>
      <c r="J5" s="58"/>
      <c r="K5" s="58"/>
    </row>
    <row r="6" spans="3:11" ht="29.5" thickBot="1" x14ac:dyDescent="0.4">
      <c r="C6" s="59" t="s">
        <v>158</v>
      </c>
      <c r="D6" s="59" t="s">
        <v>60</v>
      </c>
      <c r="E6" s="59" t="s">
        <v>61</v>
      </c>
      <c r="F6" s="59" t="s">
        <v>165</v>
      </c>
      <c r="G6" s="59" t="s">
        <v>62</v>
      </c>
      <c r="H6" s="59" t="s">
        <v>166</v>
      </c>
      <c r="I6" s="59" t="s">
        <v>63</v>
      </c>
      <c r="J6" s="59" t="s">
        <v>167</v>
      </c>
      <c r="K6" s="59" t="s">
        <v>64</v>
      </c>
    </row>
    <row r="7" spans="3:11" x14ac:dyDescent="0.35">
      <c r="C7" s="60" t="s">
        <v>168</v>
      </c>
      <c r="D7" s="60"/>
      <c r="E7" s="61" t="s">
        <v>130</v>
      </c>
      <c r="F7" s="60">
        <v>2021</v>
      </c>
      <c r="G7" s="60">
        <v>1</v>
      </c>
      <c r="H7" s="62"/>
      <c r="I7" s="62" t="s">
        <v>169</v>
      </c>
      <c r="J7" s="62"/>
      <c r="K7" s="6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1F517-F3A9-4DB4-B85A-913F4795ABA6}">
  <sheetPr>
    <tabColor theme="7" tint="0.39997558519241921"/>
  </sheetPr>
  <dimension ref="A1:M87"/>
  <sheetViews>
    <sheetView workbookViewId="0">
      <selection activeCell="J18" sqref="J18"/>
    </sheetView>
  </sheetViews>
  <sheetFormatPr defaultRowHeight="14.5" x14ac:dyDescent="0.35"/>
  <cols>
    <col min="3" max="3" width="36.54296875" customWidth="1"/>
    <col min="7" max="7" width="20.36328125" customWidth="1"/>
  </cols>
  <sheetData>
    <row r="1" spans="1:13" x14ac:dyDescent="0.3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</v>
      </c>
      <c r="M1" t="s">
        <v>2</v>
      </c>
    </row>
    <row r="2" spans="1:13" x14ac:dyDescent="0.35">
      <c r="A2" t="s">
        <v>168</v>
      </c>
      <c r="B2" t="s">
        <v>130</v>
      </c>
      <c r="C2" t="s">
        <v>85</v>
      </c>
      <c r="D2" t="s">
        <v>71</v>
      </c>
      <c r="E2" t="s">
        <v>131</v>
      </c>
      <c r="F2" t="s">
        <v>181</v>
      </c>
      <c r="G2">
        <v>2021</v>
      </c>
      <c r="H2" t="s">
        <v>177</v>
      </c>
      <c r="I2" t="s">
        <v>182</v>
      </c>
      <c r="J2" t="s">
        <v>182</v>
      </c>
      <c r="K2" t="s">
        <v>182</v>
      </c>
      <c r="L2">
        <v>3.0960000000000001E-2</v>
      </c>
      <c r="M2">
        <v>3.0960000000000001E-2</v>
      </c>
    </row>
    <row r="3" spans="1:13" x14ac:dyDescent="0.35">
      <c r="A3" t="s">
        <v>168</v>
      </c>
      <c r="B3" t="s">
        <v>130</v>
      </c>
      <c r="C3" t="s">
        <v>85</v>
      </c>
      <c r="D3" t="s">
        <v>70</v>
      </c>
      <c r="E3" t="s">
        <v>131</v>
      </c>
      <c r="F3" t="s">
        <v>181</v>
      </c>
      <c r="G3">
        <v>2021</v>
      </c>
      <c r="H3" t="s">
        <v>177</v>
      </c>
      <c r="I3" t="s">
        <v>182</v>
      </c>
      <c r="J3" t="s">
        <v>182</v>
      </c>
      <c r="K3" t="s">
        <v>182</v>
      </c>
      <c r="L3">
        <v>1.8270000000000002E-2</v>
      </c>
      <c r="M3">
        <v>1.8270000000000002E-2</v>
      </c>
    </row>
    <row r="4" spans="1:13" x14ac:dyDescent="0.35">
      <c r="A4" t="s">
        <v>168</v>
      </c>
      <c r="B4" t="s">
        <v>130</v>
      </c>
      <c r="C4" t="s">
        <v>85</v>
      </c>
      <c r="D4" t="s">
        <v>78</v>
      </c>
      <c r="E4" t="s">
        <v>131</v>
      </c>
      <c r="F4" t="s">
        <v>181</v>
      </c>
      <c r="G4">
        <v>2021</v>
      </c>
      <c r="H4" t="s">
        <v>177</v>
      </c>
      <c r="I4" t="s">
        <v>182</v>
      </c>
      <c r="J4" t="s">
        <v>182</v>
      </c>
      <c r="K4" t="s">
        <v>182</v>
      </c>
      <c r="L4">
        <v>0.36426999999999998</v>
      </c>
      <c r="M4">
        <v>0.36426999999999998</v>
      </c>
    </row>
    <row r="5" spans="1:13" x14ac:dyDescent="0.35">
      <c r="A5" t="s">
        <v>168</v>
      </c>
      <c r="B5" t="s">
        <v>130</v>
      </c>
      <c r="C5" t="s">
        <v>85</v>
      </c>
      <c r="D5" t="s">
        <v>72</v>
      </c>
      <c r="E5" t="s">
        <v>131</v>
      </c>
      <c r="F5" t="s">
        <v>181</v>
      </c>
      <c r="G5">
        <v>2021</v>
      </c>
      <c r="H5" t="s">
        <v>177</v>
      </c>
      <c r="I5" t="s">
        <v>182</v>
      </c>
      <c r="J5" t="s">
        <v>182</v>
      </c>
      <c r="K5" t="s">
        <v>182</v>
      </c>
      <c r="L5">
        <v>0.56420999999999999</v>
      </c>
      <c r="M5">
        <v>0.56420999999999999</v>
      </c>
    </row>
    <row r="6" spans="1:13" x14ac:dyDescent="0.35">
      <c r="A6" t="s">
        <v>168</v>
      </c>
      <c r="B6" t="s">
        <v>130</v>
      </c>
      <c r="C6" t="s">
        <v>85</v>
      </c>
      <c r="D6" t="s">
        <v>68</v>
      </c>
      <c r="E6" t="s">
        <v>131</v>
      </c>
      <c r="F6" t="s">
        <v>181</v>
      </c>
      <c r="G6">
        <v>2021</v>
      </c>
      <c r="H6" t="s">
        <v>177</v>
      </c>
      <c r="I6" t="s">
        <v>182</v>
      </c>
      <c r="J6" t="s">
        <v>182</v>
      </c>
      <c r="K6" t="s">
        <v>182</v>
      </c>
      <c r="L6">
        <v>5.1799999999999997E-3</v>
      </c>
      <c r="M6">
        <v>5.1799999999999997E-3</v>
      </c>
    </row>
    <row r="7" spans="1:13" x14ac:dyDescent="0.35">
      <c r="A7" t="s">
        <v>168</v>
      </c>
      <c r="B7" t="s">
        <v>130</v>
      </c>
      <c r="C7" t="s">
        <v>85</v>
      </c>
      <c r="D7" t="s">
        <v>67</v>
      </c>
      <c r="E7" t="s">
        <v>131</v>
      </c>
      <c r="F7" t="s">
        <v>181</v>
      </c>
      <c r="G7">
        <v>2021</v>
      </c>
      <c r="H7" t="s">
        <v>177</v>
      </c>
      <c r="I7" t="s">
        <v>182</v>
      </c>
      <c r="J7" t="s">
        <v>182</v>
      </c>
      <c r="K7" t="s">
        <v>182</v>
      </c>
      <c r="L7">
        <v>1.48E-3</v>
      </c>
      <c r="M7">
        <v>1.48E-3</v>
      </c>
    </row>
    <row r="8" spans="1:13" x14ac:dyDescent="0.35">
      <c r="A8" t="s">
        <v>168</v>
      </c>
      <c r="B8" t="s">
        <v>130</v>
      </c>
      <c r="C8" t="s">
        <v>85</v>
      </c>
      <c r="D8" t="s">
        <v>69</v>
      </c>
      <c r="E8" t="s">
        <v>131</v>
      </c>
      <c r="F8" t="s">
        <v>181</v>
      </c>
      <c r="G8">
        <v>2021</v>
      </c>
      <c r="H8" t="s">
        <v>177</v>
      </c>
      <c r="I8" t="s">
        <v>182</v>
      </c>
      <c r="J8" t="s">
        <v>182</v>
      </c>
      <c r="K8" t="s">
        <v>182</v>
      </c>
      <c r="L8">
        <v>1.566E-2</v>
      </c>
      <c r="M8">
        <v>1.566E-2</v>
      </c>
    </row>
    <row r="9" spans="1:13" x14ac:dyDescent="0.35">
      <c r="A9" t="s">
        <v>168</v>
      </c>
      <c r="B9" t="s">
        <v>130</v>
      </c>
      <c r="C9" t="s">
        <v>94</v>
      </c>
      <c r="D9" t="s">
        <v>70</v>
      </c>
      <c r="E9" t="s">
        <v>131</v>
      </c>
      <c r="F9" t="s">
        <v>181</v>
      </c>
      <c r="G9">
        <v>2021</v>
      </c>
      <c r="H9" t="s">
        <v>177</v>
      </c>
      <c r="I9" t="s">
        <v>182</v>
      </c>
      <c r="J9" t="s">
        <v>182</v>
      </c>
      <c r="K9" t="s">
        <v>182</v>
      </c>
      <c r="L9">
        <v>0.70487999999999995</v>
      </c>
      <c r="M9">
        <v>0.70487999999999995</v>
      </c>
    </row>
    <row r="10" spans="1:13" x14ac:dyDescent="0.35">
      <c r="A10" t="s">
        <v>168</v>
      </c>
      <c r="B10" t="s">
        <v>130</v>
      </c>
      <c r="C10" t="s">
        <v>94</v>
      </c>
      <c r="D10" t="s">
        <v>78</v>
      </c>
      <c r="E10" t="s">
        <v>131</v>
      </c>
      <c r="F10" t="s">
        <v>181</v>
      </c>
      <c r="G10">
        <v>2021</v>
      </c>
      <c r="H10" t="s">
        <v>177</v>
      </c>
      <c r="I10" t="s">
        <v>182</v>
      </c>
      <c r="J10" t="s">
        <v>182</v>
      </c>
      <c r="K10" t="s">
        <v>182</v>
      </c>
      <c r="L10">
        <v>0.19336</v>
      </c>
      <c r="M10">
        <v>0.19336</v>
      </c>
    </row>
    <row r="11" spans="1:13" x14ac:dyDescent="0.35">
      <c r="A11" t="s">
        <v>168</v>
      </c>
      <c r="B11" t="s">
        <v>130</v>
      </c>
      <c r="C11" t="s">
        <v>94</v>
      </c>
      <c r="D11" t="s">
        <v>72</v>
      </c>
      <c r="E11" t="s">
        <v>131</v>
      </c>
      <c r="F11" t="s">
        <v>181</v>
      </c>
      <c r="G11">
        <v>2021</v>
      </c>
      <c r="H11" t="s">
        <v>177</v>
      </c>
      <c r="I11" t="s">
        <v>182</v>
      </c>
      <c r="J11" t="s">
        <v>182</v>
      </c>
      <c r="K11" t="s">
        <v>182</v>
      </c>
      <c r="L11">
        <v>7.2489999999999999E-2</v>
      </c>
      <c r="M11">
        <v>7.2489999999999999E-2</v>
      </c>
    </row>
    <row r="12" spans="1:13" x14ac:dyDescent="0.35">
      <c r="A12" t="s">
        <v>168</v>
      </c>
      <c r="B12" t="s">
        <v>130</v>
      </c>
      <c r="C12" t="s">
        <v>94</v>
      </c>
      <c r="D12" t="s">
        <v>67</v>
      </c>
      <c r="E12" t="s">
        <v>131</v>
      </c>
      <c r="F12" t="s">
        <v>181</v>
      </c>
      <c r="G12">
        <v>2021</v>
      </c>
      <c r="H12" t="s">
        <v>177</v>
      </c>
      <c r="I12" t="s">
        <v>182</v>
      </c>
      <c r="J12" t="s">
        <v>182</v>
      </c>
      <c r="K12" t="s">
        <v>182</v>
      </c>
      <c r="L12">
        <v>1.6049999999999998E-2</v>
      </c>
      <c r="M12">
        <v>1.6049999999999998E-2</v>
      </c>
    </row>
    <row r="13" spans="1:13" x14ac:dyDescent="0.35">
      <c r="A13" t="s">
        <v>168</v>
      </c>
      <c r="B13" t="s">
        <v>130</v>
      </c>
      <c r="C13" t="s">
        <v>94</v>
      </c>
      <c r="D13" t="s">
        <v>69</v>
      </c>
      <c r="E13" t="s">
        <v>131</v>
      </c>
      <c r="F13" t="s">
        <v>181</v>
      </c>
      <c r="G13">
        <v>2021</v>
      </c>
      <c r="H13" t="s">
        <v>177</v>
      </c>
      <c r="I13" t="s">
        <v>182</v>
      </c>
      <c r="J13" t="s">
        <v>182</v>
      </c>
      <c r="K13" t="s">
        <v>182</v>
      </c>
      <c r="L13">
        <v>1.324E-2</v>
      </c>
      <c r="M13">
        <v>1.324E-2</v>
      </c>
    </row>
    <row r="14" spans="1:13" x14ac:dyDescent="0.35">
      <c r="A14" t="s">
        <v>168</v>
      </c>
      <c r="B14" t="s">
        <v>130</v>
      </c>
      <c r="C14" t="s">
        <v>91</v>
      </c>
      <c r="D14" t="s">
        <v>70</v>
      </c>
      <c r="E14" t="s">
        <v>131</v>
      </c>
      <c r="F14" t="s">
        <v>181</v>
      </c>
      <c r="G14">
        <v>2021</v>
      </c>
      <c r="H14" t="s">
        <v>177</v>
      </c>
      <c r="I14" t="s">
        <v>182</v>
      </c>
      <c r="J14" t="s">
        <v>182</v>
      </c>
      <c r="K14" t="s">
        <v>182</v>
      </c>
      <c r="L14">
        <v>4.4000000000000003E-3</v>
      </c>
      <c r="M14">
        <v>4.4000000000000003E-3</v>
      </c>
    </row>
    <row r="15" spans="1:13" x14ac:dyDescent="0.35">
      <c r="A15" t="s">
        <v>168</v>
      </c>
      <c r="B15" t="s">
        <v>130</v>
      </c>
      <c r="C15" t="s">
        <v>91</v>
      </c>
      <c r="D15" t="s">
        <v>78</v>
      </c>
      <c r="E15" t="s">
        <v>131</v>
      </c>
      <c r="F15" t="s">
        <v>181</v>
      </c>
      <c r="G15">
        <v>2021</v>
      </c>
      <c r="H15" t="s">
        <v>177</v>
      </c>
      <c r="I15" t="s">
        <v>182</v>
      </c>
      <c r="J15" t="s">
        <v>182</v>
      </c>
      <c r="K15" t="s">
        <v>182</v>
      </c>
      <c r="L15">
        <v>0.80142000000000002</v>
      </c>
      <c r="M15">
        <v>0.80142000000000002</v>
      </c>
    </row>
    <row r="16" spans="1:13" x14ac:dyDescent="0.35">
      <c r="A16" t="s">
        <v>168</v>
      </c>
      <c r="B16" t="s">
        <v>130</v>
      </c>
      <c r="C16" t="s">
        <v>91</v>
      </c>
      <c r="D16" t="s">
        <v>72</v>
      </c>
      <c r="E16" t="s">
        <v>131</v>
      </c>
      <c r="F16" t="s">
        <v>181</v>
      </c>
      <c r="G16">
        <v>2021</v>
      </c>
      <c r="H16" t="s">
        <v>177</v>
      </c>
      <c r="I16" t="s">
        <v>182</v>
      </c>
      <c r="J16" t="s">
        <v>182</v>
      </c>
      <c r="K16" t="s">
        <v>182</v>
      </c>
      <c r="L16">
        <v>0.17746999999999999</v>
      </c>
      <c r="M16">
        <v>0.17746999999999999</v>
      </c>
    </row>
    <row r="17" spans="1:13" x14ac:dyDescent="0.35">
      <c r="A17" t="s">
        <v>168</v>
      </c>
      <c r="B17" t="s">
        <v>130</v>
      </c>
      <c r="C17" t="s">
        <v>91</v>
      </c>
      <c r="D17" t="s">
        <v>67</v>
      </c>
      <c r="E17" t="s">
        <v>131</v>
      </c>
      <c r="F17" t="s">
        <v>181</v>
      </c>
      <c r="G17">
        <v>2021</v>
      </c>
      <c r="H17" t="s">
        <v>177</v>
      </c>
      <c r="I17" t="s">
        <v>182</v>
      </c>
      <c r="J17" t="s">
        <v>182</v>
      </c>
      <c r="K17" t="s">
        <v>182</v>
      </c>
      <c r="L17">
        <v>2.2899999999999999E-3</v>
      </c>
      <c r="M17">
        <v>2.2899999999999999E-3</v>
      </c>
    </row>
    <row r="18" spans="1:13" x14ac:dyDescent="0.35">
      <c r="A18" t="s">
        <v>168</v>
      </c>
      <c r="B18" t="s">
        <v>130</v>
      </c>
      <c r="C18" t="s">
        <v>91</v>
      </c>
      <c r="D18" t="s">
        <v>69</v>
      </c>
      <c r="E18" t="s">
        <v>131</v>
      </c>
      <c r="F18" t="s">
        <v>181</v>
      </c>
      <c r="G18">
        <v>2021</v>
      </c>
      <c r="H18" t="s">
        <v>177</v>
      </c>
      <c r="I18" t="s">
        <v>182</v>
      </c>
      <c r="J18" t="s">
        <v>182</v>
      </c>
      <c r="K18" t="s">
        <v>182</v>
      </c>
      <c r="L18">
        <v>1.4449999999999999E-2</v>
      </c>
      <c r="M18">
        <v>1.4449999999999999E-2</v>
      </c>
    </row>
    <row r="19" spans="1:13" x14ac:dyDescent="0.35">
      <c r="A19" t="s">
        <v>168</v>
      </c>
      <c r="B19" t="s">
        <v>130</v>
      </c>
      <c r="C19" t="s">
        <v>79</v>
      </c>
      <c r="D19" t="s">
        <v>80</v>
      </c>
      <c r="E19" t="s">
        <v>131</v>
      </c>
      <c r="F19" t="s">
        <v>181</v>
      </c>
      <c r="G19">
        <v>2021</v>
      </c>
      <c r="H19" t="s">
        <v>177</v>
      </c>
      <c r="I19" t="s">
        <v>182</v>
      </c>
      <c r="J19" t="s">
        <v>182</v>
      </c>
      <c r="K19" t="s">
        <v>182</v>
      </c>
      <c r="L19">
        <v>1.274E-2</v>
      </c>
      <c r="M19">
        <v>1.274E-2</v>
      </c>
    </row>
    <row r="20" spans="1:13" x14ac:dyDescent="0.35">
      <c r="A20" t="s">
        <v>168</v>
      </c>
      <c r="B20" t="s">
        <v>130</v>
      </c>
      <c r="C20" t="s">
        <v>79</v>
      </c>
      <c r="D20" t="s">
        <v>81</v>
      </c>
      <c r="E20" t="s">
        <v>131</v>
      </c>
      <c r="F20" t="s">
        <v>181</v>
      </c>
      <c r="G20">
        <v>2021</v>
      </c>
      <c r="H20" t="s">
        <v>177</v>
      </c>
      <c r="I20" t="s">
        <v>182</v>
      </c>
      <c r="J20" t="s">
        <v>182</v>
      </c>
      <c r="K20" t="s">
        <v>182</v>
      </c>
      <c r="L20">
        <v>4.0309999999999999E-2</v>
      </c>
      <c r="M20">
        <v>4.0309999999999999E-2</v>
      </c>
    </row>
    <row r="21" spans="1:13" x14ac:dyDescent="0.35">
      <c r="A21" t="s">
        <v>168</v>
      </c>
      <c r="B21" t="s">
        <v>130</v>
      </c>
      <c r="C21" t="s">
        <v>79</v>
      </c>
      <c r="D21" t="s">
        <v>65</v>
      </c>
      <c r="E21" t="s">
        <v>131</v>
      </c>
      <c r="F21" t="s">
        <v>181</v>
      </c>
      <c r="G21">
        <v>2021</v>
      </c>
      <c r="H21" t="s">
        <v>177</v>
      </c>
      <c r="I21" t="s">
        <v>182</v>
      </c>
      <c r="J21" t="s">
        <v>182</v>
      </c>
      <c r="K21" t="s">
        <v>182</v>
      </c>
      <c r="L21">
        <v>0</v>
      </c>
      <c r="M21">
        <v>0</v>
      </c>
    </row>
    <row r="22" spans="1:13" x14ac:dyDescent="0.35">
      <c r="A22" t="s">
        <v>168</v>
      </c>
      <c r="B22" t="s">
        <v>130</v>
      </c>
      <c r="C22" t="s">
        <v>79</v>
      </c>
      <c r="D22" t="s">
        <v>70</v>
      </c>
      <c r="E22" t="s">
        <v>131</v>
      </c>
      <c r="F22" t="s">
        <v>181</v>
      </c>
      <c r="G22">
        <v>2021</v>
      </c>
      <c r="H22" t="s">
        <v>177</v>
      </c>
      <c r="I22" t="s">
        <v>182</v>
      </c>
      <c r="J22" t="s">
        <v>182</v>
      </c>
      <c r="K22" t="s">
        <v>182</v>
      </c>
      <c r="L22">
        <v>2.315E-2</v>
      </c>
      <c r="M22">
        <v>2.315E-2</v>
      </c>
    </row>
    <row r="23" spans="1:13" x14ac:dyDescent="0.35">
      <c r="A23" t="s">
        <v>168</v>
      </c>
      <c r="B23" t="s">
        <v>130</v>
      </c>
      <c r="C23" t="s">
        <v>79</v>
      </c>
      <c r="D23" t="s">
        <v>78</v>
      </c>
      <c r="E23" t="s">
        <v>131</v>
      </c>
      <c r="F23" t="s">
        <v>181</v>
      </c>
      <c r="G23">
        <v>2021</v>
      </c>
      <c r="H23" t="s">
        <v>177</v>
      </c>
      <c r="I23" t="s">
        <v>182</v>
      </c>
      <c r="J23" t="s">
        <v>182</v>
      </c>
      <c r="K23" t="s">
        <v>182</v>
      </c>
      <c r="L23">
        <v>0.18647</v>
      </c>
      <c r="M23">
        <v>0.18647</v>
      </c>
    </row>
    <row r="24" spans="1:13" x14ac:dyDescent="0.35">
      <c r="A24" t="s">
        <v>168</v>
      </c>
      <c r="B24" t="s">
        <v>130</v>
      </c>
      <c r="C24" t="s">
        <v>79</v>
      </c>
      <c r="D24" t="s">
        <v>72</v>
      </c>
      <c r="E24" t="s">
        <v>131</v>
      </c>
      <c r="F24" t="s">
        <v>181</v>
      </c>
      <c r="G24">
        <v>2021</v>
      </c>
      <c r="H24" t="s">
        <v>177</v>
      </c>
      <c r="I24" t="s">
        <v>182</v>
      </c>
      <c r="J24" t="s">
        <v>182</v>
      </c>
      <c r="K24" t="s">
        <v>182</v>
      </c>
      <c r="L24">
        <v>0.62682000000000004</v>
      </c>
      <c r="M24">
        <v>0.62682000000000004</v>
      </c>
    </row>
    <row r="25" spans="1:13" x14ac:dyDescent="0.35">
      <c r="A25" t="s">
        <v>168</v>
      </c>
      <c r="B25" t="s">
        <v>130</v>
      </c>
      <c r="C25" t="s">
        <v>79</v>
      </c>
      <c r="D25" t="s">
        <v>68</v>
      </c>
      <c r="E25" t="s">
        <v>131</v>
      </c>
      <c r="F25" t="s">
        <v>181</v>
      </c>
      <c r="G25">
        <v>2021</v>
      </c>
      <c r="H25" t="s">
        <v>177</v>
      </c>
      <c r="I25" t="s">
        <v>182</v>
      </c>
      <c r="J25" t="s">
        <v>182</v>
      </c>
      <c r="K25" t="s">
        <v>182</v>
      </c>
      <c r="L25">
        <v>3.3480000000000003E-2</v>
      </c>
      <c r="M25">
        <v>3.3480000000000003E-2</v>
      </c>
    </row>
    <row r="26" spans="1:13" x14ac:dyDescent="0.35">
      <c r="A26" t="s">
        <v>168</v>
      </c>
      <c r="B26" t="s">
        <v>130</v>
      </c>
      <c r="C26" t="s">
        <v>79</v>
      </c>
      <c r="D26" t="s">
        <v>67</v>
      </c>
      <c r="E26" t="s">
        <v>131</v>
      </c>
      <c r="F26" t="s">
        <v>181</v>
      </c>
      <c r="G26">
        <v>2021</v>
      </c>
      <c r="H26" t="s">
        <v>177</v>
      </c>
      <c r="I26" t="s">
        <v>182</v>
      </c>
      <c r="J26" t="s">
        <v>182</v>
      </c>
      <c r="K26" t="s">
        <v>182</v>
      </c>
      <c r="L26">
        <v>3.3400000000000001E-3</v>
      </c>
      <c r="M26">
        <v>3.3400000000000001E-3</v>
      </c>
    </row>
    <row r="27" spans="1:13" x14ac:dyDescent="0.35">
      <c r="A27" t="s">
        <v>168</v>
      </c>
      <c r="B27" t="s">
        <v>130</v>
      </c>
      <c r="C27" t="s">
        <v>79</v>
      </c>
      <c r="D27" t="s">
        <v>69</v>
      </c>
      <c r="E27" t="s">
        <v>131</v>
      </c>
      <c r="F27" t="s">
        <v>181</v>
      </c>
      <c r="G27">
        <v>2021</v>
      </c>
      <c r="H27" t="s">
        <v>177</v>
      </c>
      <c r="I27" t="s">
        <v>182</v>
      </c>
      <c r="J27" t="s">
        <v>182</v>
      </c>
      <c r="K27" t="s">
        <v>182</v>
      </c>
      <c r="L27">
        <v>7.3730000000000004E-2</v>
      </c>
      <c r="M27">
        <v>7.3730000000000004E-2</v>
      </c>
    </row>
    <row r="28" spans="1:13" x14ac:dyDescent="0.35">
      <c r="A28" t="s">
        <v>168</v>
      </c>
      <c r="B28" t="s">
        <v>130</v>
      </c>
      <c r="C28" t="s">
        <v>79</v>
      </c>
      <c r="D28" t="s">
        <v>66</v>
      </c>
      <c r="E28" t="s">
        <v>131</v>
      </c>
      <c r="F28" t="s">
        <v>181</v>
      </c>
      <c r="G28">
        <v>2021</v>
      </c>
      <c r="H28" t="s">
        <v>177</v>
      </c>
      <c r="I28" t="s">
        <v>182</v>
      </c>
      <c r="J28" t="s">
        <v>182</v>
      </c>
      <c r="K28" t="s">
        <v>182</v>
      </c>
      <c r="L28">
        <v>0</v>
      </c>
      <c r="M28">
        <v>0</v>
      </c>
    </row>
    <row r="29" spans="1:13" x14ac:dyDescent="0.35">
      <c r="A29" t="s">
        <v>168</v>
      </c>
      <c r="B29" t="s">
        <v>130</v>
      </c>
      <c r="C29" t="s">
        <v>90</v>
      </c>
      <c r="D29" t="s">
        <v>70</v>
      </c>
      <c r="E29" t="s">
        <v>131</v>
      </c>
      <c r="F29" t="s">
        <v>181</v>
      </c>
      <c r="G29">
        <v>2021</v>
      </c>
      <c r="H29" t="s">
        <v>177</v>
      </c>
      <c r="I29" t="s">
        <v>182</v>
      </c>
      <c r="J29" t="s">
        <v>182</v>
      </c>
      <c r="K29" t="s">
        <v>182</v>
      </c>
      <c r="L29">
        <v>3.7220000000000003E-2</v>
      </c>
      <c r="M29">
        <v>3.7220000000000003E-2</v>
      </c>
    </row>
    <row r="30" spans="1:13" x14ac:dyDescent="0.35">
      <c r="A30" t="s">
        <v>168</v>
      </c>
      <c r="B30" t="s">
        <v>130</v>
      </c>
      <c r="C30" t="s">
        <v>90</v>
      </c>
      <c r="D30" t="s">
        <v>78</v>
      </c>
      <c r="E30" t="s">
        <v>131</v>
      </c>
      <c r="F30" t="s">
        <v>181</v>
      </c>
      <c r="G30">
        <v>2021</v>
      </c>
      <c r="H30" t="s">
        <v>177</v>
      </c>
      <c r="I30" t="s">
        <v>182</v>
      </c>
      <c r="J30" t="s">
        <v>182</v>
      </c>
      <c r="K30" t="s">
        <v>182</v>
      </c>
      <c r="L30">
        <v>0.47877999999999998</v>
      </c>
      <c r="M30">
        <v>0.47877999999999998</v>
      </c>
    </row>
    <row r="31" spans="1:13" x14ac:dyDescent="0.35">
      <c r="A31" t="s">
        <v>168</v>
      </c>
      <c r="B31" t="s">
        <v>130</v>
      </c>
      <c r="C31" t="s">
        <v>90</v>
      </c>
      <c r="D31" t="s">
        <v>72</v>
      </c>
      <c r="E31" t="s">
        <v>131</v>
      </c>
      <c r="F31" t="s">
        <v>181</v>
      </c>
      <c r="G31">
        <v>2021</v>
      </c>
      <c r="H31" t="s">
        <v>177</v>
      </c>
      <c r="I31" t="s">
        <v>182</v>
      </c>
      <c r="J31" t="s">
        <v>182</v>
      </c>
      <c r="K31" t="s">
        <v>182</v>
      </c>
      <c r="L31">
        <v>0.42292000000000002</v>
      </c>
      <c r="M31">
        <v>0.42292000000000002</v>
      </c>
    </row>
    <row r="32" spans="1:13" x14ac:dyDescent="0.35">
      <c r="A32" t="s">
        <v>168</v>
      </c>
      <c r="B32" t="s">
        <v>130</v>
      </c>
      <c r="C32" t="s">
        <v>90</v>
      </c>
      <c r="D32" t="s">
        <v>67</v>
      </c>
      <c r="E32" t="s">
        <v>131</v>
      </c>
      <c r="F32" t="s">
        <v>181</v>
      </c>
      <c r="G32">
        <v>2021</v>
      </c>
      <c r="H32" t="s">
        <v>177</v>
      </c>
      <c r="I32" t="s">
        <v>182</v>
      </c>
      <c r="J32" t="s">
        <v>182</v>
      </c>
      <c r="K32" t="s">
        <v>182</v>
      </c>
      <c r="L32">
        <v>8.5299999999999994E-3</v>
      </c>
      <c r="M32">
        <v>8.5299999999999994E-3</v>
      </c>
    </row>
    <row r="33" spans="1:13" x14ac:dyDescent="0.35">
      <c r="A33" t="s">
        <v>168</v>
      </c>
      <c r="B33" t="s">
        <v>130</v>
      </c>
      <c r="C33" t="s">
        <v>90</v>
      </c>
      <c r="D33" t="s">
        <v>69</v>
      </c>
      <c r="E33" t="s">
        <v>131</v>
      </c>
      <c r="F33" t="s">
        <v>181</v>
      </c>
      <c r="G33">
        <v>2021</v>
      </c>
      <c r="H33" t="s">
        <v>177</v>
      </c>
      <c r="I33" t="s">
        <v>182</v>
      </c>
      <c r="J33" t="s">
        <v>182</v>
      </c>
      <c r="K33" t="s">
        <v>182</v>
      </c>
      <c r="L33">
        <v>5.2569999999999999E-2</v>
      </c>
      <c r="M33">
        <v>5.2569999999999999E-2</v>
      </c>
    </row>
    <row r="34" spans="1:13" x14ac:dyDescent="0.35">
      <c r="A34" t="s">
        <v>168</v>
      </c>
      <c r="B34" t="s">
        <v>130</v>
      </c>
      <c r="C34" t="s">
        <v>89</v>
      </c>
      <c r="D34" t="s">
        <v>65</v>
      </c>
      <c r="E34" t="s">
        <v>131</v>
      </c>
      <c r="F34" t="s">
        <v>181</v>
      </c>
      <c r="G34">
        <v>2021</v>
      </c>
      <c r="H34" t="s">
        <v>177</v>
      </c>
      <c r="I34" t="s">
        <v>182</v>
      </c>
      <c r="J34" t="s">
        <v>182</v>
      </c>
      <c r="K34" t="s">
        <v>182</v>
      </c>
      <c r="L34">
        <v>0</v>
      </c>
      <c r="M34">
        <v>0</v>
      </c>
    </row>
    <row r="35" spans="1:13" x14ac:dyDescent="0.35">
      <c r="A35" t="s">
        <v>168</v>
      </c>
      <c r="B35" t="s">
        <v>130</v>
      </c>
      <c r="C35" t="s">
        <v>89</v>
      </c>
      <c r="D35" t="s">
        <v>70</v>
      </c>
      <c r="E35" t="s">
        <v>131</v>
      </c>
      <c r="F35" t="s">
        <v>181</v>
      </c>
      <c r="G35">
        <v>2021</v>
      </c>
      <c r="H35" t="s">
        <v>177</v>
      </c>
      <c r="I35" t="s">
        <v>182</v>
      </c>
      <c r="J35" t="s">
        <v>182</v>
      </c>
      <c r="K35" t="s">
        <v>182</v>
      </c>
      <c r="L35">
        <v>3.5799999999999998E-3</v>
      </c>
      <c r="M35">
        <v>3.5799999999999998E-3</v>
      </c>
    </row>
    <row r="36" spans="1:13" x14ac:dyDescent="0.35">
      <c r="A36" t="s">
        <v>168</v>
      </c>
      <c r="B36" t="s">
        <v>130</v>
      </c>
      <c r="C36" t="s">
        <v>89</v>
      </c>
      <c r="D36" t="s">
        <v>78</v>
      </c>
      <c r="E36" t="s">
        <v>131</v>
      </c>
      <c r="F36" t="s">
        <v>181</v>
      </c>
      <c r="G36">
        <v>2021</v>
      </c>
      <c r="H36" t="s">
        <v>177</v>
      </c>
      <c r="I36" t="s">
        <v>182</v>
      </c>
      <c r="J36" t="s">
        <v>182</v>
      </c>
      <c r="K36" t="s">
        <v>182</v>
      </c>
      <c r="L36">
        <v>0.12481</v>
      </c>
      <c r="M36">
        <v>0.12481</v>
      </c>
    </row>
    <row r="37" spans="1:13" x14ac:dyDescent="0.35">
      <c r="A37" t="s">
        <v>168</v>
      </c>
      <c r="B37" t="s">
        <v>130</v>
      </c>
      <c r="C37" t="s">
        <v>89</v>
      </c>
      <c r="D37" t="s">
        <v>72</v>
      </c>
      <c r="E37" t="s">
        <v>131</v>
      </c>
      <c r="F37" t="s">
        <v>181</v>
      </c>
      <c r="G37">
        <v>2021</v>
      </c>
      <c r="H37" t="s">
        <v>177</v>
      </c>
      <c r="I37" t="s">
        <v>182</v>
      </c>
      <c r="J37" t="s">
        <v>182</v>
      </c>
      <c r="K37" t="s">
        <v>182</v>
      </c>
      <c r="L37">
        <v>0.86648000000000003</v>
      </c>
      <c r="M37">
        <v>0.86648000000000003</v>
      </c>
    </row>
    <row r="38" spans="1:13" x14ac:dyDescent="0.35">
      <c r="A38" t="s">
        <v>168</v>
      </c>
      <c r="B38" t="s">
        <v>130</v>
      </c>
      <c r="C38" t="s">
        <v>89</v>
      </c>
      <c r="D38" t="s">
        <v>68</v>
      </c>
      <c r="E38" t="s">
        <v>131</v>
      </c>
      <c r="F38" t="s">
        <v>181</v>
      </c>
      <c r="G38">
        <v>2021</v>
      </c>
      <c r="H38" t="s">
        <v>177</v>
      </c>
      <c r="I38" t="s">
        <v>182</v>
      </c>
      <c r="J38" t="s">
        <v>182</v>
      </c>
      <c r="K38" t="s">
        <v>182</v>
      </c>
      <c r="L38">
        <v>1.6100000000000001E-3</v>
      </c>
      <c r="M38">
        <v>1.6100000000000001E-3</v>
      </c>
    </row>
    <row r="39" spans="1:13" x14ac:dyDescent="0.35">
      <c r="A39" t="s">
        <v>168</v>
      </c>
      <c r="B39" t="s">
        <v>130</v>
      </c>
      <c r="C39" t="s">
        <v>89</v>
      </c>
      <c r="D39" t="s">
        <v>67</v>
      </c>
      <c r="E39" t="s">
        <v>131</v>
      </c>
      <c r="F39" t="s">
        <v>181</v>
      </c>
      <c r="G39">
        <v>2021</v>
      </c>
      <c r="H39" t="s">
        <v>177</v>
      </c>
      <c r="I39" t="s">
        <v>182</v>
      </c>
      <c r="J39" t="s">
        <v>182</v>
      </c>
      <c r="K39" t="s">
        <v>182</v>
      </c>
      <c r="L39">
        <v>8.9999999999999998E-4</v>
      </c>
      <c r="M39">
        <v>8.9999999999999998E-4</v>
      </c>
    </row>
    <row r="40" spans="1:13" x14ac:dyDescent="0.35">
      <c r="A40" t="s">
        <v>168</v>
      </c>
      <c r="B40" t="s">
        <v>130</v>
      </c>
      <c r="C40" t="s">
        <v>89</v>
      </c>
      <c r="D40" t="s">
        <v>69</v>
      </c>
      <c r="E40" t="s">
        <v>131</v>
      </c>
      <c r="F40" t="s">
        <v>181</v>
      </c>
      <c r="G40">
        <v>2021</v>
      </c>
      <c r="H40" t="s">
        <v>177</v>
      </c>
      <c r="I40" t="s">
        <v>182</v>
      </c>
      <c r="J40" t="s">
        <v>182</v>
      </c>
      <c r="K40" t="s">
        <v>182</v>
      </c>
      <c r="L40">
        <v>2.64E-3</v>
      </c>
      <c r="M40">
        <v>2.64E-3</v>
      </c>
    </row>
    <row r="41" spans="1:13" x14ac:dyDescent="0.35">
      <c r="A41" t="s">
        <v>168</v>
      </c>
      <c r="B41" t="s">
        <v>130</v>
      </c>
      <c r="C41" t="s">
        <v>77</v>
      </c>
      <c r="D41" t="s">
        <v>70</v>
      </c>
      <c r="E41" t="s">
        <v>131</v>
      </c>
      <c r="F41" t="s">
        <v>181</v>
      </c>
      <c r="G41">
        <v>2021</v>
      </c>
      <c r="H41" t="s">
        <v>177</v>
      </c>
      <c r="I41" t="s">
        <v>182</v>
      </c>
      <c r="J41" t="s">
        <v>182</v>
      </c>
      <c r="K41" t="s">
        <v>182</v>
      </c>
      <c r="L41">
        <v>0.43919999999999998</v>
      </c>
      <c r="M41">
        <v>0.43919999999999998</v>
      </c>
    </row>
    <row r="42" spans="1:13" x14ac:dyDescent="0.35">
      <c r="A42" t="s">
        <v>168</v>
      </c>
      <c r="B42" t="s">
        <v>130</v>
      </c>
      <c r="C42" t="s">
        <v>77</v>
      </c>
      <c r="D42" t="s">
        <v>78</v>
      </c>
      <c r="E42" t="s">
        <v>131</v>
      </c>
      <c r="F42" t="s">
        <v>181</v>
      </c>
      <c r="G42">
        <v>2021</v>
      </c>
      <c r="H42" t="s">
        <v>177</v>
      </c>
      <c r="I42" t="s">
        <v>182</v>
      </c>
      <c r="J42" t="s">
        <v>182</v>
      </c>
      <c r="K42" t="s">
        <v>182</v>
      </c>
      <c r="L42">
        <v>0.34991</v>
      </c>
      <c r="M42">
        <v>0.34991</v>
      </c>
    </row>
    <row r="43" spans="1:13" x14ac:dyDescent="0.35">
      <c r="A43" t="s">
        <v>168</v>
      </c>
      <c r="B43" t="s">
        <v>130</v>
      </c>
      <c r="C43" t="s">
        <v>77</v>
      </c>
      <c r="D43" t="s">
        <v>72</v>
      </c>
      <c r="E43" t="s">
        <v>131</v>
      </c>
      <c r="F43" t="s">
        <v>181</v>
      </c>
      <c r="G43">
        <v>2021</v>
      </c>
      <c r="H43" t="s">
        <v>177</v>
      </c>
      <c r="I43" t="s">
        <v>182</v>
      </c>
      <c r="J43" t="s">
        <v>182</v>
      </c>
      <c r="K43" t="s">
        <v>182</v>
      </c>
      <c r="L43">
        <v>0.20813999999999999</v>
      </c>
      <c r="M43">
        <v>0.20813999999999999</v>
      </c>
    </row>
    <row r="44" spans="1:13" x14ac:dyDescent="0.35">
      <c r="A44" t="s">
        <v>168</v>
      </c>
      <c r="B44" t="s">
        <v>130</v>
      </c>
      <c r="C44" t="s">
        <v>77</v>
      </c>
      <c r="D44" t="s">
        <v>67</v>
      </c>
      <c r="E44" t="s">
        <v>131</v>
      </c>
      <c r="F44" t="s">
        <v>181</v>
      </c>
      <c r="G44">
        <v>2021</v>
      </c>
      <c r="H44" t="s">
        <v>177</v>
      </c>
      <c r="I44" t="s">
        <v>182</v>
      </c>
      <c r="J44" t="s">
        <v>182</v>
      </c>
      <c r="K44" t="s">
        <v>182</v>
      </c>
      <c r="L44">
        <v>2.5200000000000001E-3</v>
      </c>
      <c r="M44">
        <v>2.5200000000000001E-3</v>
      </c>
    </row>
    <row r="45" spans="1:13" x14ac:dyDescent="0.35">
      <c r="A45" t="s">
        <v>168</v>
      </c>
      <c r="B45" t="s">
        <v>130</v>
      </c>
      <c r="C45" t="s">
        <v>77</v>
      </c>
      <c r="D45" t="s">
        <v>69</v>
      </c>
      <c r="E45" t="s">
        <v>131</v>
      </c>
      <c r="F45" t="s">
        <v>181</v>
      </c>
      <c r="G45">
        <v>2021</v>
      </c>
      <c r="H45" t="s">
        <v>177</v>
      </c>
      <c r="I45" t="s">
        <v>182</v>
      </c>
      <c r="J45" t="s">
        <v>182</v>
      </c>
      <c r="K45" t="s">
        <v>182</v>
      </c>
      <c r="L45">
        <v>2.4000000000000001E-4</v>
      </c>
      <c r="M45">
        <v>2.4000000000000001E-4</v>
      </c>
    </row>
    <row r="46" spans="1:13" x14ac:dyDescent="0.35">
      <c r="A46" t="s">
        <v>168</v>
      </c>
      <c r="B46" t="s">
        <v>130</v>
      </c>
      <c r="C46" t="s">
        <v>93</v>
      </c>
      <c r="D46" t="s">
        <v>70</v>
      </c>
      <c r="E46" t="s">
        <v>131</v>
      </c>
      <c r="F46" t="s">
        <v>181</v>
      </c>
      <c r="G46">
        <v>2021</v>
      </c>
      <c r="H46" t="s">
        <v>177</v>
      </c>
      <c r="I46" t="s">
        <v>182</v>
      </c>
      <c r="J46" t="s">
        <v>182</v>
      </c>
      <c r="K46" t="s">
        <v>182</v>
      </c>
      <c r="L46">
        <v>1.7080000000000001E-2</v>
      </c>
      <c r="M46">
        <v>1.7080000000000001E-2</v>
      </c>
    </row>
    <row r="47" spans="1:13" x14ac:dyDescent="0.35">
      <c r="A47" t="s">
        <v>168</v>
      </c>
      <c r="B47" t="s">
        <v>130</v>
      </c>
      <c r="C47" t="s">
        <v>93</v>
      </c>
      <c r="D47" t="s">
        <v>78</v>
      </c>
      <c r="E47" t="s">
        <v>131</v>
      </c>
      <c r="F47" t="s">
        <v>181</v>
      </c>
      <c r="G47">
        <v>2021</v>
      </c>
      <c r="H47" t="s">
        <v>177</v>
      </c>
      <c r="I47" t="s">
        <v>182</v>
      </c>
      <c r="J47" t="s">
        <v>182</v>
      </c>
      <c r="K47" t="s">
        <v>182</v>
      </c>
      <c r="L47">
        <v>0.46919</v>
      </c>
      <c r="M47">
        <v>0.46919</v>
      </c>
    </row>
    <row r="48" spans="1:13" x14ac:dyDescent="0.35">
      <c r="A48" t="s">
        <v>168</v>
      </c>
      <c r="B48" t="s">
        <v>130</v>
      </c>
      <c r="C48" t="s">
        <v>93</v>
      </c>
      <c r="D48" t="s">
        <v>72</v>
      </c>
      <c r="E48" t="s">
        <v>131</v>
      </c>
      <c r="F48" t="s">
        <v>181</v>
      </c>
      <c r="G48">
        <v>2021</v>
      </c>
      <c r="H48" t="s">
        <v>177</v>
      </c>
      <c r="I48" t="s">
        <v>182</v>
      </c>
      <c r="J48" t="s">
        <v>182</v>
      </c>
      <c r="K48" t="s">
        <v>182</v>
      </c>
      <c r="L48">
        <v>0.42902000000000001</v>
      </c>
      <c r="M48">
        <v>0.42902000000000001</v>
      </c>
    </row>
    <row r="49" spans="1:13" x14ac:dyDescent="0.35">
      <c r="A49" t="s">
        <v>168</v>
      </c>
      <c r="B49" t="s">
        <v>130</v>
      </c>
      <c r="C49" t="s">
        <v>93</v>
      </c>
      <c r="D49" t="s">
        <v>68</v>
      </c>
      <c r="E49" t="s">
        <v>131</v>
      </c>
      <c r="F49" t="s">
        <v>181</v>
      </c>
      <c r="G49">
        <v>2021</v>
      </c>
      <c r="H49" t="s">
        <v>177</v>
      </c>
      <c r="I49" t="s">
        <v>182</v>
      </c>
      <c r="J49" t="s">
        <v>182</v>
      </c>
      <c r="K49" t="s">
        <v>182</v>
      </c>
      <c r="L49">
        <v>3.0630000000000001E-2</v>
      </c>
      <c r="M49">
        <v>3.0630000000000001E-2</v>
      </c>
    </row>
    <row r="50" spans="1:13" x14ac:dyDescent="0.35">
      <c r="A50" t="s">
        <v>168</v>
      </c>
      <c r="B50" t="s">
        <v>130</v>
      </c>
      <c r="C50" t="s">
        <v>93</v>
      </c>
      <c r="D50" t="s">
        <v>67</v>
      </c>
      <c r="E50" t="s">
        <v>131</v>
      </c>
      <c r="F50" t="s">
        <v>181</v>
      </c>
      <c r="G50">
        <v>2021</v>
      </c>
      <c r="H50" t="s">
        <v>177</v>
      </c>
      <c r="I50" t="s">
        <v>182</v>
      </c>
      <c r="J50" t="s">
        <v>182</v>
      </c>
      <c r="K50" t="s">
        <v>182</v>
      </c>
      <c r="L50">
        <v>3.7599999999999999E-3</v>
      </c>
      <c r="M50">
        <v>3.7599999999999999E-3</v>
      </c>
    </row>
    <row r="51" spans="1:13" x14ac:dyDescent="0.35">
      <c r="A51" t="s">
        <v>168</v>
      </c>
      <c r="B51" t="s">
        <v>130</v>
      </c>
      <c r="C51" t="s">
        <v>93</v>
      </c>
      <c r="D51" t="s">
        <v>69</v>
      </c>
      <c r="E51" t="s">
        <v>131</v>
      </c>
      <c r="F51" t="s">
        <v>181</v>
      </c>
      <c r="G51">
        <v>2021</v>
      </c>
      <c r="H51" t="s">
        <v>177</v>
      </c>
      <c r="I51" t="s">
        <v>182</v>
      </c>
      <c r="J51" t="s">
        <v>182</v>
      </c>
      <c r="K51" t="s">
        <v>182</v>
      </c>
      <c r="L51">
        <v>5.0340000000000003E-2</v>
      </c>
      <c r="M51">
        <v>5.0340000000000003E-2</v>
      </c>
    </row>
    <row r="52" spans="1:13" x14ac:dyDescent="0.35">
      <c r="A52" t="s">
        <v>168</v>
      </c>
      <c r="B52" t="s">
        <v>130</v>
      </c>
      <c r="C52" t="s">
        <v>183</v>
      </c>
      <c r="D52" t="s">
        <v>81</v>
      </c>
      <c r="E52" t="s">
        <v>131</v>
      </c>
      <c r="F52" t="s">
        <v>181</v>
      </c>
      <c r="G52">
        <v>2021</v>
      </c>
      <c r="H52" t="s">
        <v>177</v>
      </c>
      <c r="I52" t="s">
        <v>182</v>
      </c>
      <c r="J52" t="s">
        <v>182</v>
      </c>
      <c r="K52" t="s">
        <v>182</v>
      </c>
      <c r="L52">
        <v>5.9199999999999999E-3</v>
      </c>
      <c r="M52">
        <v>5.9199999999999999E-3</v>
      </c>
    </row>
    <row r="53" spans="1:13" x14ac:dyDescent="0.35">
      <c r="A53" t="s">
        <v>168</v>
      </c>
      <c r="B53" t="s">
        <v>130</v>
      </c>
      <c r="C53" t="s">
        <v>183</v>
      </c>
      <c r="D53" t="s">
        <v>65</v>
      </c>
      <c r="E53" t="s">
        <v>131</v>
      </c>
      <c r="F53" t="s">
        <v>181</v>
      </c>
      <c r="G53">
        <v>2021</v>
      </c>
      <c r="H53" t="s">
        <v>177</v>
      </c>
      <c r="I53" t="s">
        <v>182</v>
      </c>
      <c r="J53" t="s">
        <v>182</v>
      </c>
      <c r="K53" t="s">
        <v>182</v>
      </c>
      <c r="L53">
        <v>0.20257</v>
      </c>
      <c r="M53">
        <v>0.20257</v>
      </c>
    </row>
    <row r="54" spans="1:13" x14ac:dyDescent="0.35">
      <c r="A54" t="s">
        <v>168</v>
      </c>
      <c r="B54" t="s">
        <v>130</v>
      </c>
      <c r="C54" t="s">
        <v>183</v>
      </c>
      <c r="D54" t="s">
        <v>71</v>
      </c>
      <c r="E54" t="s">
        <v>131</v>
      </c>
      <c r="F54" t="s">
        <v>181</v>
      </c>
      <c r="G54">
        <v>2021</v>
      </c>
      <c r="H54" t="s">
        <v>177</v>
      </c>
      <c r="I54" t="s">
        <v>182</v>
      </c>
      <c r="J54" t="s">
        <v>182</v>
      </c>
      <c r="K54" t="s">
        <v>182</v>
      </c>
      <c r="L54">
        <v>0.31075000000000003</v>
      </c>
      <c r="M54">
        <v>0.31075000000000003</v>
      </c>
    </row>
    <row r="55" spans="1:13" x14ac:dyDescent="0.35">
      <c r="A55" t="s">
        <v>168</v>
      </c>
      <c r="B55" t="s">
        <v>130</v>
      </c>
      <c r="C55" t="s">
        <v>183</v>
      </c>
      <c r="D55" t="s">
        <v>70</v>
      </c>
      <c r="E55" t="s">
        <v>131</v>
      </c>
      <c r="F55" t="s">
        <v>181</v>
      </c>
      <c r="G55">
        <v>2021</v>
      </c>
      <c r="H55" t="s">
        <v>177</v>
      </c>
      <c r="I55" t="s">
        <v>182</v>
      </c>
      <c r="J55" t="s">
        <v>182</v>
      </c>
      <c r="K55" t="s">
        <v>182</v>
      </c>
      <c r="L55">
        <v>2.8510000000000001E-2</v>
      </c>
      <c r="M55">
        <v>2.8510000000000001E-2</v>
      </c>
    </row>
    <row r="56" spans="1:13" x14ac:dyDescent="0.35">
      <c r="A56" t="s">
        <v>168</v>
      </c>
      <c r="B56" t="s">
        <v>130</v>
      </c>
      <c r="C56" t="s">
        <v>183</v>
      </c>
      <c r="D56" t="s">
        <v>78</v>
      </c>
      <c r="E56" t="s">
        <v>131</v>
      </c>
      <c r="F56" t="s">
        <v>181</v>
      </c>
      <c r="G56">
        <v>2021</v>
      </c>
      <c r="H56" t="s">
        <v>177</v>
      </c>
      <c r="I56" t="s">
        <v>182</v>
      </c>
      <c r="J56" t="s">
        <v>182</v>
      </c>
      <c r="K56" t="s">
        <v>182</v>
      </c>
      <c r="L56">
        <v>0.14044000000000001</v>
      </c>
      <c r="M56">
        <v>0.14044000000000001</v>
      </c>
    </row>
    <row r="57" spans="1:13" x14ac:dyDescent="0.35">
      <c r="A57" t="s">
        <v>168</v>
      </c>
      <c r="B57" t="s">
        <v>130</v>
      </c>
      <c r="C57" t="s">
        <v>183</v>
      </c>
      <c r="D57" t="s">
        <v>72</v>
      </c>
      <c r="E57" t="s">
        <v>131</v>
      </c>
      <c r="F57" t="s">
        <v>181</v>
      </c>
      <c r="G57">
        <v>2021</v>
      </c>
      <c r="H57" t="s">
        <v>177</v>
      </c>
      <c r="I57" t="s">
        <v>182</v>
      </c>
      <c r="J57" t="s">
        <v>182</v>
      </c>
      <c r="K57" t="s">
        <v>182</v>
      </c>
      <c r="L57">
        <v>7.646E-2</v>
      </c>
      <c r="M57">
        <v>7.646E-2</v>
      </c>
    </row>
    <row r="58" spans="1:13" x14ac:dyDescent="0.35">
      <c r="A58" t="s">
        <v>168</v>
      </c>
      <c r="B58" t="s">
        <v>130</v>
      </c>
      <c r="C58" t="s">
        <v>183</v>
      </c>
      <c r="D58" t="s">
        <v>67</v>
      </c>
      <c r="E58" t="s">
        <v>131</v>
      </c>
      <c r="F58" t="s">
        <v>181</v>
      </c>
      <c r="G58">
        <v>2021</v>
      </c>
      <c r="H58" t="s">
        <v>177</v>
      </c>
      <c r="I58" t="s">
        <v>182</v>
      </c>
      <c r="J58" t="s">
        <v>182</v>
      </c>
      <c r="K58" t="s">
        <v>182</v>
      </c>
      <c r="L58">
        <v>2.2399999999999998E-3</v>
      </c>
      <c r="M58">
        <v>2.2399999999999998E-3</v>
      </c>
    </row>
    <row r="59" spans="1:13" x14ac:dyDescent="0.35">
      <c r="A59" t="s">
        <v>168</v>
      </c>
      <c r="B59" t="s">
        <v>130</v>
      </c>
      <c r="C59" t="s">
        <v>183</v>
      </c>
      <c r="D59" t="s">
        <v>69</v>
      </c>
      <c r="E59" t="s">
        <v>131</v>
      </c>
      <c r="F59" t="s">
        <v>181</v>
      </c>
      <c r="G59">
        <v>2021</v>
      </c>
      <c r="H59" t="s">
        <v>177</v>
      </c>
      <c r="I59" t="s">
        <v>182</v>
      </c>
      <c r="J59" t="s">
        <v>182</v>
      </c>
      <c r="K59" t="s">
        <v>182</v>
      </c>
      <c r="L59">
        <v>5.2599999999999999E-3</v>
      </c>
      <c r="M59">
        <v>5.2599999999999999E-3</v>
      </c>
    </row>
    <row r="60" spans="1:13" x14ac:dyDescent="0.35">
      <c r="A60" t="s">
        <v>168</v>
      </c>
      <c r="B60" t="s">
        <v>130</v>
      </c>
      <c r="C60" t="s">
        <v>183</v>
      </c>
      <c r="D60" t="s">
        <v>88</v>
      </c>
      <c r="E60" t="s">
        <v>131</v>
      </c>
      <c r="F60" t="s">
        <v>181</v>
      </c>
      <c r="G60">
        <v>2021</v>
      </c>
      <c r="H60" t="s">
        <v>177</v>
      </c>
      <c r="I60" t="s">
        <v>182</v>
      </c>
      <c r="J60" t="s">
        <v>182</v>
      </c>
      <c r="K60" t="s">
        <v>182</v>
      </c>
      <c r="L60">
        <v>0.12218999999999999</v>
      </c>
      <c r="M60">
        <v>0.12218999999999999</v>
      </c>
    </row>
    <row r="61" spans="1:13" x14ac:dyDescent="0.35">
      <c r="A61" t="s">
        <v>168</v>
      </c>
      <c r="B61" t="s">
        <v>130</v>
      </c>
      <c r="C61" t="s">
        <v>183</v>
      </c>
      <c r="D61" t="s">
        <v>87</v>
      </c>
      <c r="E61" t="s">
        <v>131</v>
      </c>
      <c r="F61" t="s">
        <v>181</v>
      </c>
      <c r="G61">
        <v>2021</v>
      </c>
      <c r="H61" t="s">
        <v>177</v>
      </c>
      <c r="I61" t="s">
        <v>182</v>
      </c>
      <c r="J61" t="s">
        <v>182</v>
      </c>
      <c r="K61" t="s">
        <v>182</v>
      </c>
      <c r="L61">
        <v>0.10571999999999999</v>
      </c>
      <c r="M61">
        <v>0.10571999999999999</v>
      </c>
    </row>
    <row r="62" spans="1:13" x14ac:dyDescent="0.35">
      <c r="A62" t="s">
        <v>168</v>
      </c>
      <c r="B62" t="s">
        <v>130</v>
      </c>
      <c r="C62" t="s">
        <v>84</v>
      </c>
      <c r="D62" t="s">
        <v>70</v>
      </c>
      <c r="E62" t="s">
        <v>131</v>
      </c>
      <c r="F62" t="s">
        <v>181</v>
      </c>
      <c r="G62">
        <v>2021</v>
      </c>
      <c r="H62" t="s">
        <v>177</v>
      </c>
      <c r="I62" t="s">
        <v>182</v>
      </c>
      <c r="J62" t="s">
        <v>182</v>
      </c>
      <c r="K62" t="s">
        <v>182</v>
      </c>
      <c r="L62">
        <v>2.1319999999999999E-2</v>
      </c>
      <c r="M62">
        <v>2.1319999999999999E-2</v>
      </c>
    </row>
    <row r="63" spans="1:13" x14ac:dyDescent="0.35">
      <c r="A63" t="s">
        <v>168</v>
      </c>
      <c r="B63" t="s">
        <v>130</v>
      </c>
      <c r="C63" t="s">
        <v>84</v>
      </c>
      <c r="D63" t="s">
        <v>78</v>
      </c>
      <c r="E63" t="s">
        <v>131</v>
      </c>
      <c r="F63" t="s">
        <v>181</v>
      </c>
      <c r="G63">
        <v>2021</v>
      </c>
      <c r="H63" t="s">
        <v>177</v>
      </c>
      <c r="I63" t="s">
        <v>182</v>
      </c>
      <c r="J63" t="s">
        <v>182</v>
      </c>
      <c r="K63" t="s">
        <v>182</v>
      </c>
      <c r="L63">
        <v>0.45951999999999998</v>
      </c>
      <c r="M63">
        <v>0.45951999999999998</v>
      </c>
    </row>
    <row r="64" spans="1:13" x14ac:dyDescent="0.35">
      <c r="A64" t="s">
        <v>168</v>
      </c>
      <c r="B64" t="s">
        <v>130</v>
      </c>
      <c r="C64" t="s">
        <v>84</v>
      </c>
      <c r="D64" t="s">
        <v>72</v>
      </c>
      <c r="E64" t="s">
        <v>131</v>
      </c>
      <c r="F64" t="s">
        <v>181</v>
      </c>
      <c r="G64">
        <v>2021</v>
      </c>
      <c r="H64" t="s">
        <v>177</v>
      </c>
      <c r="I64" t="s">
        <v>182</v>
      </c>
      <c r="J64" t="s">
        <v>182</v>
      </c>
      <c r="K64" t="s">
        <v>182</v>
      </c>
      <c r="L64">
        <v>0.48913000000000001</v>
      </c>
      <c r="M64">
        <v>0.48913000000000001</v>
      </c>
    </row>
    <row r="65" spans="1:13" x14ac:dyDescent="0.35">
      <c r="A65" t="s">
        <v>168</v>
      </c>
      <c r="B65" t="s">
        <v>130</v>
      </c>
      <c r="C65" t="s">
        <v>84</v>
      </c>
      <c r="D65" t="s">
        <v>67</v>
      </c>
      <c r="E65" t="s">
        <v>131</v>
      </c>
      <c r="F65" t="s">
        <v>181</v>
      </c>
      <c r="G65">
        <v>2021</v>
      </c>
      <c r="H65" t="s">
        <v>177</v>
      </c>
      <c r="I65" t="s">
        <v>182</v>
      </c>
      <c r="J65" t="s">
        <v>182</v>
      </c>
      <c r="K65" t="s">
        <v>182</v>
      </c>
      <c r="L65">
        <v>2.5899999999999999E-3</v>
      </c>
      <c r="M65">
        <v>2.5899999999999999E-3</v>
      </c>
    </row>
    <row r="66" spans="1:13" x14ac:dyDescent="0.35">
      <c r="A66" t="s">
        <v>168</v>
      </c>
      <c r="B66" t="s">
        <v>130</v>
      </c>
      <c r="C66" t="s">
        <v>84</v>
      </c>
      <c r="D66" t="s">
        <v>69</v>
      </c>
      <c r="E66" t="s">
        <v>131</v>
      </c>
      <c r="F66" t="s">
        <v>181</v>
      </c>
      <c r="G66">
        <v>2021</v>
      </c>
      <c r="H66" t="s">
        <v>177</v>
      </c>
      <c r="I66" t="s">
        <v>182</v>
      </c>
      <c r="J66" t="s">
        <v>182</v>
      </c>
      <c r="K66" t="s">
        <v>182</v>
      </c>
      <c r="L66">
        <v>2.7470000000000001E-2</v>
      </c>
      <c r="M66">
        <v>2.7470000000000001E-2</v>
      </c>
    </row>
    <row r="67" spans="1:13" x14ac:dyDescent="0.35">
      <c r="A67" t="s">
        <v>168</v>
      </c>
      <c r="B67" t="s">
        <v>130</v>
      </c>
      <c r="C67" t="s">
        <v>86</v>
      </c>
      <c r="D67" t="s">
        <v>70</v>
      </c>
      <c r="E67" t="s">
        <v>131</v>
      </c>
      <c r="F67" t="s">
        <v>181</v>
      </c>
      <c r="G67">
        <v>2021</v>
      </c>
      <c r="H67" t="s">
        <v>177</v>
      </c>
      <c r="I67" t="s">
        <v>182</v>
      </c>
      <c r="J67" t="s">
        <v>182</v>
      </c>
      <c r="K67" t="s">
        <v>182</v>
      </c>
      <c r="L67">
        <v>2.3689999999999999E-2</v>
      </c>
      <c r="M67">
        <v>2.3689999999999999E-2</v>
      </c>
    </row>
    <row r="68" spans="1:13" x14ac:dyDescent="0.35">
      <c r="A68" t="s">
        <v>168</v>
      </c>
      <c r="B68" t="s">
        <v>130</v>
      </c>
      <c r="C68" t="s">
        <v>86</v>
      </c>
      <c r="D68" t="s">
        <v>78</v>
      </c>
      <c r="E68" t="s">
        <v>131</v>
      </c>
      <c r="F68" t="s">
        <v>181</v>
      </c>
      <c r="G68">
        <v>2021</v>
      </c>
      <c r="H68" t="s">
        <v>177</v>
      </c>
      <c r="I68" t="s">
        <v>182</v>
      </c>
      <c r="J68" t="s">
        <v>182</v>
      </c>
      <c r="K68" t="s">
        <v>182</v>
      </c>
      <c r="L68">
        <v>0.56598999999999999</v>
      </c>
      <c r="M68">
        <v>0.56598999999999999</v>
      </c>
    </row>
    <row r="69" spans="1:13" x14ac:dyDescent="0.35">
      <c r="A69" t="s">
        <v>168</v>
      </c>
      <c r="B69" t="s">
        <v>130</v>
      </c>
      <c r="C69" t="s">
        <v>86</v>
      </c>
      <c r="D69" t="s">
        <v>72</v>
      </c>
      <c r="E69" t="s">
        <v>131</v>
      </c>
      <c r="F69" t="s">
        <v>181</v>
      </c>
      <c r="G69">
        <v>2021</v>
      </c>
      <c r="H69" t="s">
        <v>177</v>
      </c>
      <c r="I69" t="s">
        <v>182</v>
      </c>
      <c r="J69" t="s">
        <v>182</v>
      </c>
      <c r="K69" t="s">
        <v>182</v>
      </c>
      <c r="L69">
        <v>0.33373999999999998</v>
      </c>
      <c r="M69">
        <v>0.33373999999999998</v>
      </c>
    </row>
    <row r="70" spans="1:13" x14ac:dyDescent="0.35">
      <c r="A70" t="s">
        <v>168</v>
      </c>
      <c r="B70" t="s">
        <v>130</v>
      </c>
      <c r="C70" t="s">
        <v>86</v>
      </c>
      <c r="D70" t="s">
        <v>67</v>
      </c>
      <c r="E70" t="s">
        <v>131</v>
      </c>
      <c r="F70" t="s">
        <v>181</v>
      </c>
      <c r="G70">
        <v>2021</v>
      </c>
      <c r="H70" t="s">
        <v>177</v>
      </c>
      <c r="I70" t="s">
        <v>182</v>
      </c>
      <c r="J70" t="s">
        <v>182</v>
      </c>
      <c r="K70" t="s">
        <v>182</v>
      </c>
      <c r="L70">
        <v>1.891E-2</v>
      </c>
      <c r="M70">
        <v>1.891E-2</v>
      </c>
    </row>
    <row r="71" spans="1:13" x14ac:dyDescent="0.35">
      <c r="A71" t="s">
        <v>168</v>
      </c>
      <c r="B71" t="s">
        <v>130</v>
      </c>
      <c r="C71" t="s">
        <v>86</v>
      </c>
      <c r="D71" t="s">
        <v>69</v>
      </c>
      <c r="E71" t="s">
        <v>131</v>
      </c>
      <c r="F71" t="s">
        <v>181</v>
      </c>
      <c r="G71">
        <v>2021</v>
      </c>
      <c r="H71" t="s">
        <v>177</v>
      </c>
      <c r="I71" t="s">
        <v>182</v>
      </c>
      <c r="J71" t="s">
        <v>182</v>
      </c>
      <c r="K71" t="s">
        <v>182</v>
      </c>
      <c r="L71">
        <v>5.7700000000000001E-2</v>
      </c>
      <c r="M71">
        <v>5.7700000000000001E-2</v>
      </c>
    </row>
    <row r="72" spans="1:13" x14ac:dyDescent="0.35">
      <c r="A72" t="s">
        <v>168</v>
      </c>
      <c r="B72" t="s">
        <v>130</v>
      </c>
      <c r="C72" t="s">
        <v>82</v>
      </c>
      <c r="D72" t="s">
        <v>70</v>
      </c>
      <c r="E72" t="s">
        <v>131</v>
      </c>
      <c r="F72" t="s">
        <v>181</v>
      </c>
      <c r="G72">
        <v>2021</v>
      </c>
      <c r="H72" t="s">
        <v>177</v>
      </c>
      <c r="I72" t="s">
        <v>182</v>
      </c>
      <c r="J72" t="s">
        <v>182</v>
      </c>
      <c r="K72" t="s">
        <v>182</v>
      </c>
      <c r="L72">
        <v>2.018E-2</v>
      </c>
      <c r="M72">
        <v>2.018E-2</v>
      </c>
    </row>
    <row r="73" spans="1:13" x14ac:dyDescent="0.35">
      <c r="A73" t="s">
        <v>168</v>
      </c>
      <c r="B73" t="s">
        <v>130</v>
      </c>
      <c r="C73" t="s">
        <v>82</v>
      </c>
      <c r="D73" t="s">
        <v>78</v>
      </c>
      <c r="E73" t="s">
        <v>131</v>
      </c>
      <c r="F73" t="s">
        <v>181</v>
      </c>
      <c r="G73">
        <v>2021</v>
      </c>
      <c r="H73" t="s">
        <v>177</v>
      </c>
      <c r="I73" t="s">
        <v>182</v>
      </c>
      <c r="J73" t="s">
        <v>182</v>
      </c>
      <c r="K73" t="s">
        <v>182</v>
      </c>
      <c r="L73">
        <v>0.18342</v>
      </c>
      <c r="M73">
        <v>0.18342</v>
      </c>
    </row>
    <row r="74" spans="1:13" x14ac:dyDescent="0.35">
      <c r="A74" t="s">
        <v>168</v>
      </c>
      <c r="B74" t="s">
        <v>130</v>
      </c>
      <c r="C74" t="s">
        <v>82</v>
      </c>
      <c r="D74" t="s">
        <v>72</v>
      </c>
      <c r="E74" t="s">
        <v>131</v>
      </c>
      <c r="F74" t="s">
        <v>181</v>
      </c>
      <c r="G74">
        <v>2021</v>
      </c>
      <c r="H74" t="s">
        <v>177</v>
      </c>
      <c r="I74" t="s">
        <v>182</v>
      </c>
      <c r="J74" t="s">
        <v>182</v>
      </c>
      <c r="K74" t="s">
        <v>182</v>
      </c>
      <c r="L74">
        <v>0.69152000000000002</v>
      </c>
      <c r="M74">
        <v>0.69152000000000002</v>
      </c>
    </row>
    <row r="75" spans="1:13" x14ac:dyDescent="0.35">
      <c r="A75" t="s">
        <v>168</v>
      </c>
      <c r="B75" t="s">
        <v>130</v>
      </c>
      <c r="C75" t="s">
        <v>82</v>
      </c>
      <c r="D75" t="s">
        <v>67</v>
      </c>
      <c r="E75" t="s">
        <v>131</v>
      </c>
      <c r="F75" t="s">
        <v>181</v>
      </c>
      <c r="G75">
        <v>2021</v>
      </c>
      <c r="H75" t="s">
        <v>177</v>
      </c>
      <c r="I75" t="s">
        <v>182</v>
      </c>
      <c r="J75" t="s">
        <v>182</v>
      </c>
      <c r="K75" t="s">
        <v>182</v>
      </c>
      <c r="L75">
        <v>5.5000000000000003E-4</v>
      </c>
      <c r="M75">
        <v>5.5000000000000003E-4</v>
      </c>
    </row>
    <row r="76" spans="1:13" x14ac:dyDescent="0.35">
      <c r="A76" t="s">
        <v>168</v>
      </c>
      <c r="B76" t="s">
        <v>130</v>
      </c>
      <c r="C76" t="s">
        <v>82</v>
      </c>
      <c r="D76" t="s">
        <v>69</v>
      </c>
      <c r="E76" t="s">
        <v>131</v>
      </c>
      <c r="F76" t="s">
        <v>181</v>
      </c>
      <c r="G76">
        <v>2021</v>
      </c>
      <c r="H76" t="s">
        <v>177</v>
      </c>
      <c r="I76" t="s">
        <v>182</v>
      </c>
      <c r="J76" t="s">
        <v>182</v>
      </c>
      <c r="K76" t="s">
        <v>182</v>
      </c>
      <c r="L76">
        <v>0.10435999999999999</v>
      </c>
      <c r="M76">
        <v>0.10435999999999999</v>
      </c>
    </row>
    <row r="77" spans="1:13" x14ac:dyDescent="0.35">
      <c r="A77" t="s">
        <v>168</v>
      </c>
      <c r="B77" t="s">
        <v>130</v>
      </c>
      <c r="C77" t="s">
        <v>92</v>
      </c>
      <c r="D77" t="s">
        <v>70</v>
      </c>
      <c r="E77" t="s">
        <v>131</v>
      </c>
      <c r="F77" t="s">
        <v>181</v>
      </c>
      <c r="G77">
        <v>2021</v>
      </c>
      <c r="H77" t="s">
        <v>177</v>
      </c>
      <c r="I77" t="s">
        <v>182</v>
      </c>
      <c r="J77" t="s">
        <v>182</v>
      </c>
      <c r="K77" t="s">
        <v>182</v>
      </c>
      <c r="L77">
        <v>4.5650000000000003E-2</v>
      </c>
      <c r="M77">
        <v>4.5650000000000003E-2</v>
      </c>
    </row>
    <row r="78" spans="1:13" x14ac:dyDescent="0.35">
      <c r="A78" t="s">
        <v>168</v>
      </c>
      <c r="B78" t="s">
        <v>130</v>
      </c>
      <c r="C78" t="s">
        <v>92</v>
      </c>
      <c r="D78" t="s">
        <v>78</v>
      </c>
      <c r="E78" t="s">
        <v>131</v>
      </c>
      <c r="F78" t="s">
        <v>181</v>
      </c>
      <c r="G78">
        <v>2021</v>
      </c>
      <c r="H78" t="s">
        <v>177</v>
      </c>
      <c r="I78" t="s">
        <v>182</v>
      </c>
      <c r="J78" t="s">
        <v>182</v>
      </c>
      <c r="K78" t="s">
        <v>182</v>
      </c>
      <c r="L78">
        <v>0.57218000000000002</v>
      </c>
      <c r="M78">
        <v>0.57218000000000002</v>
      </c>
    </row>
    <row r="79" spans="1:13" x14ac:dyDescent="0.35">
      <c r="A79" t="s">
        <v>168</v>
      </c>
      <c r="B79" t="s">
        <v>130</v>
      </c>
      <c r="C79" t="s">
        <v>92</v>
      </c>
      <c r="D79" t="s">
        <v>72</v>
      </c>
      <c r="E79" t="s">
        <v>131</v>
      </c>
      <c r="F79" t="s">
        <v>181</v>
      </c>
      <c r="G79">
        <v>2021</v>
      </c>
      <c r="H79" t="s">
        <v>177</v>
      </c>
      <c r="I79" t="s">
        <v>182</v>
      </c>
      <c r="J79" t="s">
        <v>182</v>
      </c>
      <c r="K79" t="s">
        <v>182</v>
      </c>
      <c r="L79">
        <v>0.20462</v>
      </c>
      <c r="M79">
        <v>0.20462</v>
      </c>
    </row>
    <row r="80" spans="1:13" x14ac:dyDescent="0.35">
      <c r="A80" t="s">
        <v>168</v>
      </c>
      <c r="B80" t="s">
        <v>130</v>
      </c>
      <c r="C80" t="s">
        <v>92</v>
      </c>
      <c r="D80" t="s">
        <v>67</v>
      </c>
      <c r="E80" t="s">
        <v>131</v>
      </c>
      <c r="F80" t="s">
        <v>181</v>
      </c>
      <c r="G80">
        <v>2021</v>
      </c>
      <c r="H80" t="s">
        <v>177</v>
      </c>
      <c r="I80" t="s">
        <v>182</v>
      </c>
      <c r="J80" t="s">
        <v>182</v>
      </c>
      <c r="K80" t="s">
        <v>182</v>
      </c>
      <c r="L80">
        <v>1.34E-2</v>
      </c>
      <c r="M80">
        <v>1.34E-2</v>
      </c>
    </row>
    <row r="81" spans="1:13" x14ac:dyDescent="0.35">
      <c r="A81" t="s">
        <v>168</v>
      </c>
      <c r="B81" t="s">
        <v>130</v>
      </c>
      <c r="C81" t="s">
        <v>92</v>
      </c>
      <c r="D81" t="s">
        <v>69</v>
      </c>
      <c r="E81" t="s">
        <v>131</v>
      </c>
      <c r="F81" t="s">
        <v>181</v>
      </c>
      <c r="G81">
        <v>2021</v>
      </c>
      <c r="H81" t="s">
        <v>177</v>
      </c>
      <c r="I81" t="s">
        <v>182</v>
      </c>
      <c r="J81" t="s">
        <v>182</v>
      </c>
      <c r="K81" t="s">
        <v>182</v>
      </c>
      <c r="L81">
        <v>0.16417999999999999</v>
      </c>
      <c r="M81">
        <v>0.16417999999999999</v>
      </c>
    </row>
    <row r="82" spans="1:13" x14ac:dyDescent="0.35">
      <c r="A82" t="s">
        <v>168</v>
      </c>
      <c r="B82" t="s">
        <v>130</v>
      </c>
      <c r="C82" t="s">
        <v>83</v>
      </c>
      <c r="D82" t="s">
        <v>81</v>
      </c>
      <c r="E82" t="s">
        <v>131</v>
      </c>
      <c r="F82" t="s">
        <v>181</v>
      </c>
      <c r="G82">
        <v>2021</v>
      </c>
      <c r="H82" t="s">
        <v>177</v>
      </c>
      <c r="I82" t="s">
        <v>182</v>
      </c>
      <c r="J82" t="s">
        <v>182</v>
      </c>
      <c r="K82" t="s">
        <v>182</v>
      </c>
      <c r="L82">
        <v>0.78573000000000004</v>
      </c>
      <c r="M82">
        <v>0.78573000000000004</v>
      </c>
    </row>
    <row r="83" spans="1:13" x14ac:dyDescent="0.35">
      <c r="A83" t="s">
        <v>168</v>
      </c>
      <c r="B83" t="s">
        <v>130</v>
      </c>
      <c r="C83" t="s">
        <v>83</v>
      </c>
      <c r="D83" t="s">
        <v>70</v>
      </c>
      <c r="E83" t="s">
        <v>131</v>
      </c>
      <c r="F83" t="s">
        <v>181</v>
      </c>
      <c r="G83">
        <v>2021</v>
      </c>
      <c r="H83" t="s">
        <v>177</v>
      </c>
      <c r="I83" t="s">
        <v>182</v>
      </c>
      <c r="J83" t="s">
        <v>182</v>
      </c>
      <c r="K83" t="s">
        <v>182</v>
      </c>
      <c r="L83">
        <v>1.2120000000000001E-2</v>
      </c>
      <c r="M83">
        <v>1.2120000000000001E-2</v>
      </c>
    </row>
    <row r="84" spans="1:13" x14ac:dyDescent="0.35">
      <c r="A84" t="s">
        <v>168</v>
      </c>
      <c r="B84" t="s">
        <v>130</v>
      </c>
      <c r="C84" t="s">
        <v>83</v>
      </c>
      <c r="D84" t="s">
        <v>78</v>
      </c>
      <c r="E84" t="s">
        <v>131</v>
      </c>
      <c r="F84" t="s">
        <v>181</v>
      </c>
      <c r="G84">
        <v>2021</v>
      </c>
      <c r="H84" t="s">
        <v>177</v>
      </c>
      <c r="I84" t="s">
        <v>182</v>
      </c>
      <c r="J84" t="s">
        <v>182</v>
      </c>
      <c r="K84" t="s">
        <v>182</v>
      </c>
      <c r="L84">
        <v>0.14015</v>
      </c>
      <c r="M84">
        <v>0.14015</v>
      </c>
    </row>
    <row r="85" spans="1:13" x14ac:dyDescent="0.35">
      <c r="A85" t="s">
        <v>168</v>
      </c>
      <c r="B85" t="s">
        <v>130</v>
      </c>
      <c r="C85" t="s">
        <v>83</v>
      </c>
      <c r="D85" t="s">
        <v>72</v>
      </c>
      <c r="E85" t="s">
        <v>131</v>
      </c>
      <c r="F85" t="s">
        <v>181</v>
      </c>
      <c r="G85">
        <v>2021</v>
      </c>
      <c r="H85" t="s">
        <v>177</v>
      </c>
      <c r="I85" t="s">
        <v>182</v>
      </c>
      <c r="J85" t="s">
        <v>182</v>
      </c>
      <c r="K85" t="s">
        <v>182</v>
      </c>
      <c r="L85">
        <v>5.7439999999999998E-2</v>
      </c>
      <c r="M85">
        <v>5.7439999999999998E-2</v>
      </c>
    </row>
    <row r="86" spans="1:13" x14ac:dyDescent="0.35">
      <c r="A86" t="s">
        <v>168</v>
      </c>
      <c r="B86" t="s">
        <v>130</v>
      </c>
      <c r="C86" t="s">
        <v>83</v>
      </c>
      <c r="D86" t="s">
        <v>67</v>
      </c>
      <c r="E86" t="s">
        <v>131</v>
      </c>
      <c r="F86" t="s">
        <v>181</v>
      </c>
      <c r="G86">
        <v>2021</v>
      </c>
      <c r="H86" t="s">
        <v>177</v>
      </c>
      <c r="I86" t="s">
        <v>182</v>
      </c>
      <c r="J86" t="s">
        <v>182</v>
      </c>
      <c r="K86" t="s">
        <v>182</v>
      </c>
      <c r="L86">
        <v>6.7000000000000002E-4</v>
      </c>
      <c r="M86">
        <v>6.7000000000000002E-4</v>
      </c>
    </row>
    <row r="87" spans="1:13" x14ac:dyDescent="0.35">
      <c r="A87" t="s">
        <v>168</v>
      </c>
      <c r="B87" t="s">
        <v>130</v>
      </c>
      <c r="C87" t="s">
        <v>83</v>
      </c>
      <c r="D87" t="s">
        <v>69</v>
      </c>
      <c r="E87" t="s">
        <v>131</v>
      </c>
      <c r="F87" t="s">
        <v>181</v>
      </c>
      <c r="G87">
        <v>2021</v>
      </c>
      <c r="H87" t="s">
        <v>177</v>
      </c>
      <c r="I87" t="s">
        <v>182</v>
      </c>
      <c r="J87" t="s">
        <v>182</v>
      </c>
      <c r="K87" t="s">
        <v>182</v>
      </c>
      <c r="L87">
        <v>3.9300000000000003E-3</v>
      </c>
      <c r="M87">
        <v>3.9300000000000003E-3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IND_Shares</vt:lpstr>
      <vt:lpstr>call_Fill</vt:lpstr>
      <vt:lpstr>Input_shares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Bakytzhan Suleimenov</cp:lastModifiedBy>
  <dcterms:created xsi:type="dcterms:W3CDTF">2015-06-05T18:19:34Z</dcterms:created>
  <dcterms:modified xsi:type="dcterms:W3CDTF">2023-11-06T15:32:40Z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676335632801055</vt:r8>
  </property>
</Properties>
</file>