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F1749D9D-1EB0-4420-B7BE-EC4CC2A94DAD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0" l="1"/>
  <c r="D7" i="20"/>
  <c r="C7" i="20"/>
  <c r="J14" i="22" l="1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K11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K11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4" i="20"/>
  <c r="B9" i="22" s="1"/>
  <c r="E4" i="20"/>
  <c r="B11" i="22" s="1"/>
  <c r="D5" i="20"/>
  <c r="L9" i="22" s="1"/>
  <c r="E5" i="20"/>
  <c r="L11" i="21" s="1"/>
  <c r="C5" i="20"/>
  <c r="L7" i="21" s="1"/>
  <c r="C4" i="20"/>
  <c r="B7" i="21" s="1"/>
  <c r="B11" i="21" l="1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<sst xmlns="http://schemas.openxmlformats.org/spreadsheetml/2006/main" count="168" uniqueCount="114">
  <si>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</si>
  <si>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</si>
  <si>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</si>
  <si>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</si>
  <si>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</si>
  <si>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</si>
  <si>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</si>
  <si>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</si>
  <si>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</si>
  <si>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</si>
  <si>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</si>
  <si>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</si>
  <si>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</si>
  <si>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</si>
  <si>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</si>
  <si>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</si>
  <si>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</si>
  <si>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</si>
  <si>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</si>
  <si>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</si>
  <si>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</si>
  <si>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</si>
  <si>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</si>
  <si>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</si>
  <si>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</si>
  <si>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</si>
  <si>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</si>
  <si>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</si>
  <si>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</si>
  <si>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</si>
  <si>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</si>
  <si>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</si>
  <si>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</si>
  <si>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</si>
  <si>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</si>
  <si>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</si>
  <si>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</si>
  <si>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</si>
  <si>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</si>
  <si>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</si>
  <si>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</si>
  <si>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</si>
  <si>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</si>
  <si>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</si>
  <si>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</si>
  <si>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</si>
  <si>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</si>
  <si>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</si>
  <si>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</si>
  <si>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</si>
  <si>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</si>
  <si>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</si>
  <si>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</si>
  <si>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</si>
  <si>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</si>
  <si>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</si>
  <si>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</si>
  <si>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</si>
  <si>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</si>
  <si>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</si>
  <si>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</si>
  <si>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</si>
  <si>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</si>
  <si>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</si>
  <si>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</si>
  <si>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</si>
  <si>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</si>
  <si>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</si>
  <si>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</si>
  <si>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</si>
  <si>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</si>
  <si>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</si>
  <si>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</si>
  <si>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</si>
  <si>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</si>
  <si>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</si>
  <si>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</si>
  <si>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</si>
  <si>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</si>
  <si>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</si>
  <si>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</si>
  <si>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</si>
  <si>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</si>
  <si>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</si>
  <si>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</si>
  <si>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</si>
  <si>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</si>
  <si>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</si>
  <si>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</si>
  <si>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</si>
  <si>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</si>
  <si>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</si>
  <si>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</si>
  <si>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</si>
  <si>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</si>
  <si>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</si>
  <si>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</si>
  <si>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</si>
  <si>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</si>
  <si>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</si>
  <si>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</si>
  <si>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</si>
  <si>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</si>
  <si>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Scenario</t>
  </si>
  <si>
    <t>2021-2025</t>
  </si>
  <si>
    <t>2026-2030</t>
  </si>
  <si>
    <t>2031-2050</t>
  </si>
  <si>
    <t>Specify a carbon budget</t>
  </si>
  <si>
    <t>Original values</t>
  </si>
  <si>
    <t>IPCC Scenario: 1.7 degrees, 67% probility</t>
  </si>
  <si>
    <t>Ireland's CB (million tonne)</t>
  </si>
  <si>
    <t>TOTCO2</t>
  </si>
  <si>
    <t>Vahid Aryanpur (UCC, vahid.aryanpur@ucc.ie)</t>
  </si>
  <si>
    <t>\I: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</si>
</sst>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7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C28" sqref="C28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7" t="s">
        <v>90</v>
      </c>
      <c r="B16" s="37"/>
      <c r="C16" s="37"/>
      <c r="D16" s="37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91</v>
      </c>
      <c r="B19" s="36" t="s">
        <v>103</v>
      </c>
      <c r="C19" s="36"/>
      <c r="D19" s="36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92</v>
      </c>
      <c r="B20" s="36" t="s">
        <v>102</v>
      </c>
      <c r="C20" s="36"/>
      <c r="D20" s="36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93</v>
      </c>
      <c r="B21" s="28" t="s">
        <v>107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94</v>
      </c>
      <c r="B23" s="36" t="s">
        <v>112</v>
      </c>
      <c r="C23" s="36"/>
      <c r="D23" s="36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95</v>
      </c>
      <c r="B26" s="36" t="s">
        <v>112</v>
      </c>
      <c r="C26" s="36"/>
      <c r="D26" s="3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97</v>
      </c>
      <c r="B30" s="38" t="s">
        <v>98</v>
      </c>
      <c r="C30" s="36"/>
      <c r="D30" s="36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99</v>
      </c>
      <c r="B31" s="36" t="s">
        <v>100</v>
      </c>
      <c r="C31" s="36"/>
      <c r="D31" s="36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30:D30"/>
    <mergeCell ref="B23:D23"/>
    <mergeCell ref="B26:D26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4"/>
  <sheetViews>
    <sheetView workbookViewId="0">
      <selection activeCell="D33" sqref="D33"/>
    </sheetView>
  </sheetViews>
  <sheetFormatPr defaultColWidth="9.140625" defaultRowHeight="15" x14ac:dyDescent="0.25"/>
  <cols>
    <col min="2" max="2" width="14" bestFit="1" customWidth="1"/>
    <col min="3" max="3" width="30.140625" bestFit="1" customWidth="1"/>
    <col min="4" max="4" width="28" bestFit="1" customWidth="1"/>
    <col min="5" max="5" width="26" bestFit="1" customWidth="1"/>
    <col min="6" max="6" width="28" bestFit="1" customWidth="1"/>
    <col min="13" max="13" width="10.5703125" bestFit="1" customWidth="1"/>
    <col min="14" max="14" width="12" bestFit="1" customWidth="1"/>
  </cols>
  <sheetData>
    <row r="4" spans="2:6" x14ac:dyDescent="0.25">
      <c r="B4" t="s">
        <v>61</v>
      </c>
      <c r="C4" t="str">
        <f xml:space="preserve"> _xlfn.TEXTJOIN("_",TRUE,"UC","CB",ROUND(C7,0),"Mt",C6)</f>
        <v>UC_CB_129_Mt_2021-2025</v>
      </c>
      <c r="D4" t="str">
        <f t="shared" ref="D4:E4" si="0" xml:space="preserve"> _xlfn.TEXTJOIN("_",TRUE,"UC","CB",ROUND(D7,0),"Mt",D6)</f>
        <v>UC_CB_91_Mt_2026-2030</v>
      </c>
      <c r="E4" t="str">
        <f t="shared" si="0"/>
        <v>UC_CB_95_Mt_2031-2050</v>
      </c>
      <c r="F4" t="str">
        <f t="shared" ref="F4" si="1" xml:space="preserve"> _xlfn.TEXTJOIN("_",TRUE,"UC","CB",ROUND(F7,0),"Mt",F6)</f>
        <v>UC_CB_0_Mt_2051-2100</v>
      </c>
    </row>
    <row r="5" spans="2:6" x14ac:dyDescent="0.25">
      <c r="B5" t="s">
        <v>68</v>
      </c>
      <c r="C5" t="str">
        <f xml:space="preserve"> _xlfn.TEXTJOIN(" ",TRUE,"Carbon budget",ROUND(C7,0),"Mt",C6)</f>
        <v>Carbon budget 129 Mt 2021-2025</v>
      </c>
      <c r="D5" t="str">
        <f t="shared" ref="D5:F5" si="2" xml:space="preserve"> _xlfn.TEXTJOIN(" ",TRUE,"Carbon budget",ROUND(D7,0),"Mt",D6)</f>
        <v>Carbon budget 91 Mt 2026-2030</v>
      </c>
      <c r="E5" t="str">
        <f t="shared" si="2"/>
        <v>Carbon budget 95 Mt 2031-2050</v>
      </c>
      <c r="F5" t="str">
        <f t="shared" si="2"/>
        <v>Carbon budget 0 Mt 2051-2100</v>
      </c>
    </row>
    <row r="6" spans="2:6" x14ac:dyDescent="0.25">
      <c r="B6" t="s">
        <v>74</v>
      </c>
      <c r="C6" t="s">
        <v>104</v>
      </c>
      <c r="D6" t="s">
        <v>105</v>
      </c>
      <c r="E6" t="s">
        <v>106</v>
      </c>
      <c r="F6" t="s">
        <v>83</v>
      </c>
    </row>
    <row r="7" spans="2:6" x14ac:dyDescent="0.25">
      <c r="B7" t="s">
        <v>69</v>
      </c>
      <c r="C7" s="17">
        <f>$D$19*(D24/SUM($D$24:$F$24))</f>
        <v>128.7890625</v>
      </c>
      <c r="D7" s="17">
        <f>$D$19*(E24/SUM($D$24:$F$24))</f>
        <v>91.46484375</v>
      </c>
      <c r="E7" s="17">
        <f>$D$19*(F24/SUM($D$24:$F$24))</f>
        <v>94.74609375</v>
      </c>
      <c r="F7">
        <v>0</v>
      </c>
    </row>
    <row r="8" spans="2:6" x14ac:dyDescent="0.25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 x14ac:dyDescent="0.25">
      <c r="B9" t="s">
        <v>62</v>
      </c>
      <c r="C9" t="s">
        <v>111</v>
      </c>
      <c r="D9" t="s">
        <v>111</v>
      </c>
      <c r="E9" t="s">
        <v>111</v>
      </c>
      <c r="F9" t="s">
        <v>111</v>
      </c>
    </row>
    <row r="10" spans="2:6" x14ac:dyDescent="0.25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25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25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25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 x14ac:dyDescent="0.25">
      <c r="B14" t="s">
        <v>76</v>
      </c>
      <c r="C14">
        <v>1</v>
      </c>
      <c r="D14">
        <v>1</v>
      </c>
      <c r="E14">
        <v>1</v>
      </c>
      <c r="F14">
        <v>1</v>
      </c>
    </row>
    <row r="18" spans="3:7" x14ac:dyDescent="0.25">
      <c r="C18" s="33" t="s">
        <v>109</v>
      </c>
    </row>
    <row r="19" spans="3:7" x14ac:dyDescent="0.25">
      <c r="C19" t="s">
        <v>110</v>
      </c>
      <c r="D19" s="35">
        <v>315</v>
      </c>
    </row>
    <row r="22" spans="3:7" x14ac:dyDescent="0.25">
      <c r="C22" s="33" t="s">
        <v>108</v>
      </c>
    </row>
    <row r="23" spans="3:7" x14ac:dyDescent="0.25">
      <c r="C23" t="s">
        <v>74</v>
      </c>
      <c r="D23" s="34" t="s">
        <v>104</v>
      </c>
      <c r="E23" s="34" t="s">
        <v>105</v>
      </c>
      <c r="F23" s="34" t="s">
        <v>106</v>
      </c>
      <c r="G23" s="34" t="s">
        <v>83</v>
      </c>
    </row>
    <row r="24" spans="3:7" x14ac:dyDescent="0.25">
      <c r="C24" t="s">
        <v>69</v>
      </c>
      <c r="D24" s="34">
        <v>157</v>
      </c>
      <c r="E24" s="34">
        <v>111.5</v>
      </c>
      <c r="F24" s="34">
        <v>115.5</v>
      </c>
      <c r="G24" s="34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B14" sqref="B14"/>
    </sheetView>
  </sheetViews>
  <sheetFormatPr defaultColWidth="9.140625" defaultRowHeight="15" x14ac:dyDescent="0.25"/>
  <cols>
    <col min="2" max="2" width="28.5703125" bestFit="1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4.28515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75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 x14ac:dyDescent="0.25">
      <c r="B7" t="str">
        <f>VLOOKUP($B$5, config!$B$4:$F$14,2,FALSE) &amp; "_Single"</f>
        <v>UC_CB_129_Mt_2021-2025_Single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128789.0625</v>
      </c>
      <c r="L7" t="str">
        <f>VLOOKUP($L$5, config!$B$4:$F$14,2,FALSE) &amp; " - Single"</f>
        <v>Carbon budget 129 Mt 2021-2025 - Single</v>
      </c>
    </row>
    <row r="8" spans="1:12" x14ac:dyDescent="0.25">
      <c r="B8" s="39" t="s">
        <v>113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 x14ac:dyDescent="0.25">
      <c r="B9" t="str">
        <f>VLOOKUP($B$5, config!$B$4:$F$14,3,FALSE) &amp; "_Single"</f>
        <v>UC_CB_91_Mt_2026-2030_Single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91464.84375</v>
      </c>
      <c r="L9" t="str">
        <f>VLOOKUP($L$5, config!$B$4:$F$14,3,FALSE) &amp; " - Single"</f>
        <v>Carbon budget 91 Mt 2026-2030 - Single</v>
      </c>
    </row>
    <row r="10" spans="1:12" x14ac:dyDescent="0.25">
      <c r="B10" s="40" t="s">
        <v>113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 x14ac:dyDescent="0.25">
      <c r="B11" t="str">
        <f>VLOOKUP($B$5, config!$B$4:$F$14,4,FALSE) &amp; "_Single"</f>
        <v>UC_CB_95_Mt_2031-2050_Single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94746.09375</v>
      </c>
      <c r="L11" t="str">
        <f>VLOOKUP($L$5, config!$B$4:$F$14,4,FALSE) &amp; " - Single"</f>
        <v>Carbon budget 95 Mt 2031-2050 - Single</v>
      </c>
    </row>
    <row r="12" spans="1:12" x14ac:dyDescent="0.25">
      <c r="B12" s="41" t="s">
        <v>113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25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 x14ac:dyDescent="0.25">
      <c r="B14" s="42" t="s">
        <v>113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tabSelected="1" workbookViewId="0">
      <selection activeCell="C19" sqref="C19:C20"/>
    </sheetView>
  </sheetViews>
  <sheetFormatPr defaultColWidth="9.140625" defaultRowHeight="15" x14ac:dyDescent="0.25"/>
  <cols>
    <col min="2" max="2" width="28.28515625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8.42578125" bestFit="1" customWidth="1"/>
    <col min="12" max="12" width="33.8554687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75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25">
      <c r="B7" t="str">
        <f>VLOOKUP(B$5, config!$B$4:$F$14,2,FALSE) &amp; "_Multi"</f>
        <v>UC_CB_129_Mt_2021-2025_Multi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128789.0625</v>
      </c>
      <c r="L7" t="str">
        <f>VLOOKUP(L$5, config!$B$4:$F$14,2,FALSE) &amp; " - Multi"</f>
        <v>Carbon budget 129 Mt 2021-2025 - Multi</v>
      </c>
    </row>
    <row r="8" spans="1:12" x14ac:dyDescent="0.25">
      <c r="B8" s="43" t="s">
        <v>113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 x14ac:dyDescent="0.25">
      <c r="B9" t="str">
        <f>VLOOKUP(B$5, config!$B$4:$F$14,3,FALSE) &amp; "_Multi"</f>
        <v>UC_CB_91_Mt_2026-2030_Multi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91464.84375</v>
      </c>
      <c r="L9" t="str">
        <f>VLOOKUP(L$5, config!$B$4:$F$14,3,FALSE) &amp; " - Multi"</f>
        <v>Carbon budget 91 Mt 2026-2030 - Multi</v>
      </c>
    </row>
    <row r="10" spans="1:12" x14ac:dyDescent="0.25">
      <c r="B10" s="44" t="s">
        <v>113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 x14ac:dyDescent="0.25">
      <c r="B11" t="str">
        <f>VLOOKUP(B$5, config!$B$4:$F$14,4,FALSE) &amp; "_Multi"</f>
        <v>UC_CB_95_Mt_2031-2050_Multi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94746.09375</v>
      </c>
      <c r="L11" t="str">
        <f>VLOOKUP(L$5, config!$B$4:$F$14,4,FALSE) &amp; " - Multi"</f>
        <v>Carbon budget 95 Mt 2031-2050 - Multi</v>
      </c>
    </row>
    <row r="12" spans="1:12" x14ac:dyDescent="0.25">
      <c r="B12" s="45" t="s">
        <v>113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 x14ac:dyDescent="0.25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 x14ac:dyDescent="0.25">
      <c r="B14" s="46" t="s">
        <v>113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84</v>
      </c>
    </row>
    <row r="3" spans="2:8" ht="15.75" thickBot="1" x14ac:dyDescent="0.3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2024-04-13T22:59:57Z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