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VEDA\Veda_models\times-ireland-model-2019-2023calib\"/>
    </mc:Choice>
  </mc:AlternateContent>
  <xr:revisionPtr revIDLastSave="0" documentId="13_ncr:1_{0605921D-FCAF-4519-ADA8-5E698EE10475}" xr6:coauthVersionLast="47" xr6:coauthVersionMax="47" xr10:uidLastSave="{00000000-0000-0000-0000-000000000000}"/>
  <bookViews>
    <workbookView xWindow="-103" yWindow="-103" windowWidth="22149" windowHeight="11829" activeTab="6"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4" i="40" l="1"/>
  <c r="C7" i="43"/>
  <c r="E694" i="43" s="1"/>
  <c r="D5" i="43"/>
  <c r="E5" i="43"/>
  <c r="F5" i="43"/>
  <c r="G5" i="43"/>
  <c r="H5" i="43"/>
  <c r="I5" i="43"/>
  <c r="J5" i="43"/>
  <c r="K5" i="43"/>
  <c r="L5" i="43"/>
  <c r="M5" i="43"/>
  <c r="N5" i="43"/>
  <c r="O5" i="43"/>
  <c r="P5" i="43"/>
  <c r="Q5" i="43"/>
  <c r="R5" i="43"/>
  <c r="S5" i="43"/>
  <c r="T5" i="43"/>
  <c r="U5" i="43"/>
  <c r="V5" i="43"/>
  <c r="W5" i="43"/>
  <c r="X5" i="43"/>
  <c r="Y5" i="43"/>
  <c r="Z5" i="43"/>
  <c r="AA5" i="43"/>
  <c r="AB5" i="43"/>
  <c r="AC5" i="43"/>
  <c r="C5" i="43"/>
  <c r="D163" i="60"/>
  <c r="E163" i="60"/>
  <c r="F163" i="60"/>
  <c r="G163" i="60"/>
  <c r="I163" i="60"/>
  <c r="J163" i="60"/>
  <c r="K163" i="60"/>
  <c r="L163" i="60"/>
  <c r="M163" i="60"/>
  <c r="N163" i="60"/>
  <c r="O163" i="60"/>
  <c r="P163" i="60"/>
  <c r="Q163" i="60"/>
  <c r="R163" i="60"/>
  <c r="S163" i="60"/>
  <c r="T163" i="60"/>
  <c r="U163" i="60"/>
  <c r="V163" i="60"/>
  <c r="W163" i="60"/>
  <c r="X163" i="60"/>
  <c r="Y163" i="60"/>
  <c r="Z163" i="60"/>
  <c r="AA163" i="60"/>
  <c r="AB163" i="60"/>
  <c r="AC163" i="60"/>
  <c r="AD163" i="60"/>
  <c r="H163" i="60"/>
  <c r="E162" i="60"/>
  <c r="D162" i="60"/>
  <c r="C82" i="43"/>
  <c r="C404" i="43"/>
  <c r="D694" i="43"/>
  <c r="D695" i="43"/>
  <c r="D693" i="43"/>
  <c r="C693" i="43"/>
  <c r="C695" i="43"/>
  <c r="C405" i="43"/>
  <c r="E693" i="43" l="1"/>
  <c r="G693" i="43" s="1"/>
  <c r="E695" i="43"/>
  <c r="G695" i="43" s="1"/>
  <c r="E31" i="58" s="1"/>
  <c r="E696" i="43"/>
  <c r="F693" i="43"/>
  <c r="E9" i="60"/>
  <c r="E44" i="60" s="1"/>
  <c r="J14" i="65"/>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F695" i="43" l="1"/>
  <c r="H26" i="56"/>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9" i="59"/>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L9" i="60" s="1"/>
  <c r="L44" i="60" s="1"/>
  <c r="AC162" i="60"/>
  <c r="AD9" i="60" s="1"/>
  <c r="AD44" i="60" s="1"/>
  <c r="F162" i="60"/>
  <c r="Z116" i="60"/>
  <c r="AA116" i="60"/>
  <c r="F116" i="60"/>
  <c r="AA162" i="60"/>
  <c r="AD162" i="60"/>
  <c r="T116" i="60"/>
  <c r="T117" i="60" s="1"/>
  <c r="U8" i="60" s="1"/>
  <c r="U43" i="60" s="1"/>
  <c r="AB116" i="60"/>
  <c r="AB117" i="60" s="1"/>
  <c r="AC8" i="60" s="1"/>
  <c r="AC43" i="60" s="1"/>
  <c r="E116" i="60"/>
  <c r="L162" i="60"/>
  <c r="AB162" i="60"/>
  <c r="P116" i="60"/>
  <c r="O116" i="60"/>
  <c r="Q162" i="60"/>
  <c r="R9" i="60" s="1"/>
  <c r="R44" i="60" s="1"/>
  <c r="G116" i="60"/>
  <c r="G117" i="60" s="1"/>
  <c r="H8" i="60" s="1"/>
  <c r="H43" i="60" s="1"/>
  <c r="Y162" i="60"/>
  <c r="I116" i="60"/>
  <c r="AC116" i="60"/>
  <c r="V116" i="60"/>
  <c r="H162" i="60"/>
  <c r="Z162" i="60"/>
  <c r="M162" i="60"/>
  <c r="N9" i="60" s="1"/>
  <c r="N44" i="60" s="1"/>
  <c r="V162" i="60"/>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J9" i="60"/>
  <c r="J44" i="60" s="1"/>
  <c r="AB144" i="60"/>
  <c r="G144" i="60"/>
  <c r="E144" i="60"/>
  <c r="P144" i="60"/>
  <c r="L144" i="60"/>
  <c r="Y144" i="60"/>
  <c r="R144" i="60"/>
  <c r="F144" i="60"/>
  <c r="AC9" i="60"/>
  <c r="AC44" i="60" s="1"/>
  <c r="H9" i="60"/>
  <c r="H44" i="60" s="1"/>
  <c r="AE9" i="60"/>
  <c r="AE44" i="60" s="1"/>
  <c r="AA144" i="60"/>
  <c r="U9" i="60"/>
  <c r="U44" i="60" s="1"/>
  <c r="AD144" i="60"/>
  <c r="P9" i="60"/>
  <c r="P44" i="60" s="1"/>
  <c r="O9" i="60"/>
  <c r="O44" i="60" s="1"/>
  <c r="Y117" i="60"/>
  <c r="Z8" i="60" s="1"/>
  <c r="Z43" i="60" s="1"/>
  <c r="Z9" i="60"/>
  <c r="Z44" i="60" s="1"/>
  <c r="T9" i="60"/>
  <c r="T44" i="60" s="1"/>
  <c r="V117" i="60"/>
  <c r="W8" i="60" s="1"/>
  <c r="W43" i="60" s="1"/>
  <c r="AA9" i="60"/>
  <c r="AA44" i="60" s="1"/>
  <c r="M144" i="60"/>
  <c r="K144" i="60"/>
  <c r="V144" i="60"/>
  <c r="J144" i="60"/>
  <c r="X144" i="60"/>
  <c r="AB9" i="60"/>
  <c r="AB44" i="60" s="1"/>
  <c r="T144" i="60"/>
  <c r="X9" i="60"/>
  <c r="X44" i="60" s="1"/>
  <c r="H144" i="60"/>
  <c r="S9" i="60"/>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K9" i="60"/>
  <c r="K44" i="60" s="1"/>
  <c r="M9" i="60"/>
  <c r="M44" i="60" s="1"/>
  <c r="F9" i="60"/>
  <c r="F44" i="60" s="1"/>
  <c r="V9" i="60"/>
  <c r="V44" i="60" s="1"/>
  <c r="G9" i="60"/>
  <c r="G44" i="60" s="1"/>
  <c r="X117" i="60"/>
  <c r="Y8" i="60" s="1"/>
  <c r="Y43" i="60" s="1"/>
  <c r="Q9" i="60"/>
  <c r="Q44" i="60" s="1"/>
  <c r="D140" i="60"/>
  <c r="D142" i="60"/>
  <c r="D139" i="60"/>
  <c r="D141" i="60"/>
  <c r="W144" i="60"/>
  <c r="S144" i="60"/>
  <c r="I9" i="60"/>
  <c r="I44" i="60" s="1"/>
  <c r="D138" i="60"/>
  <c r="Y9" i="60"/>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BN29" i="59"/>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47" i="43" l="1"/>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W6"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AB6" i="43"/>
  <c r="D6" i="43"/>
  <c r="E4" i="43"/>
  <c r="V6" i="43"/>
  <c r="E6"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X6" i="43"/>
  <c r="Z6" i="43"/>
  <c r="J4" i="43"/>
  <c r="R6" i="43"/>
  <c r="O6" i="43"/>
  <c r="T6" i="43"/>
  <c r="R4" i="43"/>
  <c r="U4" i="43"/>
  <c r="M4" i="43"/>
  <c r="G6" i="43"/>
  <c r="AC6" i="43"/>
  <c r="P4" i="43"/>
  <c r="I4" i="43"/>
  <c r="L4" i="43"/>
  <c r="G4" i="43"/>
  <c r="AA4" i="43"/>
  <c r="H4" i="43"/>
  <c r="P6" i="43"/>
  <c r="H6" i="43"/>
  <c r="AA6" i="43"/>
  <c r="X4" i="43"/>
  <c r="K4" i="43"/>
  <c r="N6" i="43"/>
  <c r="F6" i="43"/>
  <c r="S6" i="43"/>
  <c r="T4" i="43"/>
  <c r="AC4" i="43"/>
  <c r="I6"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V27" i="43" l="1"/>
  <c r="G20" i="58"/>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C694" i="43"/>
  <c r="F694" i="43" s="1"/>
  <c r="C696" i="43"/>
  <c r="G694" i="43" l="1"/>
  <c r="E30" i="58" s="1"/>
  <c r="BN49"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<sst xmlns="http://schemas.openxmlformats.org/spreadsheetml/2006/main" count="3215" uniqueCount="1156">
  <si>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</si>
  <si>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</si>
  <si>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</si>
  <si>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</si>
  <si>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</si>
  <si>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</si>
  <si>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</si>
  <si>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</si>
  <si>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</si>
  <si>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</si>
  <si>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</si>
  <si>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</si>
  <si>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</si>
  <si>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</si>
  <si>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</si>
  <si>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</si>
  <si>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</si>
  <si>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</si>
  <si>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</si>
  <si>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</si>
  <si>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</si>
  <si>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</si>
  <si>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</si>
  <si>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</si>
  <si>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</si>
  <si>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</si>
  <si>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</si>
  <si>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</si>
  <si>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</si>
  <si>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</si>
  <si>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</si>
  <si>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</si>
  <si>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</si>
  <si>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</si>
  <si>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</si>
  <si>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</si>
  <si>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</si>
  <si>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</si>
  <si>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</si>
  <si>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</si>
  <si>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</si>
  <si>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</si>
  <si>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</si>
  <si>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</si>
  <si>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</si>
  <si>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</si>
  <si>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</si>
  <si>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</si>
  <si>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</si>
  <si>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</si>
  <si>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</si>
  <si>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</si>
  <si>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</si>
  <si>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</si>
  <si>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</si>
  <si>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</si>
  <si>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</si>
  <si>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</si>
  <si>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</si>
  <si>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</si>
  <si>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</si>
  <si>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</si>
  <si>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</si>
  <si>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</si>
  <si>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</si>
  <si>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</si>
  <si>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</si>
  <si>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</si>
  <si>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</si>
  <si>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</si>
  <si>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</si>
  <si>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</si>
  <si>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</si>
  <si>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</si>
  <si>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</si>
  <si>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</si>
  <si>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</si>
  <si>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</si>
  <si>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</si>
  <si>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</si>
  <si>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</si>
  <si>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</si>
  <si>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</si>
  <si>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</si>
  <si>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</si>
  <si>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</si>
  <si>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</si>
  <si>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</si>
  <si>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</si>
  <si>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</si>
  <si>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</si>
  <si>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</si>
  <si>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</si>
  <si>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</si>
  <si>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</si>
  <si>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</si>
  <si>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</si>
  <si>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</si>
  <si>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</si>
  <si>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</si>
  <si>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</si>
  <si>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</si>
  <si>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</si>
  <si>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</si>
  <si>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</si>
  <si>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</si>
  <si>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</si>
  <si>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</si>
  <si>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</si>
  <si>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</si>
  <si>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</si>
  <si>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</si>
  <si>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</si>
  <si>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</si>
  <si>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</si>
  <si>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</si>
  <si>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</si>
  <si>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</si>
  <si>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</si>
  <si>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</si>
  <si>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</si>
  <si>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</si>
  <si>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</si>
  <si>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</si>
  <si>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</si>
  <si>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</si>
  <si>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</si>
  <si>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</si>
  <si>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</si>
  <si>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</si>
  <si>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</si>
  <si>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</si>
  <si>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</si>
  <si>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</si>
  <si>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</si>
  <si>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</si>
  <si>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</si>
  <si>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</si>
  <si>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</si>
  <si>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</si>
  <si>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</si>
  <si>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</si>
  <si>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</si>
  <si>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</si>
  <si>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</si>
  <si>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</si>
  <si>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</si>
  <si>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</si>
  <si>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</si>
  <si>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</si>
  <si>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</si>
  <si>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</si>
  <si>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</si>
  <si>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</si>
  <si>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</si>
  <si>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</si>
  <si>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</si>
  <si>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</si>
  <si>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</si>
  <si>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</si>
  <si>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</si>
  <si>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</si>
  <si>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</si>
  <si>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</si>
  <si>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</si>
  <si>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</si>
  <si>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</si>
  <si>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</si>
  <si>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</si>
  <si>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</si>
  <si>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</si>
  <si>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</si>
  <si>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</si>
  <si>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</si>
  <si>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</si>
  <si>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</si>
  <si>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</si>
  <si>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</si>
  <si>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</si>
  <si>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</si>
  <si>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</si>
  <si>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</si>
  <si>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</si>
  <si>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</si>
  <si>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</si>
  <si>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</si>
  <si>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</si>
  <si>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</si>
  <si>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</si>
  <si>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</si>
  <si>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</si>
  <si>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</si>
  <si>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</si>
  <si>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</si>
  <si>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</si>
  <si>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</si>
  <si>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</si>
  <si>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</si>
  <si>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</si>
  <si>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</si>
  <si>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</si>
  <si>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</si>
  <si>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</si>
  <si>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</si>
  <si>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</si>
  <si>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</si>
  <si>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</si>
  <si>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</si>
  <si>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</si>
  <si>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</si>
  <si>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</si>
  <si>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</si>
  <si>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</si>
  <si>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</si>
  <si>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</si>
  <si>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</si>
  <si>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</si>
  <si>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</si>
  <si>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</si>
  <si>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</si>
  <si>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</si>
  <si>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</si>
  <si>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</si>
  <si>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</si>
  <si>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</si>
  <si>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</si>
  <si>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</si>
  <si>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</si>
  <si>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</si>
  <si>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</si>
  <si>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</si>
  <si>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</si>
  <si>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</si>
  <si>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</si>
  <si>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</si>
  <si>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</si>
  <si>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</si>
  <si>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</si>
  <si>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</si>
  <si>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</si>
  <si>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</si>
  <si>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</si>
  <si>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</si>
  <si>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</si>
  <si>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</si>
  <si>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</si>
  <si>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</si>
  <si>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</si>
  <si>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</si>
  <si>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</si>
  <si>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</si>
  <si>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</si>
  <si>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</si>
  <si>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</si>
  <si>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</si>
  <si>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</si>
  <si>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</si>
  <si>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</si>
  <si>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</si>
  <si>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</si>
  <si>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</si>
  <si>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</si>
  <si>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</si>
  <si>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</si>
  <si>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</si>
  <si>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</si>
  <si>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</si>
  <si>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</si>
  <si>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</si>
  <si>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</si>
  <si>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</si>
  <si>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</si>
  <si>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</si>
  <si>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</si>
  <si>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</si>
  <si>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</si>
  <si>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</si>
  <si>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</si>
  <si>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</si>
  <si>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</si>
  <si>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</si>
  <si>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</si>
  <si>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</si>
  <si>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</si>
  <si>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</si>
  <si>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</si>
  <si>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</si>
  <si>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</si>
  <si>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</si>
  <si>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</si>
  <si>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</si>
  <si>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</si>
  <si>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</si>
  <si>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</si>
  <si>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</si>
  <si>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</si>
  <si>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</si>
  <si>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</si>
  <si>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</si>
  <si>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</si>
  <si>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</si>
  <si>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</si>
  <si>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</si>
  <si>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</si>
  <si>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</si>
  <si>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</si>
  <si>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</si>
  <si>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</si>
  <si>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</si>
  <si>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</si>
  <si>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</si>
  <si>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</si>
  <si>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</si>
  <si>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</si>
  <si>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</si>
  <si>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</si>
  <si>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</si>
  <si>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</si>
  <si>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</si>
  <si>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</si>
  <si>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</si>
  <si>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</si>
  <si>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</si>
  <si>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</si>
  <si>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</si>
  <si>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</si>
  <si>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</si>
  <si>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</si>
  <si>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</si>
  <si>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</si>
  <si>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</si>
  <si>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</si>
  <si>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</si>
  <si>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</si>
  <si>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</si>
  <si>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</si>
  <si>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</si>
  <si>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</si>
  <si>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</si>
  <si>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</si>
  <si>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</si>
  <si>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</si>
  <si>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</si>
  <si>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</si>
  <si>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</si>
  <si>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</si>
  <si>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</si>
  <si>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</si>
  <si>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</si>
  <si>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</si>
  <si>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</si>
  <si>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</si>
  <si>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</si>
  <si>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</si>
  <si>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</si>
  <si>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</si>
  <si>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</si>
  <si>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</si>
  <si>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</si>
  <si>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</si>
  <si>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</si>
  <si>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</si>
  <si>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</si>
  <si>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</si>
  <si>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</si>
  <si>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</si>
  <si>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</si>
  <si>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</si>
  <si>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</si>
  <si>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</si>
  <si>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</si>
  <si>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</si>
  <si>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</si>
  <si>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</si>
  <si>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</si>
  <si>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</si>
  <si>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</si>
  <si>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</si>
  <si>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</si>
  <si>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</si>
  <si>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</si>
  <si>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</si>
  <si>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</si>
  <si>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</si>
  <si>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</si>
  <si>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</si>
  <si>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</si>
  <si>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</si>
  <si>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</si>
  <si>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</si>
  <si>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</si>
  <si>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</si>
  <si>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</si>
  <si>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</si>
  <si>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</si>
  <si>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</si>
  <si>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</si>
  <si>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</si>
  <si>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</si>
  <si>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</si>
  <si>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</si>
  <si>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</si>
  <si>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</si>
  <si>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</si>
  <si>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</si>
  <si>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</si>
  <si>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</si>
  <si>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</si>
  <si>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</si>
  <si>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</si>
  <si>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</si>
  <si>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</si>
  <si>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</si>
  <si>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</si>
  <si>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</si>
  <si>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</si>
  <si>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</si>
  <si>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</si>
  <si>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</si>
  <si>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</si>
  <si>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</si>
  <si>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</si>
  <si>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</si>
  <si>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</si>
  <si>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</si>
  <si>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</si>
  <si>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</si>
  <si>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</si>
  <si>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</si>
  <si>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</si>
  <si>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</si>
  <si>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</si>
  <si>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</si>
  <si>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</si>
  <si>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</si>
  <si>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</si>
  <si>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</si>
  <si>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</si>
  <si>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</si>
  <si>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</si>
  <si>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</si>
  <si>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</si>
  <si>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</si>
  <si>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</si>
  <si>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</si>
  <si>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</si>
  <si>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</si>
  <si>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</si>
  <si>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</si>
  <si>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</si>
  <si>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</si>
  <si>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</si>
  <si>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</si>
  <si>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</si>
  <si>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</si>
  <si>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</si>
  <si>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</si>
  <si>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</si>
  <si>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</si>
  <si>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</si>
  <si>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</si>
  <si>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</si>
  <si>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</si>
  <si>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</si>
  <si>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</si>
  <si>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</si>
  <si>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</si>
  <si>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</si>
  <si>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</si>
  <si>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</si>
  <si>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</si>
  <si>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</si>
  <si>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</si>
  <si>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</si>
  <si>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</si>
  <si>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</si>
  <si>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</si>
  <si>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</si>
  <si>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</si>
  <si>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</si>
  <si>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</si>
  <si>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</si>
  <si>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</si>
  <si>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</si>
  <si>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</si>
  <si>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</si>
  <si>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</si>
  <si>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</si>
  <si>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</si>
  <si>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</si>
  <si>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</si>
  <si>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</si>
  <si>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</si>
  <si>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</si>
  <si>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</si>
  <si>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</si>
  <si>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</si>
  <si>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</si>
  <si>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</si>
  <si>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</si>
  <si>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</si>
  <si>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</si>
  <si>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</si>
  <si>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</si>
  <si>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</si>
  <si>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</si>
  <si>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</si>
  <si>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</si>
  <si>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</si>
  <si>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</si>
  <si>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</si>
  <si>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</si>
  <si>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</si>
  <si>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</si>
  <si>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</si>
  <si>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</si>
  <si>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</si>
  <si>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</si>
  <si>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</si>
  <si>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</si>
  <si>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</si>
  <si>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</si>
  <si>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</si>
  <si>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</si>
  <si>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</si>
  <si>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</si>
  <si>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</si>
  <si>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</si>
  <si>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</si>
  <si>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</si>
  <si>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</si>
  <si>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</si>
  <si>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</si>
  <si>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</si>
  <si>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</si>
  <si>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</si>
  <si>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</si>
  <si>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</si>
  <si>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</si>
  <si>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</si>
  <si>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</si>
  <si>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</si>
  <si>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</si>
  <si>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</si>
  <si>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</si>
  <si>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</si>
  <si>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</si>
  <si>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</si>
  <si>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</si>
  <si>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</si>
  <si>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</si>
  <si>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</si>
  <si>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</si>
  <si>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</si>
  <si>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</si>
  <si>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</si>
  <si>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</si>
  <si>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</si>
  <si>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</si>
  <si>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</si>
  <si>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</si>
  <si>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</si>
  <si>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</si>
  <si>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</si>
  <si>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</si>
  <si>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</si>
  <si>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</si>
  <si>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</si>
  <si>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</si>
  <si>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</si>
  <si>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</si>
  <si>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</si>
  <si>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</si>
  <si>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</si>
  <si>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</si>
  <si>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</si>
  <si>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</si>
  <si>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</si>
  <si>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</si>
  <si>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</si>
  <si>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</si>
  <si>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</si>
  <si>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</si>
  <si>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</si>
  <si>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</si>
  <si>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</si>
  <si>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</si>
  <si>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</si>
  <si>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</si>
  <si>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</si>
  <si>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</si>
  <si>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</si>
  <si>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</si>
  <si>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</si>
  <si>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</si>
  <si>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</si>
  <si>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</si>
  <si>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</si>
  <si>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</si>
  <si>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</si>
  <si>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</si>
  <si>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</si>
  <si>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</si>
  <si>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</si>
  <si>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</si>
  <si>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</si>
  <si>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</si>
  <si>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</si>
  <si>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</si>
  <si>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</si>
  <si>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</si>
  <si>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</si>
  <si>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</si>
  <si>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</si>
  <si>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</si>
  <si>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</si>
  <si>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</si>
  <si>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</si>
  <si>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</si>
  <si>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</si>
  <si>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</si>
  <si>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</si>
  <si>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</si>
  <si>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</si>
  <si>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</si>
  <si>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</si>
  <si>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</si>
  <si>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</si>
  <si>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</si>
  <si>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</si>
  <si>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</si>
  <si>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</si>
  <si>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</si>
  <si>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</si>
  <si>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</si>
  <si>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</si>
  <si>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</si>
  <si>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</si>
  <si>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</si>
  <si>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</si>
  <si>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</si>
  <si>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</si>
  <si>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</si>
  <si>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</si>
  <si>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</si>
  <si>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</si>
  <si>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</si>
  <si>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</si>
  <si>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</si>
  <si>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</si>
  <si>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</si>
  <si>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</si>
  <si>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</si>
  <si>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</si>
  <si>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</si>
  <si>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</si>
  <si>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</si>
  <si>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</si>
  <si>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</si>
  <si>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</si>
  <si>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</si>
  <si>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</si>
  <si>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</si>
  <si>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</si>
  <si>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</si>
  <si>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</si>
  <si>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</si>
  <si>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</si>
  <si>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</si>
  <si>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</si>
  <si>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</si>
  <si>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</si>
  <si>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</si>
  <si>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</si>
  <si>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</si>
  <si>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</si>
  <si>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</si>
  <si>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</si>
  <si>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</si>
  <si>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</si>
  <si>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</si>
  <si>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</si>
  <si>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</si>
  <si>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</si>
  <si>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</si>
  <si>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</si>
  <si>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</si>
  <si>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</si>
  <si>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</si>
  <si>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</si>
  <si>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</si>
  <si>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</si>
  <si>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</si>
  <si>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</si>
  <si>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</si>
  <si>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</si>
  <si>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</si>
  <si>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</si>
  <si>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</si>
  <si>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</si>
  <si>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</si>
  <si>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</si>
  <si>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</si>
  <si>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</si>
  <si>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</si>
  <si>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</si>
  <si>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</si>
  <si>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</si>
  <si>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</si>
  <si>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</si>
  <si>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</si>
  <si>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</si>
  <si>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</si>
  <si>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</si>
  <si>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</si>
  <si>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</si>
  <si>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</si>
  <si>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</si>
  <si>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</si>
  <si>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</si>
  <si>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</si>
  <si>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</si>
  <si>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</si>
  <si>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</si>
  <si>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</si>
  <si>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</si>
  <si>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</si>
  <si>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</si>
  <si>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</si>
  <si>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</si>
  <si>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</si>
  <si>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</si>
  <si>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</si>
  <si>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</si>
  <si>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</si>
  <si>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</si>
  <si>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</si>
  <si>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</si>
  <si>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</si>
  <si>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</si>
  <si>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</si>
  <si>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</si>
  <si>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</si>
  <si>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</si>
  <si>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</si>
  <si>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</si>
  <si>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</si>
  <si>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</si>
  <si>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</si>
  <si>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</si>
  <si>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</si>
  <si>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</si>
  <si>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</si>
  <si>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</si>
  <si>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</si>
  <si>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</si>
  <si>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</si>
  <si>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</si>
  <si>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</si>
  <si>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</si>
  <si>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</si>
  <si>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</si>
  <si>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</si>
  <si>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</si>
  <si>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</si>
  <si>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</si>
  <si>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</si>
  <si>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</si>
  <si>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</si>
  <si>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</si>
  <si>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</si>
  <si>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</si>
  <si>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</si>
  <si>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</si>
  <si>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</si>
  <si>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</si>
  <si>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</si>
  <si>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</si>
  <si>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</si>
  <si>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</si>
  <si>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</si>
  <si>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</si>
  <si>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</si>
  <si>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</si>
  <si>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</si>
  <si>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</si>
  <si>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</si>
  <si>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</si>
  <si>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</si>
  <si>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</si>
  <si>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</si>
  <si>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</si>
  <si>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</si>
  <si>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</si>
  <si>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</si>
  <si>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</si>
  <si>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</si>
  <si>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</si>
  <si>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</si>
  <si>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</si>
  <si>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</si>
  <si>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</si>
  <si>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</si>
  <si>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</si>
  <si>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</si>
  <si>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</si>
  <si>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</si>
  <si>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</si>
  <si>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</si>
  <si>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</si>
  <si>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</si>
  <si>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</si>
  <si>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</si>
  <si>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</si>
  <si>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</si>
  <si>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</si>
  <si>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</si>
  <si>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</si>
  <si>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</si>
  <si>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</si>
  <si>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</si>
  <si>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</si>
  <si>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</si>
  <si>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</si>
  <si>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</si>
  <si>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</si>
  <si>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</si>
  <si>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</si>
  <si>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</si>
  <si>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</si>
  <si>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</si>
  <si>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</si>
  <si>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</si>
  <si>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</si>
  <si>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</si>
  <si>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</si>
  <si>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</si>
  <si>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</si>
  <si>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</si>
  <si>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</si>
  <si>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</si>
  <si>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</si>
  <si>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</si>
  <si>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</si>
  <si>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</si>
  <si>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</si>
  <si>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</si>
  <si>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</si>
  <si>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</si>
  <si>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</si>
  <si>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</si>
  <si>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</si>
  <si>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</si>
  <si>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</si>
  <si>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</si>
  <si>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</si>
  <si>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</si>
  <si>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</si>
  <si>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</si>
  <si>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</si>
  <si>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</si>
  <si>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</si>
  <si>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</si>
  <si>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</si>
  <si>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</si>
  <si>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</si>
  <si>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</si>
  <si>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</si>
  <si>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</si>
  <si>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</si>
  <si>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</si>
  <si>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</si>
  <si>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</si>
  <si>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</si>
  <si>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</si>
  <si>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</si>
  <si>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</si>
  <si>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</si>
  <si>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</si>
  <si>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</si>
  <si>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</si>
  <si>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</si>
  <si>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</si>
  <si>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</si>
  <si>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</si>
  <si>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</si>
  <si>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</si>
  <si>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</si>
  <si>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</si>
  <si>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</si>
  <si>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</si>
  <si>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</si>
  <si>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</si>
  <si>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</si>
  <si>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</si>
  <si>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</si>
  <si>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</si>
  <si>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</si>
  <si>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</si>
  <si>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</si>
  <si>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</si>
  <si>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</si>
  <si>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</si>
  <si>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</si>
  <si>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</si>
  <si>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</si>
  <si>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</si>
  <si>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</si>
  <si>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</si>
  <si>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</si>
  <si>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</si>
  <si>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</si>
  <si>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</si>
  <si>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</si>
  <si>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</si>
  <si>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</si>
  <si>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</si>
  <si>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</si>
  <si>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</si>
  <si>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</si>
  <si>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</si>
  <si>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</si>
  <si>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</si>
  <si>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</si>
  <si>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</si>
  <si>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</si>
  <si>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</si>
  <si>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</si>
  <si>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</si>
  <si>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</si>
  <si>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</si>
  <si>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</si>
  <si>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</si>
  <si>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</si>
  <si>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</si>
  <si>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</si>
  <si>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</si>
  <si>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</si>
  <si>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</si>
  <si>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</si>
  <si>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</si>
  <si>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</si>
  <si>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</si>
  <si>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</si>
  <si>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</si>
  <si>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</si>
  <si>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</si>
  <si>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</si>
  <si>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</si>
  <si>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</si>
  <si>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</si>
  <si>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</si>
  <si>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</si>
  <si>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</si>
  <si>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</si>
  <si>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</si>
  <si>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</si>
  <si>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</si>
  <si>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</si>
  <si>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</si>
  <si>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</si>
  <si>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</si>
  <si>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</si>
  <si>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</si>
  <si>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</si>
  <si>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</si>
  <si>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</si>
  <si>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</si>
  <si>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</si>
  <si>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</si>
  <si>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</si>
  <si>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</si>
  <si>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</si>
  <si>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</si>
  <si>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</si>
  <si>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</si>
  <si>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</si>
  <si>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</si>
  <si>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</si>
  <si>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</si>
  <si>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</si>
  <si>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</si>
  <si>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</si>
  <si>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</si>
  <si>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</si>
  <si>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</si>
  <si>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</si>
  <si>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</si>
  <si>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</si>
  <si>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</si>
  <si>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</si>
  <si>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</si>
  <si>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</si>
  <si>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</si>
  <si>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</si>
  <si>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</si>
  <si>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</si>
  <si>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</si>
  <si>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</si>
  <si>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</si>
  <si>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</si>
  <si>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</si>
  <si>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</si>
  <si>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</si>
  <si>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</si>
  <si>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</si>
  <si>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</si>
  <si>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</si>
  <si>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</si>
  <si>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</si>
  <si>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</si>
  <si>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</si>
  <si>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</si>
  <si>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</si>
  <si>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</si>
  <si>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</si>
  <si>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</si>
  <si>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</si>
  <si>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</si>
  <si>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</si>
  <si>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</si>
  <si>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</si>
  <si>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</si>
  <si>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</si>
  <si>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</si>
  <si>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</si>
  <si>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</si>
  <si>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</si>
  <si>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</si>
  <si>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</si>
  <si>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</si>
  <si>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</si>
  <si>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</si>
  <si>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</si>
  <si>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</si>
  <si>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</si>
  <si>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</si>
  <si>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</si>
  <si>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</si>
  <si>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</si>
  <si>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</si>
  <si>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</si>
  <si>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</si>
  <si>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</si>
  <si>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</si>
  <si>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</si>
  <si>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</si>
  <si>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</si>
  <si>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</si>
  <si>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</si>
  <si>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</si>
  <si>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</si>
  <si>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</si>
  <si>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</si>
  <si>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</si>
  <si>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</si>
  <si>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</si>
  <si>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</si>
  <si>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</si>
  <si>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</si>
  <si>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</si>
  <si>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</si>
  <si>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</si>
  <si>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</si>
  <si>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</si>
  <si>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</si>
  <si>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</si>
  <si>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</si>
  <si>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</si>
  <si>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</si>
  <si>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</si>
  <si>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</si>
  <si>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</si>
  <si>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</si>
  <si>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</si>
  <si>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</si>
  <si>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</si>
  <si>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</si>
  <si>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</si>
  <si>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</si>
  <si>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</si>
  <si>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</si>
  <si>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</si>
  <si>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</si>
  <si>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</si>
  <si>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</si>
  <si>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</si>
  <si>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</si>
  <si>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</si>
  <si>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</si>
  <si>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</si>
  <si>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</si>
  <si>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</si>
  <si>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</si>
  <si>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</si>
  <si>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</si>
  <si>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</si>
  <si>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</si>
  <si>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</si>
  <si>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</si>
  <si>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</si>
  <si>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</si>
  <si>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</si>
  <si>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</si>
  <si>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</si>
  <si>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</si>
  <si>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</si>
  <si>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</si>
  <si>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</si>
  <si>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</si>
  <si>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</si>
  <si>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</si>
  <si>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</si>
  <si>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</si>
  <si>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</si>
  <si>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</si>
  <si>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</si>
  <si>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</si>
  <si>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</si>
  <si>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</si>
  <si>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</si>
  <si>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</si>
  <si>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</si>
  <si>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</si>
  <si>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</si>
  <si>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</si>
  <si>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</si>
  <si>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</si>
  <si>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</si>
  <si>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</si>
  <si>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</si>
  <si>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</si>
  <si>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</si>
  <si>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</si>
  <si>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</si>
  <si>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</si>
  <si>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</si>
  <si>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</si>
  <si>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</si>
  <si>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</si>
  <si>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</si>
  <si>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</si>
  <si>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</si>
  <si>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</si>
  <si>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</si>
  <si>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</si>
  <si>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</si>
  <si>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</si>
  <si>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</si>
  <si>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</si>
  <si>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</si>
  <si>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</si>
  <si>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EB2018'!U48/('EB2018'!U48+'EB2018'!AI48)</t>
  </si>
  <si>
    <t>FX</t>
  </si>
  <si>
    <t>TRACO2INT</t>
  </si>
  <si>
    <t>Carbon Dioxide - Combustion (TRA) International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</si>
</sst>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6">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
      <sz val="10"/>
      <name val="Arial"/>
    </font>
    <font>
      <sz val="10"/>
      <color rgb="FFFF0000"/>
      <name val="Arial"/>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13">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xf numFmtId="43" fontId="1" fillId="0" borderId="0" applyFont="0" applyFill="0" applyBorder="0" applyAlignment="0" applyProtection="0"/>
    <xf numFmtId="0" fontId="74" fillId="0" borderId="0"/>
    <xf numFmtId="43" fontId="4" fillId="0" borderId="0" applyFont="0" applyFill="0" applyBorder="0" applyAlignment="0" applyProtection="0"/>
    <xf numFmtId="9" fontId="4" fillId="0" borderId="0" applyFont="0" applyFill="0" applyBorder="0" applyAlignment="0" applyProtection="0"/>
  </cellStyleXfs>
  <cellXfs count="738">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174" fontId="0" fillId="0" borderId="0" xfId="0" quotePrefix="1" applyNumberFormat="1"/>
    <xf numFmtId="171" fontId="22" fillId="7" borderId="0" xfId="0" applyNumberFormat="1" applyFont="1" applyFill="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0" fillId="0" borderId="0" xfId="0"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Alignment="1">
      <alignment horizontal="left"/>
    </xf>
    <xf numFmtId="0" fontId="0" fillId="0" borderId="140" xfId="0" applyBorder="1" applyAlignment="1">
      <alignment horizontal="left" vertical="top"/>
    </xf>
    <xf numFmtId="0" fontId="75" fillId="0" borderId="0" xfId="0" applyFont="1"/>
  </cellXfs>
  <cellStyles count="13">
    <cellStyle name="20% - Accent5" xfId="5" builtinId="46"/>
    <cellStyle name="Accent1" xfId="3" builtinId="29"/>
    <cellStyle name="Comma" xfId="1" builtinId="3"/>
    <cellStyle name="Comma 2" xfId="11" xr:uid="{ACE349D1-D601-4D1E-B118-280A02FCC02C}"/>
    <cellStyle name="Comma 3" xfId="9" xr:uid="{8CA971C9-1CEF-4C65-A82A-4F179BA56EBA}"/>
    <cellStyle name="Hyperlink" xfId="4" builtinId="8"/>
    <cellStyle name="Normal" xfId="0" builtinId="0"/>
    <cellStyle name="Normal 2" xfId="6" xr:uid="{1380D956-EA70-4E8A-A904-383EB9080BF2}"/>
    <cellStyle name="Normal 2 2" xfId="10" xr:uid="{EA07F722-F04E-4A70-A828-CF82923D254B}"/>
    <cellStyle name="Normal_1990 and 1998 CIP - Prices Quantity and CO2(MH)" xfId="8" xr:uid="{E42A0DB4-8E1A-4BC2-911B-A4A72A86B1DA}"/>
    <cellStyle name="Normal_2000balx" xfId="7" xr:uid="{7E529E51-F313-4873-A31D-04A2127BFF57}"/>
    <cellStyle name="Percent" xfId="2" builtinId="5"/>
    <cellStyle name="Percent 2" xfId="12" xr:uid="{CEB78263-4329-4777-A163-EC70B823E0DF}"/>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538358" y="2251983"/>
          <a:ext cx="8617659" cy="209826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21771</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4375" defaultRowHeight="14.6"/>
  <cols>
    <col min="1" max="4" width="21.69140625" customWidth="1"/>
    <col min="5" max="6" width="14.15234375" customWidth="1"/>
    <col min="7" max="7" width="12.15234375" customWidth="1"/>
    <col min="8" max="10" width="8.15234375" customWidth="1"/>
    <col min="11" max="11" width="9.69140625" customWidth="1"/>
    <col min="12" max="12" width="8.15234375" customWidth="1"/>
    <col min="13" max="13" width="10" customWidth="1"/>
    <col min="14" max="14" width="11.3828125" customWidth="1"/>
    <col min="15" max="15" width="13.3828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7" t="s">
        <v>1115</v>
      </c>
      <c r="B16" s="717"/>
      <c r="C16" s="717"/>
      <c r="D16" s="717"/>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6" t="s">
        <v>1129</v>
      </c>
      <c r="C19" s="716"/>
      <c r="D19" s="716"/>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16" t="s">
        <v>1128</v>
      </c>
      <c r="C20" s="716"/>
      <c r="D20" s="716"/>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16" t="s">
        <v>1127</v>
      </c>
      <c r="C21" s="716"/>
      <c r="D21" s="716"/>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16" t="s">
        <v>1126</v>
      </c>
      <c r="C23" s="716"/>
      <c r="D23" s="716"/>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6" t="s">
        <v>1130</v>
      </c>
      <c r="C24" s="716"/>
      <c r="D24" s="716"/>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16" t="s">
        <v>1126</v>
      </c>
      <c r="C26" s="716"/>
      <c r="D26" s="716"/>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18" t="s">
        <v>1122</v>
      </c>
      <c r="C30" s="716"/>
      <c r="D30" s="716"/>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16" t="s">
        <v>1124</v>
      </c>
      <c r="C31" s="716"/>
      <c r="D31" s="716"/>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5234375" defaultRowHeight="14.6"/>
  <cols>
    <col min="1" max="1" width="3.69140625" style="48" customWidth="1"/>
    <col min="2" max="2" width="19.53515625" style="48" customWidth="1"/>
    <col min="3" max="3" width="37.69140625" style="48" customWidth="1"/>
    <col min="4" max="16384" width="9.15234375" style="48"/>
  </cols>
  <sheetData>
    <row r="2" spans="2:3" ht="18.4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4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4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5234375" defaultRowHeight="12.45"/>
  <cols>
    <col min="1" max="1" width="51.3828125" style="43" customWidth="1"/>
    <col min="2" max="2" width="15.69140625" style="38" customWidth="1"/>
    <col min="3" max="4" width="7.53515625" style="44" bestFit="1" customWidth="1"/>
    <col min="5" max="5" width="9.15234375" style="44"/>
    <col min="6" max="6" width="6.15234375" style="45" customWidth="1"/>
    <col min="7" max="7" width="5.84375" style="45" bestFit="1" customWidth="1"/>
    <col min="8" max="8" width="6.3828125" style="44" bestFit="1" customWidth="1"/>
    <col min="9" max="9" width="6.15234375" style="45" bestFit="1" customWidth="1"/>
    <col min="10" max="10" width="6" style="45" bestFit="1" customWidth="1"/>
    <col min="11" max="11" width="6.84375" style="45" bestFit="1" customWidth="1"/>
    <col min="12" max="12" width="9.15234375" style="42" bestFit="1" customWidth="1"/>
    <col min="13" max="13" width="8.15234375" style="38" bestFit="1" customWidth="1"/>
    <col min="14" max="14" width="8.15234375" style="38" customWidth="1"/>
    <col min="15" max="15" width="5.3046875" style="38" customWidth="1"/>
    <col min="16" max="16" width="7.3828125" style="398" customWidth="1"/>
    <col min="17" max="17" width="7.3828125" style="38" bestFit="1" customWidth="1"/>
    <col min="18" max="18" width="8.15234375" style="38" bestFit="1" customWidth="1"/>
    <col min="19" max="19" width="7.3046875" style="38" bestFit="1" customWidth="1"/>
    <col min="20" max="20" width="7.3828125" style="38" bestFit="1" customWidth="1"/>
    <col min="21" max="21" width="8.3828125" style="399" bestFit="1" customWidth="1"/>
    <col min="22" max="22" width="6.84375" style="38" bestFit="1" customWidth="1"/>
    <col min="23" max="25" width="5.3828125" style="38" customWidth="1"/>
    <col min="26" max="26" width="5.3828125" style="45" customWidth="1"/>
    <col min="27" max="27" width="8.15234375" style="42" bestFit="1" customWidth="1"/>
    <col min="28" max="28" width="6.69140625" style="42" bestFit="1" customWidth="1"/>
    <col min="29" max="30" width="5.53515625" style="38" customWidth="1"/>
    <col min="31" max="31" width="8.69140625" style="38" bestFit="1" customWidth="1"/>
    <col min="32" max="32" width="8.69140625" style="38" customWidth="1"/>
    <col min="33" max="33" width="5.53515625" style="38" customWidth="1"/>
    <col min="34" max="34" width="5.69140625" style="38" customWidth="1"/>
    <col min="35" max="36" width="7" style="400" customWidth="1"/>
    <col min="37" max="37" width="7" style="38" customWidth="1"/>
    <col min="38" max="40" width="5.53515625" style="38" customWidth="1"/>
    <col min="41" max="41" width="8.69140625" style="42" bestFit="1" customWidth="1"/>
    <col min="42" max="42" width="4.3828125" style="42" bestFit="1" customWidth="1"/>
    <col min="43" max="43" width="9.3046875" style="38" bestFit="1" customWidth="1"/>
    <col min="44" max="44" width="9.15234375" style="38"/>
    <col min="45" max="45" width="9.15234375" style="40"/>
    <col min="46" max="16384" width="9.1523437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5"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5234375" defaultRowHeight="14.6"/>
  <cols>
    <col min="1" max="1" width="12.15234375" customWidth="1"/>
    <col min="2" max="2" width="11.69140625" customWidth="1"/>
    <col min="3" max="3" width="3.15234375" bestFit="1" customWidth="1"/>
    <col min="4" max="4" width="8.53515625" bestFit="1" customWidth="1"/>
    <col min="5" max="5" width="6.3828125" bestFit="1" customWidth="1"/>
    <col min="6" max="6" width="4.84375" bestFit="1" customWidth="1"/>
    <col min="7" max="7" width="5.69140625" bestFit="1" customWidth="1"/>
    <col min="8" max="8" width="5.84375" bestFit="1" customWidth="1"/>
    <col min="9" max="9" width="5.3828125" bestFit="1" customWidth="1"/>
    <col min="10" max="11" width="5.69140625" bestFit="1" customWidth="1"/>
    <col min="12" max="12" width="6.53515625" bestFit="1" customWidth="1"/>
    <col min="13" max="13" width="6.15234375" bestFit="1" customWidth="1"/>
    <col min="14" max="14" width="6.69140625" bestFit="1" customWidth="1"/>
    <col min="15" max="15" width="6.53515625" bestFit="1" customWidth="1"/>
    <col min="16" max="16" width="7.3046875" bestFit="1" customWidth="1"/>
    <col min="17" max="17" width="5.69140625" bestFit="1" customWidth="1"/>
    <col min="18" max="18" width="6.15234375" bestFit="1" customWidth="1"/>
    <col min="19" max="19" width="5.69140625" bestFit="1" customWidth="1"/>
    <col min="20" max="20" width="5.53515625" bestFit="1" customWidth="1"/>
    <col min="21" max="21" width="5.84375" bestFit="1" customWidth="1"/>
    <col min="22" max="22" width="6.69140625" bestFit="1" customWidth="1"/>
    <col min="23" max="23" width="4.84375" bestFit="1" customWidth="1"/>
    <col min="24" max="24" width="7.53515625" customWidth="1"/>
    <col min="25" max="25" width="6.69140625" bestFit="1" customWidth="1"/>
    <col min="26" max="26" width="6.15234375" bestFit="1" customWidth="1"/>
    <col min="27" max="28" width="6" bestFit="1" customWidth="1"/>
    <col min="29" max="29" width="5.69140625" bestFit="1" customWidth="1"/>
    <col min="30" max="30" width="6.6914062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21771</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6"/>
  <sheetViews>
    <sheetView topLeftCell="A4" zoomScale="85" zoomScaleNormal="85" workbookViewId="0">
      <selection activeCell="K28" sqref="K28"/>
    </sheetView>
  </sheetViews>
  <sheetFormatPr defaultRowHeight="14.6"/>
  <cols>
    <col min="1" max="2" width="16.3046875" customWidth="1"/>
    <col min="3" max="3" width="12" bestFit="1" customWidth="1"/>
    <col min="4" max="4" width="51.84375" bestFit="1" customWidth="1"/>
    <col min="5" max="6" width="8.84375" customWidth="1"/>
    <col min="7" max="7" width="10.69140625" customWidth="1"/>
    <col min="8" max="8" width="11" customWidth="1"/>
    <col min="9" max="9" width="10.3828125" customWidth="1"/>
    <col min="12" max="12" width="26" bestFit="1" customWidth="1"/>
    <col min="13" max="13" width="60.3046875" bestFit="1" customWidth="1"/>
  </cols>
  <sheetData>
    <row r="1" spans="1:9" ht="20.6">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29.1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t="s">
        <v>1153</v>
      </c>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t="s">
        <v>1153</v>
      </c>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t="s">
        <v>1153</v>
      </c>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t="s">
        <v>1153</v>
      </c>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c r="F12" s="37" t="s">
        <v>1153</v>
      </c>
    </row>
    <row r="13" spans="1:9">
      <c r="A13" s="37"/>
      <c r="B13" s="37" t="str">
        <f>_xlfn.TEXTJOIN(",",TRUE,Regions!$C$3:'Regions'!$AD$3)</f>
        <v>IE,IE-CW,IE-D,IE-KE,IE-KK,IE-LS,IE-LD,IE-LH,IE-MH,IE-OY,IE-WH,IE-WX,IE-WW,IE-CE,IE-CO,IE-KY,IE-LK,IE-TA,IE-WD,IE-G,IE-LM,IE-MO,IE-RN,IE-SO,IE-CN,IE-DL,IE-MN</v>
      </c>
      <c r="C13" s="323" t="s">
        <v>447</v>
      </c>
      <c r="D13" s="323" t="s">
        <v>926</v>
      </c>
      <c r="E13" s="37" t="s">
        <v>86</v>
      </c>
      <c r="F13" s="37" t="s">
        <v>1153</v>
      </c>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t="s">
        <v>1153</v>
      </c>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t="s">
        <v>1153</v>
      </c>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t="s">
        <v>1153</v>
      </c>
      <c r="G16" s="37"/>
    </row>
    <row r="17" spans="1:10">
      <c r="B17" s="37" t="str">
        <f>_xlfn.TEXTJOIN(",",TRUE,Regions!$C$3:'Regions'!$AD$3)</f>
        <v>IE,IE-CW,IE-D,IE-KE,IE-KK,IE-LS,IE-LD,IE-LH,IE-MH,IE-OY,IE-WH,IE-WX,IE-WW,IE-CE,IE-CO,IE-KY,IE-LK,IE-TA,IE-WD,IE-G,IE-LM,IE-MO,IE-RN,IE-SO,IE-CN,IE-DL,IE-MN</v>
      </c>
      <c r="C17" s="323" t="s">
        <v>1114</v>
      </c>
      <c r="D17" s="323" t="s">
        <v>930</v>
      </c>
      <c r="E17" s="37" t="s">
        <v>86</v>
      </c>
      <c r="F17" s="37" t="s">
        <v>1153</v>
      </c>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37" t="s">
        <v>1153</v>
      </c>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A34" t="s">
        <v>100</v>
      </c>
      <c r="B34" s="37" t="str">
        <f>_xlfn.TEXTJOIN(",",TRUE,Regions!$C$3:'Regions'!$AD$3)</f>
        <v>IE,IE-CW,IE-D,IE-KE,IE-KK,IE-LS,IE-LD,IE-LH,IE-MH,IE-OY,IE-WH,IE-WX,IE-WW,IE-CE,IE-CO,IE-KY,IE-LK,IE-TA,IE-WD,IE-G,IE-LM,IE-MO,IE-RN,IE-SO,IE-CN,IE-DL,IE-MN</v>
      </c>
      <c r="C34" s="37" t="s">
        <v>1154</v>
      </c>
      <c r="D34" s="37" t="s">
        <v>1155</v>
      </c>
      <c r="E34" t="s">
        <v>104</v>
      </c>
      <c r="F34" s="37"/>
      <c r="G34" s="37"/>
      <c r="H34" s="37"/>
      <c r="I34" s="37"/>
    </row>
    <row r="35" spans="1:9">
      <c r="B35" s="37"/>
      <c r="C35" s="23"/>
      <c r="D35" s="37"/>
      <c r="F35" s="37"/>
      <c r="G35" s="37"/>
      <c r="H35" s="37"/>
      <c r="I35" s="37"/>
    </row>
    <row r="36" spans="1:9">
      <c r="A36" s="103" t="s">
        <v>710</v>
      </c>
      <c r="B36" s="103"/>
      <c r="H36" s="37"/>
      <c r="I36" s="37"/>
    </row>
    <row r="37" spans="1:9">
      <c r="A37" s="103" t="s">
        <v>711</v>
      </c>
      <c r="B37" s="103"/>
    </row>
    <row r="38" spans="1:9">
      <c r="A38" s="103" t="s">
        <v>709</v>
      </c>
      <c r="B38" s="103"/>
    </row>
    <row r="39" spans="1:9">
      <c r="A39" s="103" t="s">
        <v>712</v>
      </c>
      <c r="B39" s="103"/>
    </row>
    <row r="62" spans="10:10">
      <c r="J62" s="37"/>
    </row>
    <row r="65" spans="10:10">
      <c r="J65" s="37"/>
    </row>
    <row r="66" spans="10:10">
      <c r="J66"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row r="106" spans="11:11">
      <c r="K106"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19" zoomScaleNormal="100" workbookViewId="0">
      <selection activeCell="E9" sqref="E9"/>
    </sheetView>
  </sheetViews>
  <sheetFormatPr defaultRowHeight="14.6"/>
  <cols>
    <col min="3" max="3" width="11.3046875" customWidth="1"/>
    <col min="4" max="4" width="19.15234375" bestFit="1" customWidth="1"/>
    <col min="5" max="5" width="49.1523437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tabSelected="1" zoomScale="85" zoomScaleNormal="85" workbookViewId="0">
      <selection activeCell="G25" sqref="G25"/>
    </sheetView>
  </sheetViews>
  <sheetFormatPr defaultColWidth="8.84375" defaultRowHeight="14.6"/>
  <cols>
    <col min="1" max="1" width="3.3046875" customWidth="1"/>
    <col min="2" max="2" width="8.69140625" customWidth="1"/>
    <col min="3" max="3" width="13" customWidth="1"/>
    <col min="4" max="4" width="20.3046875" bestFit="1" customWidth="1"/>
    <col min="5" max="5" width="11.3046875" customWidth="1"/>
    <col min="6" max="6" width="9.84375" customWidth="1"/>
    <col min="7" max="7" width="12.84375" bestFit="1" customWidth="1"/>
    <col min="8" max="9" width="14.84375" bestFit="1" customWidth="1"/>
    <col min="10" max="10" width="14.15234375" customWidth="1"/>
    <col min="11" max="11" width="14.3046875" customWidth="1"/>
    <col min="12" max="12" width="16.15234375" customWidth="1"/>
    <col min="13" max="13" width="16.304687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6.15" thickBot="1">
      <c r="B4" s="379" t="s">
        <v>768</v>
      </c>
      <c r="C4" s="379" t="s">
        <v>78</v>
      </c>
      <c r="D4" s="379" t="s">
        <v>79</v>
      </c>
      <c r="E4" s="379" t="s">
        <v>80</v>
      </c>
      <c r="F4" s="379" t="s">
        <v>759</v>
      </c>
      <c r="G4" s="379" t="s">
        <v>796</v>
      </c>
      <c r="H4" s="379"/>
      <c r="I4" s="379"/>
      <c r="J4" s="379"/>
      <c r="K4" s="379"/>
    </row>
    <row r="5" spans="2:11" ht="15" thickBot="1">
      <c r="B5" s="379" t="s">
        <v>769</v>
      </c>
      <c r="C5" s="379"/>
      <c r="D5" s="380"/>
      <c r="E5" s="380"/>
      <c r="F5" s="380"/>
      <c r="G5" s="380" t="s">
        <v>797</v>
      </c>
      <c r="H5" s="380" t="s">
        <v>770</v>
      </c>
      <c r="I5" s="380" t="s">
        <v>770</v>
      </c>
      <c r="J5" s="380" t="s">
        <v>770</v>
      </c>
      <c r="K5" s="380" t="s">
        <v>770</v>
      </c>
    </row>
    <row r="6" spans="2:11" s="277" customFormat="1" ht="12.4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4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4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4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4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4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4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4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4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4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4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737">
        <v>80</v>
      </c>
      <c r="I16" s="737">
        <v>80</v>
      </c>
      <c r="J16" s="737">
        <v>80</v>
      </c>
      <c r="K16" s="277">
        <v>5</v>
      </c>
    </row>
    <row r="17" spans="1:13" s="277" customFormat="1" ht="12.45">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2.4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4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21" zoomScale="85" zoomScaleNormal="85" workbookViewId="0">
      <selection activeCell="F101" sqref="F101"/>
    </sheetView>
  </sheetViews>
  <sheetFormatPr defaultRowHeight="14.6"/>
  <cols>
    <col min="2" max="2" width="8.3046875" customWidth="1"/>
    <col min="3" max="3" width="23" customWidth="1"/>
    <col min="4" max="4" width="9" customWidth="1"/>
    <col min="5" max="5" width="18.69140625" customWidth="1"/>
    <col min="6" max="6" width="20.3046875" customWidth="1"/>
    <col min="7" max="9" width="15.53515625" customWidth="1"/>
    <col min="10" max="31" width="9.3046875" customWidth="1"/>
    <col min="34" max="34" width="8.69140625" customWidth="1"/>
    <col min="35" max="35" width="34.3828125" bestFit="1" customWidth="1"/>
    <col min="36" max="36" width="27.3046875" bestFit="1" customWidth="1"/>
    <col min="37" max="37" width="26.69140625" bestFit="1" customWidth="1"/>
    <col min="38" max="38" width="26.69140625" customWidth="1"/>
    <col min="39" max="39" width="27.69140625" bestFit="1" customWidth="1"/>
    <col min="40" max="41" width="27.3046875" bestFit="1" customWidth="1"/>
    <col min="42" max="46" width="26.69140625" bestFit="1" customWidth="1"/>
    <col min="47" max="47" width="27.69140625" bestFit="1" customWidth="1"/>
    <col min="48" max="62" width="26.69140625" bestFit="1" customWidth="1"/>
    <col min="65" max="65" width="26.69140625" customWidth="1"/>
    <col min="66" max="92" width="21.69140625" bestFit="1" customWidth="1"/>
  </cols>
  <sheetData>
    <row r="1" spans="3:92">
      <c r="C1" s="98"/>
    </row>
    <row r="2" spans="3:92">
      <c r="C2" s="98"/>
      <c r="AI2" t="s">
        <v>997</v>
      </c>
      <c r="BM2" t="s">
        <v>297</v>
      </c>
    </row>
    <row r="3" spans="3:92">
      <c r="F3" s="141" t="s">
        <v>900</v>
      </c>
      <c r="AI3" t="s">
        <v>985</v>
      </c>
      <c r="BM3" t="s">
        <v>994</v>
      </c>
    </row>
    <row r="4" spans="3:92" ht="1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9">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9">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9">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9">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9">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9">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-0.59655451506099766</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9">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9">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10.702591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9">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9">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9">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9">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1.3184200884893891</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2.4400139011782424E-2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1.4532016045781813</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1.4776017435899638</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9">
      <c r="AI42" t="s">
        <v>991</v>
      </c>
      <c r="AJ42" s="101"/>
      <c r="AK42" s="101"/>
      <c r="BM42" t="s">
        <v>1005</v>
      </c>
      <c r="BN42" s="344">
        <f>BN41-Demands!C7</f>
        <v>-9.2249892564100371</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9">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1054.59655189625</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9384.6470770483211</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7.149999999999999">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9">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9">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9">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9">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9">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9">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0.6">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715">
        <v>1</v>
      </c>
      <c r="G101" s="404">
        <v>1</v>
      </c>
      <c r="H101" s="404">
        <v>1</v>
      </c>
      <c r="I101" s="401">
        <v>5</v>
      </c>
      <c r="J101" s="188"/>
      <c r="K101" s="188"/>
      <c r="L101" s="714" t="s">
        <v>1152</v>
      </c>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v>0.95899999999999996</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1</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0.95899999999999996</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1</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0.95899999999999996</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9">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5" customHeight="1">
      <c r="C215" s="133" t="s">
        <v>19</v>
      </c>
      <c r="D215" s="134">
        <v>3392228806</v>
      </c>
      <c r="AH215" s="140"/>
    </row>
    <row r="216" spans="3:34" ht="39.65" customHeight="1">
      <c r="C216" s="133" t="s">
        <v>455</v>
      </c>
      <c r="D216" s="134">
        <v>162101602</v>
      </c>
      <c r="AH216" s="140"/>
    </row>
    <row r="217" spans="3:34">
      <c r="C217" s="135" t="s">
        <v>456</v>
      </c>
      <c r="AH217" s="140"/>
    </row>
    <row r="218" spans="3:34" ht="1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5" customHeight="1">
      <c r="C225" s="133" t="s">
        <v>455</v>
      </c>
      <c r="D225" s="134">
        <v>33</v>
      </c>
    </row>
    <row r="226" spans="3:34" ht="14.5" customHeight="1"/>
    <row r="227" spans="3:34" ht="26.5" customHeight="1"/>
    <row r="228" spans="3:34" ht="14.5" customHeight="1">
      <c r="C228" s="127" t="s">
        <v>458</v>
      </c>
      <c r="D228" s="128"/>
    </row>
    <row r="229" spans="3:34" ht="14.5" customHeight="1">
      <c r="C229" s="129" t="s">
        <v>452</v>
      </c>
      <c r="D229" s="130" t="s">
        <v>459</v>
      </c>
    </row>
    <row r="230" spans="3:34" ht="1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5" customHeight="1">
      <c r="AH237" s="140"/>
    </row>
    <row r="243" spans="3:9" ht="106.2" customHeight="1"/>
    <row r="244" spans="3:9">
      <c r="C244" s="719" t="s">
        <v>475</v>
      </c>
      <c r="D244" s="719"/>
      <c r="E244" s="719"/>
      <c r="F244" s="719"/>
      <c r="G244" s="719"/>
      <c r="H244" s="719"/>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c r="C264" s="140" t="s">
        <v>492</v>
      </c>
    </row>
    <row r="265" spans="3:6">
      <c r="C265" s="140" t="s">
        <v>493</v>
      </c>
    </row>
    <row r="266" spans="3:6">
      <c r="C266" s="140" t="s">
        <v>494</v>
      </c>
    </row>
    <row r="267" spans="3:6">
      <c r="C267" s="140" t="s">
        <v>495</v>
      </c>
    </row>
    <row r="268" spans="3:6">
      <c r="C268" s="140" t="s">
        <v>496</v>
      </c>
    </row>
    <row r="269" spans="3:6">
      <c r="C269" s="140" t="s">
        <v>497</v>
      </c>
    </row>
    <row r="270" spans="3:6">
      <c r="C270" s="140" t="s">
        <v>498</v>
      </c>
    </row>
    <row r="271" spans="3:6">
      <c r="C271" s="140" t="s">
        <v>499</v>
      </c>
    </row>
    <row r="276" spans="3:8">
      <c r="C276" t="s">
        <v>695</v>
      </c>
    </row>
    <row r="277" spans="3:8" ht="64.3">
      <c r="C277" s="384" t="s">
        <v>114</v>
      </c>
      <c r="D277" s="385" t="s">
        <v>115</v>
      </c>
      <c r="E277" s="230" t="s">
        <v>116</v>
      </c>
      <c r="F277" s="230" t="s">
        <v>117</v>
      </c>
      <c r="G277" s="230" t="s">
        <v>118</v>
      </c>
      <c r="H277" s="230" t="s">
        <v>119</v>
      </c>
    </row>
    <row r="278" spans="3:8" ht="24.9">
      <c r="C278" s="386"/>
      <c r="D278" s="387"/>
      <c r="E278" s="231" t="s">
        <v>120</v>
      </c>
      <c r="F278" s="231">
        <v>28</v>
      </c>
      <c r="G278" s="231">
        <v>190</v>
      </c>
      <c r="H278" s="231" t="s">
        <v>121</v>
      </c>
    </row>
    <row r="279" spans="3:8" ht="15.9">
      <c r="C279" s="386"/>
      <c r="D279" s="387"/>
      <c r="E279" s="232" t="s">
        <v>122</v>
      </c>
      <c r="F279" s="232">
        <v>25</v>
      </c>
      <c r="G279" s="232">
        <v>262</v>
      </c>
      <c r="H279" s="232" t="s">
        <v>123</v>
      </c>
    </row>
    <row r="280" spans="3:8" ht="24.9">
      <c r="C280" s="386"/>
      <c r="D280" s="388"/>
      <c r="E280" s="231" t="s">
        <v>124</v>
      </c>
      <c r="F280" s="231">
        <v>10</v>
      </c>
      <c r="G280" s="231">
        <v>304</v>
      </c>
      <c r="H280" s="231">
        <v>2008</v>
      </c>
    </row>
    <row r="281" spans="3:8" ht="24.9">
      <c r="C281" s="386"/>
      <c r="D281" s="389" t="s">
        <v>125</v>
      </c>
      <c r="E281" s="232" t="s">
        <v>126</v>
      </c>
      <c r="F281" s="232">
        <v>5</v>
      </c>
      <c r="G281" s="232" t="s">
        <v>127</v>
      </c>
      <c r="H281" s="232" t="s">
        <v>128</v>
      </c>
    </row>
    <row r="282" spans="3:8" ht="15.9">
      <c r="C282" s="386"/>
      <c r="D282" s="390"/>
      <c r="E282" s="231" t="s">
        <v>129</v>
      </c>
      <c r="F282" s="231">
        <v>5</v>
      </c>
      <c r="G282" s="231">
        <v>28</v>
      </c>
      <c r="H282" s="231" t="s">
        <v>128</v>
      </c>
    </row>
    <row r="283" spans="3:8" ht="15.9">
      <c r="C283" s="386"/>
      <c r="D283" s="390"/>
      <c r="E283" s="232" t="s">
        <v>130</v>
      </c>
      <c r="F283" s="232">
        <v>5</v>
      </c>
      <c r="G283" s="232">
        <v>44</v>
      </c>
      <c r="H283" s="232" t="s">
        <v>128</v>
      </c>
    </row>
    <row r="284" spans="3:8" ht="15.9">
      <c r="C284" s="386"/>
      <c r="D284" s="390"/>
      <c r="E284" s="231" t="s">
        <v>131</v>
      </c>
      <c r="F284" s="231">
        <v>16</v>
      </c>
      <c r="G284" s="231">
        <v>69</v>
      </c>
      <c r="H284" s="231" t="s">
        <v>128</v>
      </c>
    </row>
    <row r="285" spans="3:8" ht="15.9">
      <c r="C285" s="391"/>
      <c r="D285" s="392"/>
      <c r="E285" s="232" t="s">
        <v>132</v>
      </c>
      <c r="F285" s="232">
        <v>5</v>
      </c>
      <c r="G285" s="232">
        <v>69</v>
      </c>
      <c r="H285" s="232" t="s">
        <v>128</v>
      </c>
    </row>
    <row r="286" spans="3:8" ht="15.9">
      <c r="C286" s="393" t="s">
        <v>133</v>
      </c>
      <c r="D286" s="233" t="s">
        <v>134</v>
      </c>
      <c r="E286" s="231" t="s">
        <v>122</v>
      </c>
      <c r="F286" s="231">
        <v>29</v>
      </c>
      <c r="G286" s="231">
        <v>185</v>
      </c>
      <c r="H286" s="231" t="s">
        <v>137</v>
      </c>
    </row>
    <row r="287" spans="3:8" ht="15.9">
      <c r="C287" s="394"/>
      <c r="D287" s="233" t="s">
        <v>135</v>
      </c>
      <c r="E287" s="232" t="s">
        <v>138</v>
      </c>
      <c r="F287" s="232">
        <v>8</v>
      </c>
      <c r="G287" s="232">
        <v>85</v>
      </c>
      <c r="H287" s="232">
        <v>2000</v>
      </c>
    </row>
    <row r="288" spans="3:8" ht="15.9">
      <c r="C288" s="395"/>
      <c r="D288" s="233" t="s">
        <v>136</v>
      </c>
      <c r="E288" s="231" t="s">
        <v>138</v>
      </c>
      <c r="F288" s="231">
        <v>8</v>
      </c>
      <c r="G288" s="231">
        <v>130</v>
      </c>
      <c r="H288" s="231">
        <v>1993</v>
      </c>
    </row>
    <row r="289" spans="3:8" ht="64.3">
      <c r="C289" s="393" t="s">
        <v>39</v>
      </c>
      <c r="D289" s="385" t="s">
        <v>139</v>
      </c>
      <c r="E289" s="232" t="s">
        <v>141</v>
      </c>
      <c r="F289" s="232">
        <v>8</v>
      </c>
      <c r="G289" s="232">
        <v>160</v>
      </c>
      <c r="H289" s="232" t="s">
        <v>142</v>
      </c>
    </row>
    <row r="290" spans="3:8" ht="24.9">
      <c r="C290" s="394"/>
      <c r="D290" s="387"/>
      <c r="E290" s="231" t="s">
        <v>143</v>
      </c>
      <c r="F290" s="231">
        <v>3</v>
      </c>
      <c r="G290" s="231">
        <v>160</v>
      </c>
      <c r="H290" s="231">
        <v>2001</v>
      </c>
    </row>
    <row r="291" spans="3:8" ht="24.9">
      <c r="C291" s="394"/>
      <c r="D291" s="388"/>
      <c r="E291" s="232" t="s">
        <v>144</v>
      </c>
      <c r="F291" s="232">
        <v>4</v>
      </c>
      <c r="G291" s="232">
        <v>160</v>
      </c>
      <c r="H291" s="232">
        <v>2000</v>
      </c>
    </row>
    <row r="292" spans="3:8" ht="15.9">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89.15">
      <c r="C299" s="382" t="s">
        <v>684</v>
      </c>
      <c r="D299" s="382"/>
      <c r="E299" s="382"/>
      <c r="F299" s="382"/>
    </row>
    <row r="300" spans="3:8" ht="15" thickBot="1">
      <c r="C300" s="396" t="s">
        <v>161</v>
      </c>
      <c r="D300" s="397"/>
      <c r="E300" s="397"/>
      <c r="F300" s="397"/>
      <c r="G300" s="397"/>
      <c r="H300" s="397"/>
    </row>
    <row r="301" spans="3:8" ht="23.6" thickBot="1">
      <c r="C301" s="229" t="s">
        <v>116</v>
      </c>
      <c r="D301" s="229" t="s">
        <v>162</v>
      </c>
      <c r="E301" s="229" t="s">
        <v>163</v>
      </c>
      <c r="F301" s="229" t="s">
        <v>164</v>
      </c>
      <c r="G301" s="229" t="s">
        <v>166</v>
      </c>
      <c r="H301" s="229" t="s">
        <v>165</v>
      </c>
    </row>
    <row r="302" spans="3:8" ht="50.15" thickBot="1">
      <c r="C302" s="225" t="s">
        <v>146</v>
      </c>
      <c r="D302" s="225" t="s">
        <v>147</v>
      </c>
      <c r="E302" s="225" t="s">
        <v>148</v>
      </c>
      <c r="F302" s="225" t="s">
        <v>149</v>
      </c>
      <c r="G302" s="226">
        <v>247</v>
      </c>
      <c r="H302" s="226">
        <f>2*6*52*G302</f>
        <v>154128</v>
      </c>
    </row>
    <row r="303" spans="3:8" ht="25.3" thickBot="1">
      <c r="C303" s="227" t="s">
        <v>150</v>
      </c>
      <c r="D303" s="227" t="s">
        <v>151</v>
      </c>
      <c r="E303" s="227" t="s">
        <v>148</v>
      </c>
      <c r="F303" s="227" t="s">
        <v>152</v>
      </c>
      <c r="G303" s="228">
        <v>317</v>
      </c>
      <c r="H303" s="228">
        <f>2*G303*2*52</f>
        <v>65936</v>
      </c>
    </row>
    <row r="304" spans="3:8" ht="124.75" thickBot="1">
      <c r="C304" s="225" t="s">
        <v>153</v>
      </c>
      <c r="D304" s="225" t="s">
        <v>154</v>
      </c>
      <c r="E304" s="225" t="s">
        <v>155</v>
      </c>
      <c r="F304" s="225" t="s">
        <v>156</v>
      </c>
      <c r="G304" s="226">
        <v>312</v>
      </c>
      <c r="H304" s="226">
        <f>2*G304*3*52</f>
        <v>97344</v>
      </c>
    </row>
    <row r="305" spans="3:8" ht="99.9"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zoomScaleNormal="100" workbookViewId="0">
      <selection activeCell="E31" sqref="E31"/>
    </sheetView>
  </sheetViews>
  <sheetFormatPr defaultRowHeight="14.6"/>
  <cols>
    <col min="2" max="2" width="22.3828125" bestFit="1" customWidth="1"/>
    <col min="3" max="4" width="13.69140625" customWidth="1"/>
    <col min="5" max="5" width="16.53515625" bestFit="1" customWidth="1"/>
    <col min="6" max="13" width="9" customWidth="1"/>
    <col min="14" max="14" width="10.84375" customWidth="1"/>
    <col min="15" max="31" width="9" customWidth="1"/>
  </cols>
  <sheetData>
    <row r="3" spans="2:31" ht="18.45">
      <c r="B3" s="721" t="s">
        <v>789</v>
      </c>
      <c r="C3" s="721"/>
      <c r="D3" s="721"/>
      <c r="E3" s="721"/>
    </row>
    <row r="5" spans="2:31">
      <c r="E5" s="357" t="s">
        <v>901</v>
      </c>
    </row>
    <row r="6" spans="2:31" ht="1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3.2508999999999997</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8.5142399999999991</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29.1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20" t="s">
        <v>9</v>
      </c>
      <c r="C96" s="91" t="s">
        <v>428</v>
      </c>
      <c r="D96" s="91">
        <v>1.24</v>
      </c>
      <c r="E96" s="91">
        <v>1.25</v>
      </c>
      <c r="F96" s="91">
        <v>1.26</v>
      </c>
      <c r="G96" s="91">
        <v>1.26</v>
      </c>
      <c r="H96" s="91">
        <v>1.33</v>
      </c>
      <c r="I96" s="91">
        <v>1.34</v>
      </c>
      <c r="J96" s="91">
        <v>1.38</v>
      </c>
      <c r="K96" s="91">
        <v>1.38</v>
      </c>
    </row>
    <row r="97" spans="2:11">
      <c r="B97" s="720"/>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20" t="s">
        <v>10</v>
      </c>
      <c r="C98" s="91" t="s">
        <v>428</v>
      </c>
      <c r="D98" s="91">
        <v>1.21</v>
      </c>
      <c r="E98" s="91">
        <v>1.22</v>
      </c>
      <c r="F98" s="91">
        <v>1.23</v>
      </c>
      <c r="G98" s="91">
        <v>1.23</v>
      </c>
      <c r="H98" s="91">
        <v>1.2</v>
      </c>
      <c r="I98" s="91">
        <v>1.23</v>
      </c>
      <c r="J98" s="91">
        <v>1.22</v>
      </c>
      <c r="K98" s="91">
        <v>1.22</v>
      </c>
    </row>
    <row r="99" spans="2:11">
      <c r="B99" s="720"/>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20" t="s">
        <v>11</v>
      </c>
      <c r="C100" s="91" t="s">
        <v>428</v>
      </c>
      <c r="D100" s="91">
        <v>1.64</v>
      </c>
      <c r="E100" s="91">
        <v>1.65</v>
      </c>
      <c r="F100" s="91">
        <v>1.66</v>
      </c>
      <c r="G100" s="91">
        <v>1.68</v>
      </c>
      <c r="H100" s="91">
        <v>1.7</v>
      </c>
      <c r="I100" s="91">
        <v>1.83</v>
      </c>
      <c r="J100" s="91">
        <v>1.85</v>
      </c>
      <c r="K100" s="91">
        <v>1.85</v>
      </c>
    </row>
    <row r="101" spans="2:11">
      <c r="B101" s="720"/>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9">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CJ696"/>
  <sheetViews>
    <sheetView zoomScaleNormal="100" workbookViewId="0">
      <selection activeCell="D6" sqref="D6"/>
    </sheetView>
  </sheetViews>
  <sheetFormatPr defaultRowHeight="14.6"/>
  <cols>
    <col min="1" max="1" width="28" customWidth="1"/>
    <col min="2" max="2" width="18.84375" customWidth="1"/>
    <col min="3" max="3" width="17.69140625" customWidth="1"/>
    <col min="4" max="4" width="16.84375" customWidth="1"/>
    <col min="5" max="6" width="15.69140625" customWidth="1"/>
    <col min="7" max="7" width="16.3046875" customWidth="1"/>
    <col min="8" max="32" width="11.84375" customWidth="1"/>
    <col min="33" max="46" width="10.69140625" customWidth="1"/>
    <col min="47" max="47" width="26" customWidth="1"/>
    <col min="48" max="55" width="10.69140625" customWidth="1"/>
    <col min="56" max="56" width="12" customWidth="1"/>
    <col min="57" max="88" width="10.69140625" customWidth="1"/>
  </cols>
  <sheetData>
    <row r="1" spans="1:29">
      <c r="D1" s="705"/>
    </row>
    <row r="2" spans="1:29">
      <c r="A2" s="21" t="s">
        <v>791</v>
      </c>
      <c r="B2" s="37"/>
      <c r="C2" s="37"/>
      <c r="D2" s="37"/>
      <c r="E2" s="37"/>
      <c r="F2" s="37"/>
      <c r="G2" s="37"/>
    </row>
    <row r="3" spans="1:29" ht="1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0.92*(C479/1000)+C18</f>
        <v>10.702591</v>
      </c>
      <c r="D7" s="188">
        <f t="shared" ref="D7:AC7" si="3">(D479/1000)+D18</f>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188"/>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188"/>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188"/>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9">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9">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9">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45">
      <c r="A75" s="192" t="s">
        <v>21</v>
      </c>
      <c r="AC75" s="191"/>
    </row>
    <row r="76" spans="1:88">
      <c r="AC76" s="7"/>
    </row>
    <row r="78" spans="1:88" ht="15.9">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4" t="s">
        <v>16</v>
      </c>
      <c r="B89" s="724"/>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9">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6.3">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6.3">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6.3">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6.3">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6.3">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6.3">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6.3">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3" t="s">
        <v>16</v>
      </c>
      <c r="B110" s="723"/>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9">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25"/>
      <c r="H130" s="725"/>
      <c r="I130" s="172"/>
      <c r="J130" s="172"/>
      <c r="Z130" s="138"/>
      <c r="AA130" s="138"/>
      <c r="AB130" s="138"/>
    </row>
    <row r="131" spans="1:29" s="52" customFormat="1">
      <c r="A131" s="168" t="s">
        <v>36</v>
      </c>
      <c r="B131" s="173">
        <v>0.97050000000000003</v>
      </c>
      <c r="C131" s="173">
        <v>0.97640000000000005</v>
      </c>
      <c r="D131" s="138"/>
      <c r="E131" s="138"/>
      <c r="F131" s="138"/>
      <c r="G131" s="725"/>
      <c r="H131" s="725"/>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9">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9">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9">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9">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9">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9">
      <c r="A206" s="101" t="s">
        <v>868</v>
      </c>
      <c r="B206" s="287"/>
      <c r="C206" s="287"/>
      <c r="I206" s="727" t="s">
        <v>863</v>
      </c>
      <c r="J206" s="727"/>
      <c r="K206" s="727"/>
      <c r="L206" s="727"/>
      <c r="M206" s="727"/>
      <c r="N206" s="727"/>
      <c r="O206" s="727"/>
      <c r="P206" s="727"/>
      <c r="Q206" s="727"/>
      <c r="R206" s="727"/>
      <c r="S206" s="727"/>
      <c r="T206" s="727"/>
      <c r="U206" s="727"/>
      <c r="V206" s="727"/>
      <c r="W206" s="727"/>
      <c r="X206" s="727"/>
      <c r="Y206" s="727"/>
      <c r="Z206" s="727"/>
      <c r="AA206" s="727"/>
      <c r="AB206" s="727"/>
    </row>
    <row r="207" spans="1:28">
      <c r="A207" s="82" t="s">
        <v>831</v>
      </c>
      <c r="B207" s="82" t="s">
        <v>419</v>
      </c>
      <c r="C207" s="82" t="s">
        <v>832</v>
      </c>
      <c r="I207" s="728" t="s">
        <v>854</v>
      </c>
      <c r="J207" s="730" t="s">
        <v>294</v>
      </c>
      <c r="K207" s="730"/>
      <c r="L207" s="730"/>
      <c r="M207" s="12"/>
      <c r="N207" s="730" t="s">
        <v>635</v>
      </c>
      <c r="O207" s="730"/>
      <c r="P207" s="730"/>
      <c r="Q207" s="12"/>
      <c r="R207" s="730" t="s">
        <v>296</v>
      </c>
      <c r="S207" s="730"/>
      <c r="T207" s="730"/>
      <c r="U207" s="12"/>
      <c r="V207" s="730" t="s">
        <v>855</v>
      </c>
      <c r="W207" s="730"/>
      <c r="X207" s="730"/>
      <c r="Y207" s="12"/>
      <c r="Z207" s="730" t="s">
        <v>530</v>
      </c>
      <c r="AA207" s="730"/>
      <c r="AB207" s="730"/>
    </row>
    <row r="208" spans="1:28" ht="21.9">
      <c r="A208" s="286"/>
      <c r="B208" s="289" t="s">
        <v>892</v>
      </c>
      <c r="C208" s="289" t="s">
        <v>833</v>
      </c>
      <c r="I208" s="729"/>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9">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9">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9">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9">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5"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45">
      <c r="A355" s="192" t="s">
        <v>634</v>
      </c>
    </row>
    <row r="357" spans="1:29" ht="15.9">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9">
      <c r="A366" s="101" t="s">
        <v>644</v>
      </c>
    </row>
    <row r="367" spans="1:29" ht="17.600000000000001">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2"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2"/>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2"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2"/>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2"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2"/>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9">
      <c r="A379" s="101" t="s">
        <v>645</v>
      </c>
    </row>
    <row r="380" spans="1:29" ht="17.600000000000001">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2"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2"/>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2"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2"/>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2"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2"/>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9">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9">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9">
      <c r="A409" s="101" t="s">
        <v>1018</v>
      </c>
      <c r="C409" s="706"/>
      <c r="L409" s="304"/>
    </row>
    <row r="410" spans="1:31" ht="17.600000000000001">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2" t="s">
        <v>1010</v>
      </c>
      <c r="B411" t="s">
        <v>636</v>
      </c>
      <c r="E411" s="304"/>
      <c r="F411" s="731">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2"/>
      <c r="B412" t="s">
        <v>637</v>
      </c>
      <c r="C412">
        <v>292</v>
      </c>
      <c r="D412">
        <v>6667</v>
      </c>
      <c r="E412" s="364">
        <f>D412*1000/(C368+C369)</f>
        <v>20.719511209731053</v>
      </c>
      <c r="F412" s="731"/>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2" t="s">
        <v>1011</v>
      </c>
      <c r="B413" t="s">
        <v>638</v>
      </c>
      <c r="C413">
        <v>246</v>
      </c>
      <c r="D413">
        <v>4107</v>
      </c>
      <c r="E413" s="364">
        <f>D413*1000/(C370)</f>
        <v>904.6255506607929</v>
      </c>
      <c r="F413" s="732">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2"/>
      <c r="B414" t="s">
        <v>639</v>
      </c>
      <c r="C414">
        <v>894</v>
      </c>
      <c r="D414">
        <v>12416</v>
      </c>
      <c r="E414" s="364">
        <f>D414*1000/(C371)</f>
        <v>1911.9186941792423</v>
      </c>
      <c r="F414" s="732"/>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2" t="s">
        <v>1012</v>
      </c>
      <c r="B415" t="s">
        <v>640</v>
      </c>
      <c r="C415">
        <v>2606</v>
      </c>
      <c r="D415">
        <v>35975</v>
      </c>
      <c r="E415" s="364">
        <f>D415*1000/(C372)</f>
        <v>4375.45609340793</v>
      </c>
      <c r="F415" s="732">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2"/>
      <c r="B416" t="s">
        <v>641</v>
      </c>
      <c r="C416">
        <v>7500</v>
      </c>
      <c r="D416">
        <v>90871</v>
      </c>
      <c r="E416" s="364">
        <f>D416*1000/(C373)</f>
        <v>6766.7734008489088</v>
      </c>
      <c r="F416" s="732"/>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9">
      <c r="A422" s="101" t="s">
        <v>1014</v>
      </c>
    </row>
    <row r="423" spans="1:31" ht="17.600000000000001">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9">
      <c r="A431" s="101" t="s">
        <v>1030</v>
      </c>
    </row>
    <row r="432" spans="1:31" ht="17.600000000000001">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9">
      <c r="A442" s="101" t="s">
        <v>662</v>
      </c>
    </row>
    <row r="443" spans="1:29" ht="15.9">
      <c r="A443" s="82" t="s">
        <v>316</v>
      </c>
      <c r="B443" s="726" t="s">
        <v>659</v>
      </c>
      <c r="C443" s="726"/>
      <c r="D443" s="726"/>
      <c r="E443" s="726"/>
      <c r="F443" s="726"/>
      <c r="G443" s="726"/>
      <c r="H443" s="726"/>
      <c r="I443" s="726"/>
      <c r="J443" s="726"/>
      <c r="K443" s="726"/>
      <c r="L443" s="726"/>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9">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33" t="s">
        <v>664</v>
      </c>
      <c r="C461" s="733"/>
      <c r="D461" s="733"/>
      <c r="E461" s="733"/>
      <c r="F461" s="733"/>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9">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9">
      <c r="A486" s="101" t="s">
        <v>660</v>
      </c>
    </row>
    <row r="487" spans="1:29" ht="15.9">
      <c r="A487" s="82" t="s">
        <v>316</v>
      </c>
      <c r="B487" s="726" t="s">
        <v>659</v>
      </c>
      <c r="C487" s="726"/>
      <c r="D487" s="726"/>
      <c r="E487" s="726"/>
      <c r="F487" s="726"/>
      <c r="G487" s="726"/>
      <c r="H487" s="726"/>
      <c r="I487" s="726"/>
      <c r="J487" s="726"/>
      <c r="K487" s="726"/>
      <c r="L487" s="726"/>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9">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9">
      <c r="A505" s="101" t="s">
        <v>661</v>
      </c>
    </row>
    <row r="506" spans="1:12" ht="15.9">
      <c r="A506" s="82" t="s">
        <v>316</v>
      </c>
      <c r="B506" s="726" t="s">
        <v>659</v>
      </c>
      <c r="C506" s="726"/>
      <c r="D506" s="726"/>
      <c r="E506" s="726"/>
      <c r="F506" s="726"/>
      <c r="G506" s="726"/>
      <c r="H506" s="726"/>
      <c r="I506" s="726"/>
      <c r="J506" s="726"/>
      <c r="K506" s="726"/>
      <c r="L506" s="726"/>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9">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19" t="s">
        <v>682</v>
      </c>
      <c r="B524" s="719"/>
      <c r="C524" s="719"/>
      <c r="D524" s="719"/>
      <c r="E524" s="719"/>
      <c r="F524" s="719"/>
      <c r="G524" s="719"/>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34" t="s">
        <v>681</v>
      </c>
      <c r="B536" s="734"/>
      <c r="C536" s="734"/>
      <c r="D536" s="734"/>
      <c r="E536" s="734"/>
      <c r="F536" s="734"/>
      <c r="G536" s="734"/>
    </row>
    <row r="537" spans="1:7">
      <c r="A537" s="735" t="s">
        <v>683</v>
      </c>
      <c r="B537" s="735"/>
      <c r="C537" s="735"/>
      <c r="D537" s="735"/>
      <c r="E537" s="735"/>
      <c r="F537" s="735"/>
      <c r="G537" s="735"/>
    </row>
    <row r="544" spans="1:7" ht="15.9">
      <c r="A544" s="101" t="s">
        <v>701</v>
      </c>
    </row>
    <row r="545" spans="1:12" ht="15.9">
      <c r="A545" s="82" t="s">
        <v>316</v>
      </c>
      <c r="B545" s="726" t="s">
        <v>659</v>
      </c>
      <c r="C545" s="726"/>
      <c r="D545" s="726"/>
      <c r="E545" s="726"/>
      <c r="F545" s="726"/>
      <c r="G545" s="726"/>
      <c r="H545" s="726"/>
      <c r="I545" s="726"/>
      <c r="J545" s="726"/>
      <c r="K545" s="726"/>
      <c r="L545" s="726"/>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9">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33" t="s">
        <v>664</v>
      </c>
      <c r="C563" s="733"/>
      <c r="D563" s="733"/>
      <c r="E563" s="733"/>
      <c r="F563" s="733"/>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9">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9">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9">
      <c r="A594" s="101" t="s">
        <v>1043</v>
      </c>
    </row>
    <row r="595" spans="1:29" ht="17.600000000000001">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9">
      <c r="A604" s="101" t="s">
        <v>1042</v>
      </c>
    </row>
    <row r="605" spans="1:29" ht="17.600000000000001">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45">
      <c r="A614" s="192" t="s">
        <v>706</v>
      </c>
    </row>
    <row r="617" spans="1:29" ht="15.9">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4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9">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1149</v>
      </c>
      <c r="E691" t="s">
        <v>1148</v>
      </c>
    </row>
    <row r="692" spans="1:7">
      <c r="A692" s="82" t="s">
        <v>676</v>
      </c>
      <c r="B692" s="82" t="s">
        <v>1056</v>
      </c>
      <c r="C692" s="80" t="s">
        <v>1147</v>
      </c>
      <c r="D692" s="80" t="s">
        <v>577</v>
      </c>
      <c r="E692" s="80" t="s">
        <v>1147</v>
      </c>
      <c r="F692" s="80" t="s">
        <v>1150</v>
      </c>
      <c r="G692" s="80" t="s">
        <v>1151</v>
      </c>
    </row>
    <row r="693" spans="1:7">
      <c r="A693" t="s">
        <v>1053</v>
      </c>
      <c r="B693" t="s">
        <v>1047</v>
      </c>
      <c r="C693" s="707">
        <f>((C403*Stock!G29*AF!D24)+(C403*Stock!G28*AF!D23))/1000</f>
        <v>0.30440398839397392</v>
      </c>
      <c r="D693" s="708">
        <f>C606</f>
        <v>2.5114928752301518E-2</v>
      </c>
      <c r="E693" s="710">
        <f>D693*$C$7</f>
        <v>0.26879481043002346</v>
      </c>
      <c r="F693" s="5">
        <f>C693-E693</f>
        <v>3.5609177963950467E-2</v>
      </c>
      <c r="G693" s="705">
        <f>E693/C693</f>
        <v>0.88302000196573183</v>
      </c>
    </row>
    <row r="694" spans="1:7">
      <c r="A694" t="s">
        <v>1054</v>
      </c>
      <c r="B694" t="s">
        <v>1048</v>
      </c>
      <c r="C694" s="707">
        <f>C404*Stock!G30*AF!D25/1000</f>
        <v>1.1099384754504258</v>
      </c>
      <c r="D694" s="708">
        <f t="shared" ref="D694:D695" si="259">C607</f>
        <v>9.8051434169944274E-2</v>
      </c>
      <c r="E694" s="710">
        <f t="shared" ref="E694:E695" si="260">D694*$C$7</f>
        <v>1.0494043968843381</v>
      </c>
      <c r="F694" s="5">
        <f t="shared" ref="F694:F695" si="261">C694-E694</f>
        <v>6.0534078566087723E-2</v>
      </c>
      <c r="G694" s="188">
        <f>ROUNDUP(E694/C694,2)</f>
        <v>0.95</v>
      </c>
    </row>
    <row r="695" spans="1:7">
      <c r="A695" s="79" t="s">
        <v>1055</v>
      </c>
      <c r="B695" s="79" t="s">
        <v>1049</v>
      </c>
      <c r="C695" s="709">
        <f>C405*Stock!G31*AF!D26/1000</f>
        <v>9.7750280090047017</v>
      </c>
      <c r="D695" s="711">
        <f t="shared" si="259"/>
        <v>0.86921736291355867</v>
      </c>
      <c r="E695" s="712">
        <f t="shared" si="260"/>
        <v>9.3028779253623863</v>
      </c>
      <c r="F695" s="250">
        <f t="shared" si="261"/>
        <v>0.47215008364231537</v>
      </c>
      <c r="G695" s="713">
        <f>ROUNDUP(E695/C695,2)</f>
        <v>0.96</v>
      </c>
    </row>
    <row r="696" spans="1:7">
      <c r="C696" s="5">
        <f>SUM(C693:C695)</f>
        <v>11.189370472849102</v>
      </c>
      <c r="E696" s="705">
        <f>SUM(E693:E695)</f>
        <v>10.621077132676747</v>
      </c>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zoomScale="70" zoomScaleNormal="70" workbookViewId="0">
      <selection activeCell="D163" sqref="D163"/>
    </sheetView>
  </sheetViews>
  <sheetFormatPr defaultRowHeight="14.6"/>
  <cols>
    <col min="2" max="2" width="22.3828125" bestFit="1" customWidth="1"/>
    <col min="3" max="3" width="12.15234375" customWidth="1"/>
    <col min="4" max="4" width="11" customWidth="1"/>
    <col min="5" max="30" width="9.53515625" customWidth="1"/>
  </cols>
  <sheetData>
    <row r="1" spans="2:31">
      <c r="F1" s="2"/>
    </row>
    <row r="3" spans="2:31">
      <c r="D3" s="141"/>
    </row>
    <row r="4" spans="2:31" ht="1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E9/1000</f>
        <v>0.40118080181954258</v>
      </c>
      <c r="F44" s="10">
        <f t="shared" ref="F44:AE44" si="12">F9/1000</f>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9">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9">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9">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9">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9">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9">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9">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9">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1.085*SUMPRODUCT(E137:E143,E150:E156)</f>
        <v>1.7174841547644963</v>
      </c>
      <c r="F162" s="177">
        <f t="shared" ref="F162:AD162" si="61">1.085*SUMPRODUCT(F137:F143,F150:F156)</f>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9">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9">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9">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9">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9">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9">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9">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9">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9">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9">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9">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9">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9">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9">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9">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9">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9">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9">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9">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9">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9">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9">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9">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9">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9">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9">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9">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9">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9">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9">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9">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9">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9">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9">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9">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9">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9">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9">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9">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9">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4.6"/>
  <cols>
    <col min="1" max="1" width="5.3828125" customWidth="1"/>
    <col min="2" max="2" width="22.3828125" bestFit="1" customWidth="1"/>
    <col min="3" max="3" width="15.3828125" customWidth="1"/>
    <col min="4" max="30" width="10" customWidth="1"/>
    <col min="31" max="31" width="16.3828125" bestFit="1" customWidth="1"/>
  </cols>
  <sheetData>
    <row r="2" spans="2:30">
      <c r="C2" s="141" t="s">
        <v>902</v>
      </c>
    </row>
    <row r="3" spans="2:30" ht="1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45">
      <c r="B105" s="270" t="s">
        <v>780</v>
      </c>
    </row>
    <row r="106" spans="2:30" ht="1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9">
      <c r="B131" s="101" t="s">
        <v>1032</v>
      </c>
    </row>
    <row r="132" spans="2:30" ht="17.600000000000001">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2"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2"/>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2"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2"/>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2"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6"/>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6"/>
  <cols>
    <col min="1" max="1" width="28.69140625" customWidth="1"/>
    <col min="2" max="2" width="9.382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5234375" defaultRowHeight="14.6"/>
  <cols>
    <col min="1" max="16384" width="9.1523437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2024-04-19T13:52:37Z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