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F7B3A402-253E-4E6D-AD88-489635D3FA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5" r:id="rId1"/>
    <sheet name="BY-Demands" sheetId="4" r:id="rId2"/>
    <sheet name="REG_TRA_DEMANDS" sheetId="3" r:id="rId3"/>
    <sheet name="DEMANDS" sheetId="1" r:id="rId4"/>
    <sheet name="Regions" sheetId="2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6" l="1"/>
  <c r="C15" i="6"/>
  <c r="I19" i="1"/>
  <c r="H19" i="1"/>
  <c r="J20" i="1"/>
  <c r="I20" i="1"/>
  <c r="H20" i="1"/>
  <c r="K11" i="1"/>
  <c r="K10" i="1"/>
  <c r="K4" i="1"/>
  <c r="I18" i="1"/>
  <c r="H18" i="1"/>
  <c r="S45" i="1"/>
  <c r="T45" i="1" s="1"/>
  <c r="S44" i="1"/>
  <c r="T44" i="1" s="1"/>
  <c r="G48" i="1" s="1"/>
  <c r="K31" i="1"/>
  <c r="E62" i="4"/>
  <c r="E63" i="4"/>
  <c r="E64" i="4"/>
  <c r="E65" i="4"/>
  <c r="E66" i="4"/>
  <c r="E67" i="4"/>
  <c r="E68" i="4"/>
  <c r="E61" i="4"/>
  <c r="M15" i="6"/>
  <c r="N17" i="6" s="1"/>
  <c r="T31" i="1"/>
  <c r="N16" i="6" l="1"/>
  <c r="C16" i="6" s="1"/>
  <c r="S31" i="1"/>
  <c r="AC31" i="1"/>
  <c r="AM31" i="1" s="1"/>
  <c r="AW31" i="1" s="1"/>
  <c r="BG31" i="1" s="1"/>
  <c r="BQ31" i="1" s="1"/>
  <c r="CA31" i="1" s="1"/>
  <c r="CK31" i="1" s="1"/>
  <c r="C14" i="6" l="1"/>
  <c r="J19" i="1" s="1"/>
  <c r="K19" i="1" s="1"/>
  <c r="C13" i="6"/>
  <c r="K20" i="1" l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J18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K34" i="1" l="1"/>
  <c r="K33" i="1"/>
  <c r="N36" i="1"/>
  <c r="K17" i="1"/>
  <c r="L17" i="1" s="1"/>
  <c r="J17" i="1"/>
  <c r="L19" i="1"/>
  <c r="K18" i="1"/>
  <c r="L18" i="1" s="1"/>
  <c r="BV39" i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l="1"/>
  <c r="D32" i="1"/>
  <c r="D30" i="1"/>
  <c r="D29" i="1"/>
  <c r="D31" i="1"/>
  <c r="G3" i="2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H3" i="2" a="1"/>
  <c r="H3" i="2" s="1"/>
  <c r="P3" i="2" a="1"/>
  <c r="P3" i="2" s="1"/>
  <c r="Q6" i="2"/>
  <c r="AB7" i="2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E5" i="4" l="1"/>
  <c r="AF5" i="4"/>
  <c r="AC3" i="3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l="1"/>
  <c r="L35" i="3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<sst xmlns="http://schemas.openxmlformats.org/spreadsheetml/2006/main" count="696" uniqueCount="208">
  <si>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</si>
  <si>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</si>
  <si>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</si>
  <si>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</si>
  <si>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</si>
  <si>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</si>
  <si>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</si>
  <si>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</si>
  <si>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</si>
  <si>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</si>
  <si>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</si>
  <si>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</si>
  <si>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</si>
  <si>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</si>
  <si>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</si>
  <si>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</si>
  <si>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</si>
  <si>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</si>
  <si>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</si>
  <si>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</si>
  <si>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</si>
  <si>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</si>
  <si>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</si>
  <si>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</si>
  <si>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</si>
  <si>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</si>
  <si>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</si>
  <si>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</si>
  <si>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</si>
  <si>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</si>
  <si>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</si>
  <si>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</si>
  <si>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</si>
  <si>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</si>
  <si>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</si>
  <si>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</si>
  <si>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</si>
  <si>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</si>
  <si>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</si>
  <si>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</si>
  <si>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</si>
  <si>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</si>
  <si>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</si>
  <si>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</si>
  <si>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</si>
  <si>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</si>
  <si>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</si>
  <si>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</si>
  <si>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</si>
  <si>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</si>
  <si>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</si>
  <si>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</si>
  <si>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</si>
  <si>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</si>
  <si>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</si>
  <si>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</si>
  <si>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</si>
  <si>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</si>
  <si>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</si>
  <si>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</si>
  <si>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</si>
  <si>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</si>
  <si>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</si>
  <si>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</si>
  <si>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</si>
  <si>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</si>
  <si>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</si>
  <si>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</si>
  <si>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</si>
  <si>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</si>
  <si>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</si>
  <si>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</si>
  <si>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</si>
  <si>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</si>
  <si>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</si>
  <si>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</si>
  <si>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</si>
  <si>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</si>
  <si>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</si>
  <si>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</si>
  <si>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</si>
  <si>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</si>
  <si>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</si>
  <si>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</si>
  <si>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</si>
  <si>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</si>
  <si>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</si>
  <si>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</si>
  <si>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</si>
  <si>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</si>
  <si>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</si>
  <si>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</si>
  <si>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</si>
  <si>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</si>
  <si>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</si>
  <si>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</si>
  <si>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</si>
  <si>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</si>
  <si>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</si>
  <si>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</si>
  <si>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</si>
  <si>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</si>
  <si>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</si>
  <si>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</si>
  <si>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</si>
  <si>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</si>
  <si>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</si>
  <si>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</si>
  <si>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</si>
  <si>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</si>
  <si>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</si>
  <si>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</si>
  <si>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</si>
  <si>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</si>
  <si>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</si>
  <si>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</si>
  <si>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</si>
  <si>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</si>
  <si>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</si>
  <si>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</si>
  <si>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</si>
  <si>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</si>
  <si>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</si>
  <si>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</si>
  <si>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</si>
  <si>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</si>
  <si>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</si>
  <si>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</si>
  <si>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</si>
  <si>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</si>
  <si>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</si>
  <si>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</si>
  <si>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</si>
  <si>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</si>
  <si>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</si>
  <si>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</si>
  <si>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</si>
  <si>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</si>
  <si>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</si>
  <si>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</si>
  <si>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</si>
  <si>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</si>
  <si>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</si>
  <si>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</si>
  <si>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</si>
  <si>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</si>
  <si>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</si>
  <si>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</si>
  <si>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</si>
  <si>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</si>
  <si>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</si>
  <si>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</si>
  <si>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</si>
  <si>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</si>
  <si>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</si>
  <si>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</si>
  <si>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</si>
  <si>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</si>
  <si>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</si>
  <si>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</si>
  <si>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</si>
  <si>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</si>
  <si>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</si>
  <si>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</si>
  <si>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</si>
  <si>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</si>
  <si>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</si>
  <si>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</si>
  <si>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</si>
  <si>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</si>
  <si>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</si>
  <si>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</si>
  <si>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</si>
  <si>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</si>
  <si>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</si>
  <si>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</si>
  <si>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</si>
  <si>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</si>
  <si>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</si>
  <si>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</si>
  <si>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</si>
  <si>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</si>
  <si>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</si>
  <si>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</si>
  <si>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</si>
  <si>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</si>
  <si>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</si>
  <si>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</si>
  <si>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</si>
  <si>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</si>
  <si>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</si>
  <si>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</si>
  <si>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</si>
  <si>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</si>
  <si>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</si>
  <si>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</si>
  <si>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</si>
  <si>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</si>
  <si>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</si>
  <si>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</si>
  <si>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</si>
  <si>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</si>
  <si>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</si>
  <si>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</si>
  <si>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</si>
  <si>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</si>
  <si>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</si>
  <si>
    <t>demands~TFM_FILL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</si>
</sst>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169" fontId="18" fillId="0" borderId="0"/>
    <xf numFmtId="0" fontId="18" fillId="0" borderId="0"/>
    <xf numFmtId="0" fontId="38" fillId="0" borderId="0"/>
    <xf numFmtId="0" fontId="38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39" fillId="4" borderId="0" applyNumberFormat="0" applyBorder="0" applyAlignment="0" applyProtection="0"/>
    <xf numFmtId="0" fontId="4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5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6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7" fontId="1" fillId="0" borderId="0" xfId="44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43" fillId="0" borderId="10" xfId="0" applyFont="1" applyBorder="1" applyAlignment="1">
      <alignment horizontal="left"/>
    </xf>
    <xf numFmtId="0" fontId="46" fillId="0" borderId="10" xfId="0" applyFont="1" applyBorder="1"/>
    <xf numFmtId="3" fontId="43" fillId="0" borderId="10" xfId="0" applyNumberFormat="1" applyFont="1" applyBorder="1"/>
    <xf numFmtId="3" fontId="46" fillId="0" borderId="10" xfId="0" applyNumberFormat="1" applyFont="1" applyBorder="1"/>
    <xf numFmtId="0" fontId="46" fillId="0" borderId="0" xfId="0" applyFont="1"/>
    <xf numFmtId="3" fontId="43" fillId="0" borderId="0" xfId="0" applyNumberFormat="1" applyFont="1"/>
    <xf numFmtId="3" fontId="46" fillId="0" borderId="0" xfId="0" applyNumberFormat="1" applyFont="1"/>
    <xf numFmtId="0" fontId="43" fillId="0" borderId="0" xfId="0" applyFont="1" applyAlignment="1">
      <alignment horizontal="left"/>
    </xf>
    <xf numFmtId="0" fontId="43" fillId="0" borderId="16" xfId="0" applyFont="1" applyBorder="1" applyAlignment="1">
      <alignment horizontal="right" wrapText="1"/>
    </xf>
    <xf numFmtId="0" fontId="43" fillId="0" borderId="10" xfId="0" applyFont="1" applyBorder="1" applyAlignment="1">
      <alignment horizontal="right" wrapText="1"/>
    </xf>
    <xf numFmtId="0" fontId="43" fillId="0" borderId="16" xfId="0" applyFont="1" applyBorder="1" applyAlignment="1">
      <alignment horizontal="left" wrapText="1"/>
    </xf>
    <xf numFmtId="0" fontId="4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0" fillId="0" borderId="0" xfId="0" applyFont="1"/>
    <xf numFmtId="3" fontId="0" fillId="0" borderId="0" xfId="0" applyNumberFormat="1"/>
    <xf numFmtId="0" fontId="42" fillId="0" borderId="0" xfId="0" applyFont="1" applyAlignment="1">
      <alignment horizontal="left"/>
    </xf>
    <xf numFmtId="0" fontId="36" fillId="0" borderId="0" xfId="0" applyFont="1" applyAlignment="1">
      <alignment horizontal="center"/>
    </xf>
    <xf numFmtId="3" fontId="41" fillId="0" borderId="0" xfId="0" applyNumberFormat="1" applyFont="1"/>
    <xf numFmtId="0" fontId="36" fillId="0" borderId="0" xfId="0" applyFont="1" applyAlignment="1">
      <alignment horizontal="left"/>
    </xf>
    <xf numFmtId="1" fontId="0" fillId="0" borderId="0" xfId="45" applyNumberFormat="1" applyFont="1"/>
    <xf numFmtId="0" fontId="42" fillId="0" borderId="0" xfId="0" applyFont="1" applyAlignment="1">
      <alignment horizontal="center"/>
    </xf>
    <xf numFmtId="3" fontId="41" fillId="0" borderId="0" xfId="0" applyNumberFormat="1" applyFont="1" applyAlignment="1">
      <alignment horizontal="center"/>
    </xf>
    <xf numFmtId="167" fontId="0" fillId="0" borderId="0" xfId="44" applyNumberFormat="1" applyFont="1"/>
    <xf numFmtId="167" fontId="1" fillId="0" borderId="0" xfId="44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30" fillId="0" borderId="0" xfId="0" applyNumberFormat="1" applyFont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44" fillId="0" borderId="10" xfId="0" applyFont="1" applyBorder="1" applyAlignment="1">
      <alignment horizontal="right"/>
    </xf>
    <xf numFmtId="0" fontId="45" fillId="0" borderId="10" xfId="0" applyFont="1" applyBorder="1" applyAlignment="1">
      <alignment horizontal="right"/>
    </xf>
    <xf numFmtId="0" fontId="43" fillId="0" borderId="10" xfId="0" applyFont="1" applyBorder="1" applyAlignment="1">
      <alignment horizontal="left"/>
    </xf>
  </cellXfs>
  <cellStyles count="3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386" xr:uid="{D830B301-5277-47B8-AC62-A2236DA3F606}"/>
    <cellStyle name="60% - Accent2" xfId="25" builtinId="36" customBuiltin="1"/>
    <cellStyle name="60% - Accent2 2" xfId="385" xr:uid="{C5BD97ED-6965-4EAA-82F5-3FADC5205CA6}"/>
    <cellStyle name="60% - Accent3" xfId="29" builtinId="40" customBuiltin="1"/>
    <cellStyle name="60% - Accent3 2" xfId="384" xr:uid="{820BDD15-4235-4FCF-9A96-C324585E548E}"/>
    <cellStyle name="60% - Accent4" xfId="33" builtinId="44" customBuiltin="1"/>
    <cellStyle name="60% - Accent4 2" xfId="383" xr:uid="{22460992-2233-46B8-910B-05DE5D46E556}"/>
    <cellStyle name="60% - Accent5" xfId="37" builtinId="48" customBuiltin="1"/>
    <cellStyle name="60% - Accent5 2" xfId="382" xr:uid="{E8BA389F-481D-4B38-8DB8-7D99EEC1059F}"/>
    <cellStyle name="60% - Accent6" xfId="41" builtinId="52" customBuiltin="1"/>
    <cellStyle name="60% - Accent6 2" xfId="381" xr:uid="{0D3AB75A-FFA3-4F5D-BED1-1A97A02B972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6" xr:uid="{5414448D-F692-4024-8B67-1E4894B0860F}"/>
    <cellStyle name="Comma 3" xfId="389" xr:uid="{D18095AE-273D-463F-846E-BA926A2E8D7B}"/>
    <cellStyle name="Comma 4" xfId="390" xr:uid="{2B2B4460-C747-4926-97DA-403DE9F4F078}"/>
    <cellStyle name="Currency 2" xfId="47" xr:uid="{72C3F6C5-F667-4EB3-98FB-D12E35891C61}"/>
    <cellStyle name="Currency 2 2" xfId="48" xr:uid="{7FF64075-2978-42BA-A76B-C9A0B052F0B9}"/>
    <cellStyle name="Currency 3" xfId="49" xr:uid="{E4B8C4F3-63F5-44FD-B02C-E32952431EBE}"/>
    <cellStyle name="Currency 4" xfId="50" xr:uid="{FB2C2059-CC42-4331-83FA-8675F9B67FCE}"/>
    <cellStyle name="Currency 4 2" xfId="51" xr:uid="{203AD0E3-F674-4D71-8FEF-D1C2985BFE04}"/>
    <cellStyle name="Currency 4 3" xfId="52" xr:uid="{AF1AC895-FF85-41F7-B38A-E3867DDB99AD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387" xr:uid="{244D96BC-880A-4851-98F6-4DC0AFAF112E}"/>
    <cellStyle name="Normal" xfId="0" builtinId="0"/>
    <cellStyle name="Normal 10" xfId="53" xr:uid="{B510CAF6-8C45-40F3-A211-C3DA410E20D1}"/>
    <cellStyle name="Normal 10 2" xfId="54" xr:uid="{FBFE3814-9C7A-4E93-B6C1-2C99395590ED}"/>
    <cellStyle name="Normal 10 2 2" xfId="55" xr:uid="{E28C6A58-F684-4E87-BC7C-0252FB8EED91}"/>
    <cellStyle name="Normal 10 2_BOS Workings" xfId="56" xr:uid="{3D27F048-9F7E-4A11-AAE0-B50305914CF5}"/>
    <cellStyle name="Normal 10 3" xfId="57" xr:uid="{EFC20703-392C-4018-AA73-C54D51FD8A83}"/>
    <cellStyle name="Normal 10_BOS Workings" xfId="58" xr:uid="{8D7006E2-07D7-4E61-A9B7-21AEA0D8864B}"/>
    <cellStyle name="Normal 100" xfId="59" xr:uid="{E02A4010-60F0-49AE-9724-B5973A0336BE}"/>
    <cellStyle name="Normal 100 2" xfId="60" xr:uid="{5A02601A-425D-4B19-A5F6-FDEE0EB98E8E}"/>
    <cellStyle name="Normal 101" xfId="61" xr:uid="{D0953753-32EC-45C2-B023-D2E6BA0157B4}"/>
    <cellStyle name="Normal 101 2" xfId="62" xr:uid="{E88DDD6F-6168-4E75-BC19-7FF5FEEB1146}"/>
    <cellStyle name="Normal 102" xfId="63" xr:uid="{A93E7624-EFE0-4CFE-A8A4-45834454BB48}"/>
    <cellStyle name="Normal 102 2" xfId="64" xr:uid="{9F4ACC70-46C7-4B51-9A3D-FF982D6FEC41}"/>
    <cellStyle name="Normal 103" xfId="65" xr:uid="{EC54917D-4A7A-45FB-ABA2-C0482B9AAA9E}"/>
    <cellStyle name="Normal 103 2" xfId="66" xr:uid="{47F69859-0B99-4D5A-9341-E9E855DA32A6}"/>
    <cellStyle name="Normal 104" xfId="67" xr:uid="{FDB59ADB-6E1E-4D59-BC41-9A2B103E5531}"/>
    <cellStyle name="Normal 104 2" xfId="68" xr:uid="{3E59DE96-7B5C-4EAF-9EB0-B2E99A81A09E}"/>
    <cellStyle name="Normal 105" xfId="69" xr:uid="{A0F9DC1E-E201-4FD0-9DEE-A32E0E661447}"/>
    <cellStyle name="Normal 105 2" xfId="70" xr:uid="{C7F71AF2-798F-4C30-A8C2-BDCC7ADFCE33}"/>
    <cellStyle name="Normal 106" xfId="71" xr:uid="{0F5CCBC6-4A4E-4F2C-916B-E6BFD13F7C39}"/>
    <cellStyle name="Normal 106 2" xfId="72" xr:uid="{98F29E70-CD32-4BC1-B657-F684F855CB76}"/>
    <cellStyle name="Normal 107" xfId="73" xr:uid="{608A1E75-BA62-426A-B53B-E9A7909B3405}"/>
    <cellStyle name="Normal 107 2" xfId="74" xr:uid="{22383658-85E2-4CBE-808B-EC5F41ECAA32}"/>
    <cellStyle name="Normal 108" xfId="75" xr:uid="{35B591D1-28EB-4C88-A2AA-613267FAE87D}"/>
    <cellStyle name="Normal 108 2" xfId="76" xr:uid="{CD2E96EA-6F80-48F2-A24F-9331FCE7D077}"/>
    <cellStyle name="Normal 109" xfId="77" xr:uid="{6A6028FE-5AF2-4DBE-9C44-A9AECC28A74F}"/>
    <cellStyle name="Normal 11" xfId="78" xr:uid="{84C04C27-6B03-435C-A8D4-4C50BC4D7115}"/>
    <cellStyle name="Normal 11 2" xfId="79" xr:uid="{F93AF23E-D864-4410-AA0F-E34B8EFA7B67}"/>
    <cellStyle name="Normal 11 2 2" xfId="80" xr:uid="{149BF2F6-D50B-40EC-A5BD-C64953DB8009}"/>
    <cellStyle name="Normal 11 2_BOS Workings" xfId="81" xr:uid="{9B628FB9-0C1A-4A92-8312-D84694F80E44}"/>
    <cellStyle name="Normal 11 3" xfId="82" xr:uid="{7474841D-7E11-49D2-A1DB-788108A64CBA}"/>
    <cellStyle name="Normal 11_BOS Workings" xfId="83" xr:uid="{C24EA328-34C8-41FE-9CDF-AFABA1D4D943}"/>
    <cellStyle name="Normal 110" xfId="84" xr:uid="{34BCA3CF-CBB3-4194-9485-E2DA34F7A98D}"/>
    <cellStyle name="Normal 111" xfId="85" xr:uid="{88D410A5-ABF0-49B0-B36C-973809D64246}"/>
    <cellStyle name="Normal 112" xfId="86" xr:uid="{9125EC30-2694-48E9-9D14-7939C475C9CA}"/>
    <cellStyle name="Normal 113" xfId="87" xr:uid="{CB2E775B-4554-4150-AEE4-ED02A9391EDB}"/>
    <cellStyle name="Normal 114" xfId="88" xr:uid="{17FA6F80-78A0-443E-8A99-3CE7194B5F98}"/>
    <cellStyle name="Normal 115" xfId="89" xr:uid="{FC3693EB-63CA-4DB7-B254-D66F615A080F}"/>
    <cellStyle name="Normal 116" xfId="90" xr:uid="{D4305044-BC65-4BC7-9F56-E9863BE11995}"/>
    <cellStyle name="Normal 117" xfId="91" xr:uid="{5097CF1B-CC91-414B-84E1-42E278F52F3B}"/>
    <cellStyle name="Normal 118" xfId="92" xr:uid="{9F68F3F9-16A3-4A14-9F79-33CF3889B57A}"/>
    <cellStyle name="Normal 119" xfId="93" xr:uid="{71CA21D2-23F9-4014-A894-F42DB8E4B908}"/>
    <cellStyle name="Normal 12" xfId="94" xr:uid="{F0A931D0-3A28-44CF-BC30-3B7A15303F0B}"/>
    <cellStyle name="Normal 12 2" xfId="95" xr:uid="{E579F4A5-9D67-4925-BB5F-C2BEB297F8F9}"/>
    <cellStyle name="Normal 12 2 2" xfId="96" xr:uid="{74C95493-0F15-4173-9477-DD19AEE7ADC9}"/>
    <cellStyle name="Normal 12 2_BOS Workings" xfId="97" xr:uid="{60FE6423-F560-47B9-B4AB-0CEA6DCED8F7}"/>
    <cellStyle name="Normal 12 3" xfId="98" xr:uid="{C2FF4059-1DD0-481F-ACF0-528D4823BE79}"/>
    <cellStyle name="Normal 12_BOS Workings" xfId="99" xr:uid="{FEE32876-6351-4571-B84E-838D23AC0C11}"/>
    <cellStyle name="Normal 13" xfId="100" xr:uid="{8A7E91F5-6DF9-4856-996F-9146F509B61E}"/>
    <cellStyle name="Normal 13 2" xfId="101" xr:uid="{FAEE4F8D-BF40-43B0-8D1C-7904B09CE35E}"/>
    <cellStyle name="Normal 13 2 2" xfId="102" xr:uid="{66094DA7-2391-4A07-869C-BB8A99962544}"/>
    <cellStyle name="Normal 13 2_BOS Workings" xfId="103" xr:uid="{9F0983FA-45F1-4DFE-9DBE-C8FFB9ED448A}"/>
    <cellStyle name="Normal 13 3" xfId="104" xr:uid="{E9503951-8B13-411C-B72E-A68012B298CF}"/>
    <cellStyle name="Normal 13_BOS Workings" xfId="105" xr:uid="{134AC920-30A8-4AE0-8E59-CF61B5643984}"/>
    <cellStyle name="Normal 14" xfId="106" xr:uid="{ED181B3F-85EF-453A-AD98-F808F524CD7D}"/>
    <cellStyle name="Normal 14 2" xfId="107" xr:uid="{F3B4C1E4-4B9E-4305-B4EF-4B3F54BF3827}"/>
    <cellStyle name="Normal 14_BOS Workings" xfId="108" xr:uid="{704C6CD8-BE66-4BF8-ADB2-56E822A613E2}"/>
    <cellStyle name="Normal 15" xfId="109" xr:uid="{F747BF68-A6CB-44C4-AB9A-8FAB95751577}"/>
    <cellStyle name="Normal 15 2" xfId="110" xr:uid="{E90EABCD-0743-46A9-B26B-F52616174BC3}"/>
    <cellStyle name="Normal 15_BOS Workings" xfId="111" xr:uid="{DD5438BF-2359-4C7F-AF5A-BB874C29453F}"/>
    <cellStyle name="Normal 16" xfId="112" xr:uid="{79A7AA18-6CE4-4675-81F2-37C5FC8ACD34}"/>
    <cellStyle name="Normal 16 2" xfId="113" xr:uid="{FCA90849-2975-4918-B158-D8A9F34F82BF}"/>
    <cellStyle name="Normal 16_BOS Workings" xfId="114" xr:uid="{3EC97075-B523-403F-9BC5-17A5AC8C877E}"/>
    <cellStyle name="Normal 17" xfId="115" xr:uid="{EF5360A7-365B-402B-8897-4ED439EF3C76}"/>
    <cellStyle name="Normal 17 2" xfId="116" xr:uid="{0B6B818A-C3A0-4EDD-9161-678BB61DAE80}"/>
    <cellStyle name="Normal 17_BOS Workings" xfId="117" xr:uid="{649F0A8C-E479-4B28-B908-F820C76C49F4}"/>
    <cellStyle name="Normal 18" xfId="118" xr:uid="{254F91D2-2D15-4DD9-AEFE-9D36588116E8}"/>
    <cellStyle name="Normal 18 2" xfId="119" xr:uid="{35CBC47D-9359-4668-BA3F-EA2EE9E3C83A}"/>
    <cellStyle name="Normal 18_BOS Workings" xfId="120" xr:uid="{9ED30447-17F0-4D34-B19C-942A4EE58BE1}"/>
    <cellStyle name="Normal 19" xfId="121" xr:uid="{0B4CD040-684B-48EC-B9BC-6E192171AD8F}"/>
    <cellStyle name="Normal 19 2" xfId="122" xr:uid="{5DC082B6-6FC8-4DBE-8CF6-65E51D4B7814}"/>
    <cellStyle name="Normal 19_BOS Workings" xfId="123" xr:uid="{E54C7DA0-1E98-4647-8110-18A84565EE46}"/>
    <cellStyle name="Normal 2" xfId="43" xr:uid="{1BC6278B-D07D-4BD2-A7AC-63B564041BAA}"/>
    <cellStyle name="Normal 2 2" xfId="124" xr:uid="{48C16A86-6B38-4C7B-9EE6-655C50FEF109}"/>
    <cellStyle name="Normal 20" xfId="125" xr:uid="{C8545E98-3D23-4BA1-BEAB-DCDFD48453B0}"/>
    <cellStyle name="Normal 20 2" xfId="126" xr:uid="{D17E285E-11DF-43AC-BF25-FC3398F28CE2}"/>
    <cellStyle name="Normal 20_BOS Workings" xfId="127" xr:uid="{13BA996B-A325-47BE-B2E9-9C90DE6E2836}"/>
    <cellStyle name="Normal 21" xfId="128" xr:uid="{DA2A2736-DA73-4249-8655-9F9E3F212EE3}"/>
    <cellStyle name="Normal 21 2" xfId="129" xr:uid="{786440B5-3A47-47A6-9E4D-46B5B017A7AB}"/>
    <cellStyle name="Normal 21_BOS Workings" xfId="130" xr:uid="{FD98CD95-9A5A-404B-BD57-48BC89B708B2}"/>
    <cellStyle name="Normal 22" xfId="131" xr:uid="{B617928C-C635-487D-BFE0-9537906D389E}"/>
    <cellStyle name="Normal 22 2" xfId="132" xr:uid="{32A8EDC3-27AF-46DB-918F-ECF2FBD25F6C}"/>
    <cellStyle name="Normal 22_BOS Workings" xfId="133" xr:uid="{48ACD5D1-8A0F-474A-8C9D-457A41724631}"/>
    <cellStyle name="Normal 23" xfId="134" xr:uid="{E83C07A8-E677-44EC-A765-0FAE0096F056}"/>
    <cellStyle name="Normal 23 2" xfId="135" xr:uid="{39D1FE96-8F80-4CDD-BC0F-F446ECE60AFD}"/>
    <cellStyle name="Normal 23_BOS Workings" xfId="136" xr:uid="{978DAD8F-9E14-47EE-976F-A6D4681F1CA8}"/>
    <cellStyle name="Normal 24" xfId="137" xr:uid="{5B798036-4DE4-4083-AC02-7E2186C65A3F}"/>
    <cellStyle name="Normal 24 2" xfId="138" xr:uid="{E08FA322-9817-429E-8A72-911E22C0E706}"/>
    <cellStyle name="Normal 24_BOS Workings" xfId="139" xr:uid="{FA856B7E-BFB8-4A63-90A8-EBB6937821BA}"/>
    <cellStyle name="Normal 25" xfId="140" xr:uid="{F254442F-FCD5-4008-BB01-D5E26CDC4E40}"/>
    <cellStyle name="Normal 25 2" xfId="141" xr:uid="{DE0B8A32-3CD2-4A41-B6E1-C27D4595EA00}"/>
    <cellStyle name="Normal 25_BOS Workings" xfId="142" xr:uid="{99C70AE2-09C8-4F3F-9470-8031021048A7}"/>
    <cellStyle name="Normal 26" xfId="143" xr:uid="{F9C1C5EB-C61A-4451-9D61-9DE1818A32D6}"/>
    <cellStyle name="Normal 26 2" xfId="144" xr:uid="{C4C0B912-D1D8-46AE-B30F-5421C0BEA932}"/>
    <cellStyle name="Normal 26_BOS Workings" xfId="145" xr:uid="{75157835-ED67-40A9-B3DA-E685E57C45E3}"/>
    <cellStyle name="Normal 27" xfId="146" xr:uid="{F530BFE7-0342-4CF5-A72F-9E47C834E26B}"/>
    <cellStyle name="Normal 27 2" xfId="147" xr:uid="{A8AE7CAC-C421-425D-AA31-330E1799E2CD}"/>
    <cellStyle name="Normal 27_BOS Workings" xfId="148" xr:uid="{0064DBF0-3B84-4A6C-A4DC-6F754E663F2C}"/>
    <cellStyle name="Normal 28" xfId="149" xr:uid="{370A447F-025A-4B53-A8F3-C59E8853E4C5}"/>
    <cellStyle name="Normal 28 2" xfId="150" xr:uid="{69758922-3FCF-4532-B8BD-BF9701A609E7}"/>
    <cellStyle name="Normal 28_BOS Workings" xfId="151" xr:uid="{E9EBD99D-EDBF-44C9-87C0-2A43B0B60ED6}"/>
    <cellStyle name="Normal 29" xfId="152" xr:uid="{7B5403C9-8622-483D-9D38-858832D14716}"/>
    <cellStyle name="Normal 29 2" xfId="153" xr:uid="{126C5607-CF01-41B3-819E-7A205FD83AA9}"/>
    <cellStyle name="Normal 29_BOS Workings" xfId="154" xr:uid="{0701FDBF-1D8F-4831-B08E-B738DFF7619C}"/>
    <cellStyle name="Normal 3" xfId="155" xr:uid="{19D85BD1-19FF-4D27-A173-E29AF17AD14D}"/>
    <cellStyle name="Normal 3 2" xfId="156" xr:uid="{1603AA0D-64B3-4982-BF88-F1D2272BD497}"/>
    <cellStyle name="Normal 30" xfId="157" xr:uid="{77426AC6-0051-4147-A14F-BFB1A0E84F22}"/>
    <cellStyle name="Normal 30 2" xfId="158" xr:uid="{0707D275-C1C4-45F4-91B3-3680F8F2311C}"/>
    <cellStyle name="Normal 30_BOS Workings" xfId="159" xr:uid="{602F22EA-7F15-42CC-BCB2-315449A1F964}"/>
    <cellStyle name="Normal 31" xfId="160" xr:uid="{95961072-9EA4-47C9-808F-5AE96F59B6E7}"/>
    <cellStyle name="Normal 31 2" xfId="161" xr:uid="{8D855F8A-003F-470B-B098-940C1E70EFD2}"/>
    <cellStyle name="Normal 31_BOS Workings" xfId="162" xr:uid="{63C328DA-27A2-46F0-89CA-680F5B45C2C3}"/>
    <cellStyle name="Normal 32" xfId="163" xr:uid="{ABC947EF-9072-40E6-ADD1-798A6C76C394}"/>
    <cellStyle name="Normal 32 2" xfId="164" xr:uid="{9B2D375F-3441-4D39-986D-BF2DB1D9DF9F}"/>
    <cellStyle name="Normal 32_BOS Workings" xfId="165" xr:uid="{E2FA0C0C-BA33-462C-838F-8C90154450F3}"/>
    <cellStyle name="Normal 33" xfId="166" xr:uid="{A0086D1D-4786-4D17-A4CA-47D2B696116A}"/>
    <cellStyle name="Normal 33 2" xfId="167" xr:uid="{EB51A2A7-29C8-46FB-B121-756178D0F365}"/>
    <cellStyle name="Normal 33_BOS Workings" xfId="168" xr:uid="{1BEC3BFA-38EE-456F-9E1B-5EFC229BFA7E}"/>
    <cellStyle name="Normal 34" xfId="169" xr:uid="{C2AD1EEB-8DEA-4422-9A7D-CD2EEF62646F}"/>
    <cellStyle name="Normal 34 2" xfId="170" xr:uid="{BA4BF1D4-16E5-42C7-B76C-97FE75B89BB6}"/>
    <cellStyle name="Normal 34_BOS Workings" xfId="171" xr:uid="{6F4CE0EA-D8FB-4253-A71F-417511E28505}"/>
    <cellStyle name="Normal 35" xfId="172" xr:uid="{FAB84A67-47BD-4E1E-8648-EAC093CDCF3A}"/>
    <cellStyle name="Normal 35 2" xfId="173" xr:uid="{EF4FE843-BB71-44D9-9DD5-7A047AE6C126}"/>
    <cellStyle name="Normal 35_BOS Workings" xfId="174" xr:uid="{E1D2DAAC-C9CE-4109-87BC-BA20F5165D3D}"/>
    <cellStyle name="Normal 36" xfId="175" xr:uid="{BD412AD5-9BA8-43FE-A063-6328472E853F}"/>
    <cellStyle name="Normal 36 2" xfId="176" xr:uid="{B69C26B1-8592-4B27-8709-54518291E5DD}"/>
    <cellStyle name="Normal 36_BOS Workings" xfId="177" xr:uid="{F325E721-4857-44CF-8AA3-CB427EF304CB}"/>
    <cellStyle name="Normal 37" xfId="178" xr:uid="{5E215DA6-6095-4236-871D-15DB4A602DEE}"/>
    <cellStyle name="Normal 37 2" xfId="179" xr:uid="{E89093C4-87DE-4E68-8EF9-A8662EFC4EAB}"/>
    <cellStyle name="Normal 37_BOS Workings" xfId="180" xr:uid="{DFB34159-317D-4481-A81D-4989DEF0AC87}"/>
    <cellStyle name="Normal 38" xfId="181" xr:uid="{CADC6E70-7D5F-4684-8F91-366F53544189}"/>
    <cellStyle name="Normal 38 2" xfId="182" xr:uid="{A52808EB-4448-4E10-A97D-8528493761F2}"/>
    <cellStyle name="Normal 38_BOS Workings" xfId="183" xr:uid="{6D264A10-CF3D-43A3-8A6C-1C29DAACE287}"/>
    <cellStyle name="Normal 39" xfId="184" xr:uid="{171C97E6-74AC-4B75-9B1D-CD17B5D47CCE}"/>
    <cellStyle name="Normal 39 2" xfId="185" xr:uid="{E3C54C22-75BF-43CA-8160-D96FC3E6231F}"/>
    <cellStyle name="Normal 39_BOS Workings" xfId="186" xr:uid="{EF391509-1877-458D-82BA-459070A67E98}"/>
    <cellStyle name="Normal 4" xfId="187" xr:uid="{2128D829-1C32-41E5-AA27-A28A1F8C1686}"/>
    <cellStyle name="Normal 4 2" xfId="188" xr:uid="{20DAD194-DA71-475D-941A-F5246D395DA8}"/>
    <cellStyle name="Normal 4 3" xfId="189" xr:uid="{E8D65482-5C29-49B9-937A-6E7ABCE53923}"/>
    <cellStyle name="Normal 4_BOS Workings" xfId="190" xr:uid="{1D23734F-B253-4BEC-AE4E-357474828FD1}"/>
    <cellStyle name="Normal 40" xfId="191" xr:uid="{B0E14E2B-CB4A-4908-9A42-7EB81E904CB7}"/>
    <cellStyle name="Normal 40 2" xfId="192" xr:uid="{7FDF6C44-2FA3-4957-9F11-2D876E34F16F}"/>
    <cellStyle name="Normal 40_BOS Workings" xfId="193" xr:uid="{56695569-787E-4DF6-862D-EDB8FEF69162}"/>
    <cellStyle name="Normal 41" xfId="194" xr:uid="{08CE8768-2BD5-4FCB-B6A0-96BE7ACB3636}"/>
    <cellStyle name="Normal 41 2" xfId="195" xr:uid="{FC4FDC36-4ADC-472A-A3EB-AA9F948F5FA2}"/>
    <cellStyle name="Normal 41_BOS Workings" xfId="196" xr:uid="{121429A2-2938-4123-ABAA-F1B278A31D27}"/>
    <cellStyle name="Normal 42" xfId="197" xr:uid="{AC8F01E0-9877-4CE9-982A-6B1154D12398}"/>
    <cellStyle name="Normal 42 2" xfId="198" xr:uid="{3113F68F-1C4E-4E05-B9A7-CE33281367B8}"/>
    <cellStyle name="Normal 42_BOS Workings" xfId="199" xr:uid="{0F72523F-05A3-4DCB-BADC-790B545FA211}"/>
    <cellStyle name="Normal 43" xfId="200" xr:uid="{841848D6-452F-4B8A-9FA1-FAD567988DFD}"/>
    <cellStyle name="Normal 43 2" xfId="201" xr:uid="{C0DDBE36-543E-4217-B55F-D12399F81427}"/>
    <cellStyle name="Normal 43_BOS Workings" xfId="202" xr:uid="{714CEC86-9C6E-4DB3-8548-B0A70455DD49}"/>
    <cellStyle name="Normal 44" xfId="203" xr:uid="{CD71BA6F-1B98-46AE-866F-2233FEB8EF0E}"/>
    <cellStyle name="Normal 44 2" xfId="204" xr:uid="{731A2CF7-26B0-4F7B-B31F-96E878C71B2B}"/>
    <cellStyle name="Normal 44_BOS Workings" xfId="205" xr:uid="{09385C12-13F1-451F-A03B-620C7D58DC69}"/>
    <cellStyle name="Normal 45" xfId="206" xr:uid="{00A4695A-CF1E-4476-8EFE-42137783F263}"/>
    <cellStyle name="Normal 45 2" xfId="207" xr:uid="{76EC1B32-C2D4-4A8D-8296-AC4FA205AD12}"/>
    <cellStyle name="Normal 45_BOS Workings" xfId="208" xr:uid="{020F7366-C82B-4686-92F0-F3332F3C60D9}"/>
    <cellStyle name="Normal 46" xfId="209" xr:uid="{45F7467B-14FD-402B-BC60-749C959E2E5E}"/>
    <cellStyle name="Normal 46 2" xfId="210" xr:uid="{C3B9D76B-EDE7-4D46-BCD5-72C41DF36839}"/>
    <cellStyle name="Normal 46_BOS Workings" xfId="211" xr:uid="{AEC95B4A-51F5-4816-A5A2-CC847AD4292A}"/>
    <cellStyle name="Normal 47" xfId="212" xr:uid="{F313CFA4-DDFE-4AA1-9578-8A81BD811BE5}"/>
    <cellStyle name="Normal 47 2" xfId="213" xr:uid="{01166DAA-9FB5-4D96-8693-DEEB30C6DAEC}"/>
    <cellStyle name="Normal 47_BOS Workings" xfId="214" xr:uid="{55D38D24-5DE7-4AE5-B383-303F9DC1808E}"/>
    <cellStyle name="Normal 48" xfId="215" xr:uid="{F6CB7E44-67F4-4DB3-A4FC-0E5C750C4DEE}"/>
    <cellStyle name="Normal 48 2" xfId="216" xr:uid="{81093C0B-0DC2-402D-BB17-DE98E8076DD0}"/>
    <cellStyle name="Normal 48_BOS Workings" xfId="217" xr:uid="{DBEC0629-770B-4B2A-A068-8FD5B2DDA8E0}"/>
    <cellStyle name="Normal 49" xfId="218" xr:uid="{C95B74CB-4AA1-4F00-A0B0-E970F8A23A08}"/>
    <cellStyle name="Normal 49 2" xfId="219" xr:uid="{DD5DA84E-2F88-4E7A-A272-0EB5CABF82C2}"/>
    <cellStyle name="Normal 49_BOS Workings" xfId="220" xr:uid="{1A303CAC-1F05-4C90-87D5-CFDCD4068E00}"/>
    <cellStyle name="Normal 5" xfId="221" xr:uid="{8CEC1CFD-A7EA-4BC7-BCCB-DBE3A9454596}"/>
    <cellStyle name="Normal 5 2" xfId="222" xr:uid="{8EA60FEB-F6DC-4278-956E-3AB62BDE3A19}"/>
    <cellStyle name="Normal 5_BOS Workings" xfId="223" xr:uid="{8A833B7C-61DA-470F-AA43-925D3D5992F6}"/>
    <cellStyle name="Normal 50" xfId="224" xr:uid="{51F5263D-C939-4BDE-86D0-808DB3C9ADA2}"/>
    <cellStyle name="Normal 50 2" xfId="225" xr:uid="{EA0A4E9A-1E72-4AD6-B246-C9A14F8CA897}"/>
    <cellStyle name="Normal 50_BOS Workings" xfId="226" xr:uid="{F09C1B46-E9D5-497D-93AF-9CD98B4E2CF4}"/>
    <cellStyle name="Normal 51" xfId="227" xr:uid="{9B3A671B-D235-4F57-854E-82B62630C06A}"/>
    <cellStyle name="Normal 51 2" xfId="228" xr:uid="{C3A7D8A7-8E96-4BFD-81AE-0FAB7BAE833A}"/>
    <cellStyle name="Normal 51_BOS Workings" xfId="229" xr:uid="{778988A8-2E9A-4424-B511-FDA413A8A92C}"/>
    <cellStyle name="Normal 52" xfId="230" xr:uid="{0981FA73-559E-473F-9D60-EC247955073A}"/>
    <cellStyle name="Normal 52 2" xfId="231" xr:uid="{81461330-53E4-46A4-9335-B28CF6A82DE8}"/>
    <cellStyle name="Normal 52_BOS Workings" xfId="232" xr:uid="{10C117E7-8ADA-49FE-9468-78DF9718894F}"/>
    <cellStyle name="Normal 53" xfId="233" xr:uid="{79CE2110-C438-4049-88EE-EA8CDA44D856}"/>
    <cellStyle name="Normal 53 2" xfId="234" xr:uid="{B356FA09-5064-4658-B8DB-7413A835C140}"/>
    <cellStyle name="Normal 53_BOS Workings" xfId="235" xr:uid="{C46328F0-2BF1-4E78-BBFE-EEC7F2CCE35F}"/>
    <cellStyle name="Normal 54" xfId="236" xr:uid="{44A1C06F-BCFF-41B2-9642-8056BA0A5A45}"/>
    <cellStyle name="Normal 54 2" xfId="237" xr:uid="{40172F67-B87D-4A9D-A2FA-0424C600020D}"/>
    <cellStyle name="Normal 54_BOS Workings" xfId="238" xr:uid="{1619B726-FF8C-4190-AF7F-5BD8A55F01F0}"/>
    <cellStyle name="Normal 55" xfId="239" xr:uid="{ECDF5FD6-3DFD-47AB-8A43-F739BF499D3E}"/>
    <cellStyle name="Normal 55 2" xfId="240" xr:uid="{8319A158-88DA-432B-B2C4-4A85A4EA0786}"/>
    <cellStyle name="Normal 55_BOS Workings" xfId="241" xr:uid="{5E23B6B1-F981-4C63-97A7-0B4514FEC432}"/>
    <cellStyle name="Normal 56" xfId="242" xr:uid="{F1D49523-DA12-4DE7-AAA8-DE814E451E04}"/>
    <cellStyle name="Normal 56 2" xfId="243" xr:uid="{441CF38D-275C-4C28-BFEB-C9A9E28A2674}"/>
    <cellStyle name="Normal 56_BOS Workings" xfId="244" xr:uid="{5429FEDE-A738-4A53-A8B2-2F119404E64A}"/>
    <cellStyle name="Normal 57" xfId="245" xr:uid="{CA24AD9D-E70E-454D-AC5A-01DC4B73B4EC}"/>
    <cellStyle name="Normal 57 2" xfId="246" xr:uid="{EC58EF98-0D0D-4B1D-9721-D80B17C2D4AC}"/>
    <cellStyle name="Normal 57_BOS Workings" xfId="247" xr:uid="{9FAB9739-8999-459C-91F2-7634A134D4A0}"/>
    <cellStyle name="Normal 58" xfId="248" xr:uid="{898C0A05-E6B8-468D-A590-6F88BC2B1518}"/>
    <cellStyle name="Normal 58 2" xfId="249" xr:uid="{9CBE7045-F45D-45CF-AC54-DCF24D4666CA}"/>
    <cellStyle name="Normal 58_BOS Workings" xfId="250" xr:uid="{7ACB9EB3-3692-4B2C-A568-91811318FDE6}"/>
    <cellStyle name="Normal 59" xfId="251" xr:uid="{85254750-041C-40D3-8A02-286708734E50}"/>
    <cellStyle name="Normal 59 2" xfId="252" xr:uid="{1EC2F854-15FA-4B64-BB04-349D8240F4DA}"/>
    <cellStyle name="Normal 59_BOS Workings" xfId="253" xr:uid="{615C600F-887D-4E9C-879E-D1B3AFD2DBE7}"/>
    <cellStyle name="Normal 6" xfId="254" xr:uid="{87082FB5-871C-46F5-9737-EA2126FD5AB6}"/>
    <cellStyle name="Normal 6 2" xfId="255" xr:uid="{1FEEEB96-BE8D-4F1A-B7B2-654A6569AA44}"/>
    <cellStyle name="Normal 6_BOS Workings" xfId="256" xr:uid="{AB0D5880-3DC8-4D85-9FD5-AB45B44AB522}"/>
    <cellStyle name="Normal 60" xfId="257" xr:uid="{7F51DFDC-6707-4236-92F6-852473760AB0}"/>
    <cellStyle name="Normal 60 2" xfId="258" xr:uid="{3391C947-AA18-4BE7-BB64-5E63C6A1B4C3}"/>
    <cellStyle name="Normal 60_BOS Workings" xfId="259" xr:uid="{E4E6423D-9C9D-42B8-B929-BF738545110B}"/>
    <cellStyle name="Normal 61" xfId="260" xr:uid="{3E430B32-A89B-4957-AE3D-FD63121966A6}"/>
    <cellStyle name="Normal 61 2" xfId="261" xr:uid="{128797B6-8C9C-4936-B3ED-4775FB45E85D}"/>
    <cellStyle name="Normal 61_BOS Workings" xfId="262" xr:uid="{F31985C0-3401-4E6C-9038-6E3C3087A50E}"/>
    <cellStyle name="Normal 62" xfId="263" xr:uid="{CCF2E6C7-A075-4390-BED2-F05CD4DBD6D3}"/>
    <cellStyle name="Normal 62 2" xfId="264" xr:uid="{92F488CE-5FA3-46E3-8BAF-245EED05521D}"/>
    <cellStyle name="Normal 62_BOS Workings" xfId="265" xr:uid="{89E0D8C0-9AB9-4A37-9196-D03A87C3BD13}"/>
    <cellStyle name="Normal 63" xfId="266" xr:uid="{591F5E17-6F81-48D7-8302-4B50D9D0CBB8}"/>
    <cellStyle name="Normal 63 2" xfId="267" xr:uid="{83466622-4822-4A61-93F5-A302F60EA129}"/>
    <cellStyle name="Normal 63_BOS Workings" xfId="268" xr:uid="{CB7A82A3-BFD7-4116-88EC-AA962586CB62}"/>
    <cellStyle name="Normal 64" xfId="269" xr:uid="{8480DAD4-F688-44BA-BED0-97DED117D096}"/>
    <cellStyle name="Normal 64 2" xfId="270" xr:uid="{320B4342-B6B8-49C7-8521-5FBFE20492E4}"/>
    <cellStyle name="Normal 64_BOS Workings" xfId="271" xr:uid="{AE813725-8428-40E1-AF19-0C5631678F9F}"/>
    <cellStyle name="Normal 65" xfId="272" xr:uid="{DEE89E6B-4C69-4D2C-8C29-CB07417D5D58}"/>
    <cellStyle name="Normal 65 2" xfId="273" xr:uid="{E70C0301-AB78-4832-A3FE-D81E9D691254}"/>
    <cellStyle name="Normal 65_BOS Workings" xfId="274" xr:uid="{3A72D379-DAF6-4320-B61A-30C59EB7767F}"/>
    <cellStyle name="Normal 66" xfId="275" xr:uid="{02401BF9-8097-434A-9BC8-90D25835EBEC}"/>
    <cellStyle name="Normal 66 2" xfId="276" xr:uid="{41575A13-0ABA-495F-84EA-13BD2F410A06}"/>
    <cellStyle name="Normal 66_BOS Workings" xfId="277" xr:uid="{5510DD71-835E-4F61-9B9B-5E7EEF353123}"/>
    <cellStyle name="Normal 67" xfId="278" xr:uid="{4D1ABF33-4A66-404C-B85B-02653A02D608}"/>
    <cellStyle name="Normal 67 2" xfId="279" xr:uid="{41948249-5538-4FAF-B1E5-AB73CAA30A70}"/>
    <cellStyle name="Normal 67_BOS Workings" xfId="280" xr:uid="{589B647C-29D4-4177-8C1A-EBA3B1132AF2}"/>
    <cellStyle name="Normal 68" xfId="281" xr:uid="{FB42DEBA-5113-4936-80AB-C42D017F061F}"/>
    <cellStyle name="Normal 68 2" xfId="282" xr:uid="{7A6096A4-76BB-4E81-A050-27532820DE7A}"/>
    <cellStyle name="Normal 68_BOS Workings" xfId="283" xr:uid="{5CF7BEF0-60B8-4B3B-8576-82CEC7D37360}"/>
    <cellStyle name="Normal 69" xfId="284" xr:uid="{4B7404B9-F376-4334-A957-1FC13E4868C6}"/>
    <cellStyle name="Normal 69 2" xfId="285" xr:uid="{44986A0C-78B1-440F-AA55-DC5360A950C2}"/>
    <cellStyle name="Normal 69_BOS Workings" xfId="286" xr:uid="{F370EC6E-672E-4989-B397-CDCB707D5F74}"/>
    <cellStyle name="Normal 7" xfId="287" xr:uid="{05863D0B-C326-4EBD-9956-5E43874E00EE}"/>
    <cellStyle name="Normal 7 2" xfId="288" xr:uid="{A8CCE3E1-B448-4ABE-8348-BDC2C2D51821}"/>
    <cellStyle name="Normal 7_BOS Workings" xfId="289" xr:uid="{7499EE2C-20BC-4E2D-B37C-351334DF899B}"/>
    <cellStyle name="Normal 70" xfId="290" xr:uid="{5A75A60D-7913-41E8-9EE7-E14D7E542DC8}"/>
    <cellStyle name="Normal 70 2" xfId="291" xr:uid="{4FC39761-BDAB-4A76-B3DB-62B7A80F112A}"/>
    <cellStyle name="Normal 70_BOS Workings" xfId="292" xr:uid="{D75C082F-D957-4292-85EB-3923376623A6}"/>
    <cellStyle name="Normal 71" xfId="293" xr:uid="{E3F47F58-AB6B-4135-A174-E8C2EAE70993}"/>
    <cellStyle name="Normal 71 2" xfId="294" xr:uid="{8D68EE7C-D3C5-469B-B3E8-1CD384EA1D3F}"/>
    <cellStyle name="Normal 71_BOS Workings" xfId="295" xr:uid="{9C638217-1673-4BE3-8F6D-57AED693A0A5}"/>
    <cellStyle name="Normal 72" xfId="296" xr:uid="{5C2BE52F-F36E-4B26-816D-8786CE9C5A67}"/>
    <cellStyle name="Normal 72 2" xfId="297" xr:uid="{C0D15261-EADF-47A7-924D-A29AB89550FE}"/>
    <cellStyle name="Normal 72_BOS Workings" xfId="298" xr:uid="{BC969C93-F665-4E0F-AAF7-6095C8067FC8}"/>
    <cellStyle name="Normal 73" xfId="299" xr:uid="{F401EDBA-BE54-4B06-8714-073B95671F6D}"/>
    <cellStyle name="Normal 73 2" xfId="300" xr:uid="{6FCF8830-2739-4687-AF7E-37D27D6ACD4B}"/>
    <cellStyle name="Normal 73_BOS Workings" xfId="301" xr:uid="{F783A4F0-1986-4756-AB1D-DDF3FD9D46C8}"/>
    <cellStyle name="Normal 74" xfId="302" xr:uid="{55B23B08-7C4A-4CF8-8751-BCDEA4365B1F}"/>
    <cellStyle name="Normal 74 2" xfId="303" xr:uid="{F5B6AAD7-52CD-49FF-BF1E-AEA173E72EE9}"/>
    <cellStyle name="Normal 74_BOS Workings" xfId="304" xr:uid="{6342E5F6-3BC7-4CB7-8060-2B47FC4BA5D4}"/>
    <cellStyle name="Normal 75" xfId="305" xr:uid="{3B5C8D9C-B6AB-4953-9EDB-40A559350D94}"/>
    <cellStyle name="Normal 75 2" xfId="306" xr:uid="{29B015A9-552B-4258-A209-C76842F1C106}"/>
    <cellStyle name="Normal 75_BOS Workings" xfId="307" xr:uid="{F4919C21-3DC4-4ADF-AF00-F285D535E7D9}"/>
    <cellStyle name="Normal 76" xfId="308" xr:uid="{06525E2C-82DF-4A9E-AE13-A3AF6FB96793}"/>
    <cellStyle name="Normal 76 2" xfId="309" xr:uid="{35A7DD12-79A4-424C-8F97-9F5DC24E65E5}"/>
    <cellStyle name="Normal 76_BOS Workings" xfId="310" xr:uid="{239A16C3-B0B2-4F46-A84B-29456239EECA}"/>
    <cellStyle name="Normal 77" xfId="311" xr:uid="{D9A6F033-98D6-48DF-961E-061F2EA23A3E}"/>
    <cellStyle name="Normal 77 2" xfId="312" xr:uid="{D2DB866B-8B6F-4C9D-83AA-347292B43919}"/>
    <cellStyle name="Normal 77_BOS Workings" xfId="313" xr:uid="{3AE24659-6103-41D0-AF8D-521C6C67EA20}"/>
    <cellStyle name="Normal 78" xfId="314" xr:uid="{B5D7E579-A253-4266-B562-D747617D50CB}"/>
    <cellStyle name="Normal 78 2" xfId="315" xr:uid="{618A1EF6-FFDC-4723-868D-A6E44B6D38FA}"/>
    <cellStyle name="Normal 78_BOS Workings" xfId="316" xr:uid="{FCE0638E-C061-4444-AE44-7DB2C222F7CF}"/>
    <cellStyle name="Normal 79" xfId="317" xr:uid="{222281C2-1225-489B-861F-518F8546030C}"/>
    <cellStyle name="Normal 79 2" xfId="318" xr:uid="{662A9BA2-3DE8-4A37-A1B6-9E353135B705}"/>
    <cellStyle name="Normal 79_BOS Workings" xfId="319" xr:uid="{DBA7ADD6-27D3-4F78-AC49-FF5C6DB420A6}"/>
    <cellStyle name="Normal 8" xfId="320" xr:uid="{4BDEA0C1-FF96-49D6-9751-6CCD3142CD86}"/>
    <cellStyle name="Normal 8 2" xfId="321" xr:uid="{509706F1-0500-47B2-A38F-268BF67AB78A}"/>
    <cellStyle name="Normal 8_BOS Workings" xfId="322" xr:uid="{159700EE-C487-47E5-8111-B4ED394BCF12}"/>
    <cellStyle name="Normal 80" xfId="323" xr:uid="{F45EA9FF-885C-40D2-8DEA-6DEB08121CA4}"/>
    <cellStyle name="Normal 80 2" xfId="324" xr:uid="{2EEC394E-C13A-424F-BCC9-F6A391A0DF08}"/>
    <cellStyle name="Normal 80_BOS Workings" xfId="325" xr:uid="{4A41E0B7-F5D6-4BE7-88D7-A530120CAF0F}"/>
    <cellStyle name="Normal 81" xfId="326" xr:uid="{8FFE9943-D940-45B8-8FB7-BA5064791684}"/>
    <cellStyle name="Normal 81 2" xfId="327" xr:uid="{A99EF14A-C232-41B8-B246-40E3184980D6}"/>
    <cellStyle name="Normal 81_BOS Workings" xfId="328" xr:uid="{789D9448-33D2-4452-94E7-40BC5F8F825F}"/>
    <cellStyle name="Normal 82" xfId="329" xr:uid="{72AAA81C-6B29-4BA9-B41C-1789D2F57426}"/>
    <cellStyle name="Normal 82 2" xfId="330" xr:uid="{7FE2AF9F-5613-4D7C-9920-F3A6532C1662}"/>
    <cellStyle name="Normal 82_BOS Workings" xfId="331" xr:uid="{D694EA30-AFE2-4EC1-B453-272EC891377A}"/>
    <cellStyle name="Normal 83" xfId="332" xr:uid="{F442275E-4BD0-40CD-B3FA-941D362E3C55}"/>
    <cellStyle name="Normal 83 2" xfId="333" xr:uid="{9E22954C-8C60-4538-8708-FA7599B6DF9E}"/>
    <cellStyle name="Normal 83_BOS Workings" xfId="334" xr:uid="{AA64C6A1-8A09-40AB-B8CF-CCEAC9FEF306}"/>
    <cellStyle name="Normal 84" xfId="335" xr:uid="{155D77D4-2CA6-4C10-AD78-4F803BA05A1C}"/>
    <cellStyle name="Normal 84 2" xfId="336" xr:uid="{8067E116-8552-4009-A9F4-44D7E2AE102B}"/>
    <cellStyle name="Normal 84_BOS Workings" xfId="337" xr:uid="{76808B41-9133-49F5-A854-35E61DDF5396}"/>
    <cellStyle name="Normal 85" xfId="338" xr:uid="{B4B77764-58A8-492B-8824-8992BAAD25AA}"/>
    <cellStyle name="Normal 85 2" xfId="339" xr:uid="{71143C70-9853-474C-BB23-D9423C9C0434}"/>
    <cellStyle name="Normal 85_BOS Workings" xfId="340" xr:uid="{CA561B68-3766-4CF4-9119-D97817930596}"/>
    <cellStyle name="Normal 86" xfId="341" xr:uid="{78EC88EF-34AE-4EE1-990B-3AFFB7A176A1}"/>
    <cellStyle name="Normal 86 2" xfId="342" xr:uid="{DA1C1BF1-974F-4D39-B08B-AF44B2814DF6}"/>
    <cellStyle name="Normal 86_BOS Workings" xfId="343" xr:uid="{86E3BED4-1786-466A-B526-D1D30332D3F9}"/>
    <cellStyle name="Normal 87" xfId="344" xr:uid="{4C34D087-340B-455A-887E-F61AA1968700}"/>
    <cellStyle name="Normal 87 2" xfId="345" xr:uid="{97BDED62-CD99-4FAA-A807-C506F9DEFAEF}"/>
    <cellStyle name="Normal 87_BOS Workings" xfId="346" xr:uid="{14DE5B57-6CD6-461E-8425-36CE75DE3770}"/>
    <cellStyle name="Normal 88" xfId="347" xr:uid="{663D3527-8C68-4340-8C3A-E623E05073DD}"/>
    <cellStyle name="Normal 88 2" xfId="348" xr:uid="{FDBB8690-D98B-4426-9841-B19A748E8567}"/>
    <cellStyle name="Normal 88_BOS Workings" xfId="349" xr:uid="{9EB089DB-7974-4FB4-8FA0-69422C7466F1}"/>
    <cellStyle name="Normal 89" xfId="350" xr:uid="{56BDF934-3EFA-4011-AF30-158682DF7006}"/>
    <cellStyle name="Normal 89 2" xfId="351" xr:uid="{992FDDE0-27FB-4C52-8662-A2219DBA77FD}"/>
    <cellStyle name="Normal 89_BOS Workings" xfId="352" xr:uid="{23FE044C-171A-43BF-9E6F-838FE650A11D}"/>
    <cellStyle name="Normal 9" xfId="353" xr:uid="{CDD120C0-5522-4DFE-A905-4213BE710266}"/>
    <cellStyle name="Normal 9 2" xfId="354" xr:uid="{259C49A3-404D-419C-BA26-CB479F9102D8}"/>
    <cellStyle name="Normal 9 3" xfId="355" xr:uid="{9D2C18E6-7C37-4EA1-8502-0554EA2C1755}"/>
    <cellStyle name="Normal 9 3 2" xfId="356" xr:uid="{DDDA0CD9-3383-4093-B0A9-3955520DF97B}"/>
    <cellStyle name="Normal 9 3_BOS Workings" xfId="357" xr:uid="{C289A286-FEF9-444C-AF6D-AEBA9112914C}"/>
    <cellStyle name="Normal 90" xfId="358" xr:uid="{BD0697A4-87B6-46B9-A23C-465ADB1D94C8}"/>
    <cellStyle name="Normal 90 2" xfId="359" xr:uid="{9EE71D5C-B3D8-4283-8A2A-A6BA1247D1CD}"/>
    <cellStyle name="Normal 91" xfId="360" xr:uid="{D91330FE-77E0-4EE9-9300-78FF4B98EA4B}"/>
    <cellStyle name="Normal 91 2" xfId="361" xr:uid="{46EF4A3A-5249-4F86-8269-3E5DB22121D4}"/>
    <cellStyle name="Normal 92" xfId="362" xr:uid="{CF8D615C-B9A0-42B0-B230-FB1D603AA5D4}"/>
    <cellStyle name="Normal 92 2" xfId="363" xr:uid="{25003799-84BB-45B1-8477-3463DC3CE442}"/>
    <cellStyle name="Normal 93" xfId="364" xr:uid="{67A79ED4-19BD-4A49-8079-7EA480A123FE}"/>
    <cellStyle name="Normal 93 2" xfId="365" xr:uid="{8798FD81-F163-469E-80BB-5497DB134E50}"/>
    <cellStyle name="Normal 94" xfId="366" xr:uid="{90D81694-A35C-45CD-9AEA-E96E0E486A7D}"/>
    <cellStyle name="Normal 94 2" xfId="367" xr:uid="{8A4B8C45-B9E6-44C8-BF58-4833D03274A3}"/>
    <cellStyle name="Normal 95" xfId="368" xr:uid="{15FF1D53-2653-4C13-819D-97D1AF93043D}"/>
    <cellStyle name="Normal 95 2" xfId="369" xr:uid="{58CC110A-3C6F-42C2-9661-ECEC149D81A6}"/>
    <cellStyle name="Normal 95 3" xfId="370" xr:uid="{02653999-2D4E-4E94-B2C6-85B59956DF87}"/>
    <cellStyle name="Normal 96" xfId="371" xr:uid="{3A64AC3A-8A20-4D2F-9B38-BBED97275DB6}"/>
    <cellStyle name="Normal 96 2" xfId="372" xr:uid="{F8C52E76-33C4-4B28-979A-CE6004E53C10}"/>
    <cellStyle name="Normal 96 3" xfId="373" xr:uid="{6E5605B1-3B5C-4850-88A7-9D952604F924}"/>
    <cellStyle name="Normal 97" xfId="374" xr:uid="{DD2BE386-EDE2-43EC-8970-0E6503B4F67A}"/>
    <cellStyle name="Normal 97 2" xfId="375" xr:uid="{2DCB3606-A508-4FBC-81C8-1C2B6AF7F28F}"/>
    <cellStyle name="Normal 98" xfId="376" xr:uid="{55D6837F-C680-4602-BA66-7DCC48C1A5D0}"/>
    <cellStyle name="Normal 98 2" xfId="377" xr:uid="{A0823E03-7764-4617-BB70-AC61CE172F21}"/>
    <cellStyle name="Normal 99" xfId="378" xr:uid="{ABA9262B-6D00-4C0F-9C0F-B8ACAD61B7AB}"/>
    <cellStyle name="Normal 99 2" xfId="379" xr:uid="{7D1829E2-570F-4E0E-9BE9-8288038C3336}"/>
    <cellStyle name="Note" xfId="15" builtinId="10" customBuiltin="1"/>
    <cellStyle name="Output" xfId="10" builtinId="21" customBuiltin="1"/>
    <cellStyle name="Percent" xfId="44" builtinId="5"/>
    <cellStyle name="Percent 2" xfId="380" xr:uid="{1062CA59-DB90-44DE-910E-1ED814C92E07}"/>
    <cellStyle name="Title" xfId="1" builtinId="15" customBuiltin="1"/>
    <cellStyle name="Title 2" xfId="388" xr:uid="{765A0C5C-5535-4E3A-A979-CD2E1C5F9DC1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zoomScaleNormal="100" workbookViewId="0">
      <selection activeCell="B24" sqref="B24:D25"/>
    </sheetView>
  </sheetViews>
  <sheetFormatPr defaultColWidth="8.85546875" defaultRowHeight="15"/>
  <cols>
    <col min="1" max="4" width="21.5703125" customWidth="1"/>
    <col min="5" max="6" width="14.140625" customWidth="1"/>
    <col min="7" max="7" width="12.140625" customWidth="1"/>
    <col min="8" max="10" width="8.140625" customWidth="1"/>
    <col min="11" max="11" width="9.570312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83" t="s">
        <v>142</v>
      </c>
      <c r="B16" s="83"/>
      <c r="C16" s="83"/>
      <c r="D16" s="8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143</v>
      </c>
      <c r="B19" s="82" t="s">
        <v>154</v>
      </c>
      <c r="C19" s="82"/>
      <c r="D19" s="8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144</v>
      </c>
      <c r="B20" s="82" t="s">
        <v>155</v>
      </c>
      <c r="C20" s="82"/>
      <c r="D20" s="8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145</v>
      </c>
      <c r="B21" s="40" t="s">
        <v>156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146</v>
      </c>
      <c r="B23" s="82" t="s">
        <v>157</v>
      </c>
      <c r="C23" s="82"/>
      <c r="D23" s="8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82" t="s">
        <v>159</v>
      </c>
      <c r="C24" s="82"/>
      <c r="D24" s="8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158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147</v>
      </c>
      <c r="B26" s="82" t="s">
        <v>157</v>
      </c>
      <c r="C26" s="82"/>
      <c r="D26" s="8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82" t="s">
        <v>159</v>
      </c>
      <c r="C27" s="82"/>
      <c r="D27" s="8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 t="s">
        <v>158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148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149</v>
      </c>
      <c r="B30" s="84" t="s">
        <v>150</v>
      </c>
      <c r="C30" s="82"/>
      <c r="D30" s="8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151</v>
      </c>
      <c r="B31" s="82" t="s">
        <v>152</v>
      </c>
      <c r="C31" s="82"/>
      <c r="D31" s="8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153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tabSelected="1" zoomScaleNormal="100" workbookViewId="0">
      <selection activeCell="C5" sqref="C5"/>
    </sheetView>
  </sheetViews>
  <sheetFormatPr defaultColWidth="9.140625" defaultRowHeight="15"/>
  <cols>
    <col min="7" max="7" width="10.5703125" bestFit="1" customWidth="1"/>
    <col min="9" max="9" width="11.5703125" bestFit="1" customWidth="1"/>
  </cols>
  <sheetData>
    <row r="1" spans="3:37">
      <c r="K1" s="80"/>
      <c r="L1" s="80"/>
      <c r="M1" s="80"/>
      <c r="N1" s="80"/>
      <c r="O1" s="80"/>
      <c r="P1" s="80"/>
      <c r="Q1" s="80"/>
      <c r="R1" s="80"/>
      <c r="S1" s="80"/>
    </row>
    <row r="3" spans="3:37"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</row>
    <row r="4" spans="3:37">
      <c r="C4" s="14" t="s">
        <v>207</v>
      </c>
    </row>
    <row r="5" spans="3:37" ht="15.75" thickBot="1">
      <c r="C5" s="15" t="s">
        <v>123</v>
      </c>
      <c r="D5" s="16" t="s">
        <v>124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>
      <c r="C6" t="s">
        <v>125</v>
      </c>
      <c r="D6" s="19" t="s">
        <v>126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>
      <c r="C7" t="s">
        <v>125</v>
      </c>
      <c r="D7" s="19" t="s">
        <v>126</v>
      </c>
      <c r="G7" s="20" t="s">
        <v>6</v>
      </c>
      <c r="H7">
        <v>2018</v>
      </c>
      <c r="I7" t="s">
        <v>37</v>
      </c>
      <c r="J7" s="21">
        <v>31.276118540281001</v>
      </c>
      <c r="K7" s="21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>
      <c r="C8" t="s">
        <v>125</v>
      </c>
      <c r="D8" s="19" t="s">
        <v>126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>
      <c r="C9" t="s">
        <v>125</v>
      </c>
      <c r="D9" s="19" t="s">
        <v>126</v>
      </c>
      <c r="G9" s="20" t="s">
        <v>6</v>
      </c>
      <c r="H9">
        <v>2018</v>
      </c>
      <c r="I9" t="s">
        <v>41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>
      <c r="C10" t="s">
        <v>125</v>
      </c>
      <c r="D10" s="19" t="s">
        <v>126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>
      <c r="C11" t="s">
        <v>125</v>
      </c>
      <c r="D11" s="19" t="s">
        <v>126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>
      <c r="C12" t="s">
        <v>125</v>
      </c>
      <c r="D12" s="19" t="s">
        <v>126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>
      <c r="C13" t="s">
        <v>125</v>
      </c>
      <c r="D13" s="19" t="s">
        <v>126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>
      <c r="C14" t="s">
        <v>125</v>
      </c>
      <c r="D14" s="19" t="s">
        <v>126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>
      <c r="C15" t="s">
        <v>125</v>
      </c>
      <c r="D15" s="23" t="s">
        <v>126</v>
      </c>
      <c r="G15" s="20" t="s">
        <v>6</v>
      </c>
      <c r="H15">
        <v>2018</v>
      </c>
      <c r="I15" t="s">
        <v>127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>
      <c r="C16" t="s">
        <v>125</v>
      </c>
      <c r="D16" s="23" t="s">
        <v>126</v>
      </c>
      <c r="G16" s="20" t="s">
        <v>6</v>
      </c>
      <c r="H16">
        <v>2018</v>
      </c>
      <c r="I16" t="s">
        <v>128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>
      <c r="C17" t="s">
        <v>125</v>
      </c>
      <c r="D17" s="23" t="s">
        <v>126</v>
      </c>
      <c r="G17" s="20" t="s">
        <v>6</v>
      </c>
      <c r="H17">
        <v>2018</v>
      </c>
      <c r="I17" t="s">
        <v>129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>
      <c r="C18" t="s">
        <v>125</v>
      </c>
      <c r="D18" s="23" t="s">
        <v>126</v>
      </c>
      <c r="G18" s="20" t="s">
        <v>6</v>
      </c>
      <c r="H18">
        <v>2018</v>
      </c>
      <c r="I18" t="s">
        <v>130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>
      <c r="C19" t="s">
        <v>125</v>
      </c>
      <c r="D19" s="23" t="s">
        <v>126</v>
      </c>
      <c r="G19" s="20" t="s">
        <v>6</v>
      </c>
      <c r="H19">
        <v>2018</v>
      </c>
      <c r="I19" t="s">
        <v>131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>
      <c r="C20" t="s">
        <v>125</v>
      </c>
      <c r="D20" s="23" t="s">
        <v>126</v>
      </c>
      <c r="G20" s="20" t="s">
        <v>6</v>
      </c>
      <c r="H20">
        <v>2018</v>
      </c>
      <c r="I20" t="s">
        <v>132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>
      <c r="C21" t="s">
        <v>125</v>
      </c>
      <c r="D21" s="23" t="s">
        <v>126</v>
      </c>
      <c r="G21" s="20" t="s">
        <v>6</v>
      </c>
      <c r="H21">
        <v>2018</v>
      </c>
      <c r="I21" t="s">
        <v>133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>
      <c r="C22" t="s">
        <v>125</v>
      </c>
      <c r="D22" s="23" t="s">
        <v>126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>
      <c r="C23" t="s">
        <v>125</v>
      </c>
      <c r="D23" s="23" t="s">
        <v>126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>
      <c r="C24" t="s">
        <v>125</v>
      </c>
      <c r="D24" s="23" t="s">
        <v>126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>
      <c r="C25" t="s">
        <v>125</v>
      </c>
      <c r="D25" s="19" t="s">
        <v>126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>
      <c r="C26" t="s">
        <v>125</v>
      </c>
      <c r="D26" s="19" t="s">
        <v>126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>
      <c r="C27" t="s">
        <v>125</v>
      </c>
      <c r="D27" s="19" t="s">
        <v>126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>
      <c r="C28" t="s">
        <v>125</v>
      </c>
      <c r="D28" s="19" t="s">
        <v>126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>
      <c r="C29" t="s">
        <v>125</v>
      </c>
      <c r="D29" s="19" t="s">
        <v>126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>
      <c r="C30" t="s">
        <v>125</v>
      </c>
      <c r="D30" s="19" t="s">
        <v>126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>
      <c r="C31" t="s">
        <v>125</v>
      </c>
      <c r="D31" s="19" t="s">
        <v>126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>
      <c r="C32" t="s">
        <v>125</v>
      </c>
      <c r="D32" s="19" t="s">
        <v>126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>
      <c r="C33" t="s">
        <v>125</v>
      </c>
      <c r="D33" s="19" t="s">
        <v>126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>
      <c r="C34" t="s">
        <v>125</v>
      </c>
      <c r="D34" s="19" t="s">
        <v>126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>
      <c r="C35" t="s">
        <v>125</v>
      </c>
      <c r="D35" s="19" t="s">
        <v>126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>
      <c r="C36" t="s">
        <v>125</v>
      </c>
      <c r="D36" s="19" t="s">
        <v>126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>
      <c r="C37" t="s">
        <v>125</v>
      </c>
      <c r="D37" s="19" t="s">
        <v>126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>
      <c r="C38" t="s">
        <v>125</v>
      </c>
      <c r="D38" s="19" t="s">
        <v>126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>
      <c r="C39" t="s">
        <v>125</v>
      </c>
      <c r="D39" s="19" t="s">
        <v>126</v>
      </c>
      <c r="G39" s="20" t="s">
        <v>6</v>
      </c>
      <c r="H39">
        <v>2018</v>
      </c>
      <c r="I39" t="s">
        <v>134</v>
      </c>
      <c r="J39">
        <v>28.901664567933999</v>
      </c>
      <c r="K39">
        <v>28.901664567933999</v>
      </c>
    </row>
    <row r="40" spans="3:37">
      <c r="C40" t="s">
        <v>125</v>
      </c>
      <c r="D40" s="19" t="s">
        <v>126</v>
      </c>
      <c r="G40" s="20" t="s">
        <v>6</v>
      </c>
      <c r="H40">
        <v>2018</v>
      </c>
      <c r="I40" t="s">
        <v>136</v>
      </c>
      <c r="J40">
        <v>58.151541961987597</v>
      </c>
      <c r="K40">
        <v>58.151541961987597</v>
      </c>
    </row>
    <row r="41" spans="3:37">
      <c r="C41" t="s">
        <v>125</v>
      </c>
      <c r="D41" s="19" t="s">
        <v>126</v>
      </c>
      <c r="G41" s="20" t="s">
        <v>6</v>
      </c>
      <c r="H41">
        <v>2018</v>
      </c>
      <c r="I41" t="s">
        <v>138</v>
      </c>
      <c r="J41">
        <v>5.6291760000000002</v>
      </c>
      <c r="K41">
        <v>5.6291760000000002</v>
      </c>
    </row>
    <row r="42" spans="3:37">
      <c r="C42" t="s">
        <v>125</v>
      </c>
      <c r="D42" s="19" t="s">
        <v>126</v>
      </c>
      <c r="G42" s="20" t="s">
        <v>6</v>
      </c>
      <c r="H42">
        <v>2018</v>
      </c>
      <c r="I42" t="s">
        <v>140</v>
      </c>
      <c r="J42">
        <v>0.48</v>
      </c>
      <c r="K42">
        <v>0.48</v>
      </c>
    </row>
    <row r="47" spans="3:37">
      <c r="C47" s="87" t="s">
        <v>190</v>
      </c>
      <c r="D47" s="87"/>
      <c r="E47" s="87"/>
      <c r="F47" s="87"/>
      <c r="G47" s="87"/>
    </row>
    <row r="48" spans="3:37">
      <c r="C48" s="85"/>
      <c r="D48" s="86"/>
      <c r="E48" s="86"/>
      <c r="F48" s="66" t="s">
        <v>196</v>
      </c>
      <c r="G48" s="66" t="s">
        <v>191</v>
      </c>
    </row>
    <row r="49" spans="3:7" ht="45.75">
      <c r="C49" s="65" t="s">
        <v>120</v>
      </c>
      <c r="D49" s="64" t="s">
        <v>192</v>
      </c>
      <c r="E49" s="64" t="s">
        <v>193</v>
      </c>
      <c r="F49" s="63" t="s">
        <v>194</v>
      </c>
      <c r="G49" s="63" t="s">
        <v>195</v>
      </c>
    </row>
    <row r="50" spans="3:7">
      <c r="C50" s="62">
        <v>2015</v>
      </c>
      <c r="D50" s="61">
        <v>1236</v>
      </c>
      <c r="E50" s="61">
        <v>23364</v>
      </c>
      <c r="F50" s="60">
        <v>24600</v>
      </c>
      <c r="G50" s="59">
        <v>5</v>
      </c>
    </row>
    <row r="51" spans="3:7">
      <c r="C51" s="62">
        <v>2016</v>
      </c>
      <c r="D51" s="61">
        <v>1477</v>
      </c>
      <c r="E51" s="61">
        <v>23879</v>
      </c>
      <c r="F51" s="60">
        <v>25356</v>
      </c>
      <c r="G51" s="59">
        <v>6</v>
      </c>
    </row>
    <row r="52" spans="3:7">
      <c r="C52" s="62">
        <v>2017</v>
      </c>
      <c r="D52" s="61">
        <v>1755</v>
      </c>
      <c r="E52" s="61">
        <v>23970</v>
      </c>
      <c r="F52" s="60">
        <v>25725</v>
      </c>
      <c r="G52" s="59">
        <v>7</v>
      </c>
    </row>
    <row r="53" spans="3:7">
      <c r="C53" s="62">
        <v>2018</v>
      </c>
      <c r="D53" s="61">
        <v>2172</v>
      </c>
      <c r="E53" s="61">
        <v>24558</v>
      </c>
      <c r="F53" s="60">
        <v>26730</v>
      </c>
      <c r="G53" s="59">
        <v>8</v>
      </c>
    </row>
    <row r="54" spans="3:7">
      <c r="C54" s="62">
        <v>2019</v>
      </c>
      <c r="D54" s="61">
        <v>2478</v>
      </c>
      <c r="E54" s="61">
        <v>24027</v>
      </c>
      <c r="F54" s="60">
        <v>26505</v>
      </c>
      <c r="G54" s="59">
        <v>9</v>
      </c>
    </row>
    <row r="55" spans="3:7">
      <c r="C55" s="62">
        <v>2020</v>
      </c>
      <c r="D55" s="61">
        <v>3019</v>
      </c>
      <c r="E55" s="61">
        <v>24037</v>
      </c>
      <c r="F55" s="60">
        <v>27056</v>
      </c>
      <c r="G55" s="59">
        <v>11</v>
      </c>
    </row>
    <row r="56" spans="3:7">
      <c r="C56" s="62">
        <v>2021</v>
      </c>
      <c r="D56" s="61">
        <v>4001</v>
      </c>
      <c r="E56" s="61">
        <v>24505</v>
      </c>
      <c r="F56" s="60">
        <v>28506</v>
      </c>
      <c r="G56" s="59">
        <v>14</v>
      </c>
    </row>
    <row r="57" spans="3:7">
      <c r="C57" s="55">
        <v>2022</v>
      </c>
      <c r="D57" s="58">
        <v>5252</v>
      </c>
      <c r="E57" s="58">
        <v>24248</v>
      </c>
      <c r="F57" s="57">
        <v>29500</v>
      </c>
      <c r="G57" s="56">
        <v>18</v>
      </c>
    </row>
    <row r="59" spans="3:7" ht="23.25">
      <c r="D59" s="64" t="s">
        <v>192</v>
      </c>
      <c r="E59" s="7"/>
    </row>
    <row r="60" spans="3:7">
      <c r="C60" s="65" t="s">
        <v>120</v>
      </c>
      <c r="D60" s="7" t="s">
        <v>196</v>
      </c>
      <c r="E60" s="7" t="s">
        <v>197</v>
      </c>
    </row>
    <row r="61" spans="3:7">
      <c r="C61" s="62">
        <v>2015</v>
      </c>
      <c r="D61" s="61">
        <v>1236</v>
      </c>
      <c r="E61">
        <f>D61*3.6/1000</f>
        <v>4.4496000000000002</v>
      </c>
    </row>
    <row r="62" spans="3:7">
      <c r="C62" s="62">
        <v>2016</v>
      </c>
      <c r="D62" s="61">
        <v>1477</v>
      </c>
      <c r="E62">
        <f t="shared" ref="E62:E68" si="0">D62*3.6/1000</f>
        <v>5.3171999999999997</v>
      </c>
    </row>
    <row r="63" spans="3:7">
      <c r="C63" s="62">
        <v>2017</v>
      </c>
      <c r="D63" s="61">
        <v>1755</v>
      </c>
      <c r="E63">
        <f t="shared" si="0"/>
        <v>6.3179999999999996</v>
      </c>
    </row>
    <row r="64" spans="3:7">
      <c r="C64" s="62">
        <v>2018</v>
      </c>
      <c r="D64" s="61">
        <v>2172</v>
      </c>
      <c r="E64">
        <f t="shared" si="0"/>
        <v>7.8191999999999995</v>
      </c>
    </row>
    <row r="65" spans="3:5">
      <c r="C65" s="62">
        <v>2019</v>
      </c>
      <c r="D65" s="61">
        <v>2478</v>
      </c>
      <c r="E65">
        <f t="shared" si="0"/>
        <v>8.9208000000000016</v>
      </c>
    </row>
    <row r="66" spans="3:5">
      <c r="C66" s="62">
        <v>2020</v>
      </c>
      <c r="D66" s="61">
        <v>3019</v>
      </c>
      <c r="E66">
        <f t="shared" si="0"/>
        <v>10.868399999999999</v>
      </c>
    </row>
    <row r="67" spans="3:5">
      <c r="C67" s="62">
        <v>2021</v>
      </c>
      <c r="D67" s="61">
        <v>4001</v>
      </c>
      <c r="E67">
        <f t="shared" si="0"/>
        <v>14.403600000000001</v>
      </c>
    </row>
    <row r="68" spans="3:5">
      <c r="C68" s="55">
        <v>2022</v>
      </c>
      <c r="D68" s="58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G5" sqref="G5"/>
    </sheetView>
  </sheetViews>
  <sheetFormatPr defaultColWidth="9.140625" defaultRowHeight="15"/>
  <cols>
    <col min="4" max="4" width="11.140625" bestFit="1" customWidth="1"/>
    <col min="27" max="27" width="9.140625" customWidth="1"/>
  </cols>
  <sheetData>
    <row r="2" spans="2:32">
      <c r="B2" t="s">
        <v>122</v>
      </c>
    </row>
    <row r="3" spans="2:32" ht="15.75" thickBot="1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9.6967781632631034E-2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2:32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2:32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0.18765200109746491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3.751608431461146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0.6918907042393867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0.32099263006817702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0.253070456209397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0.12715927345419159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0.36463078993123582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0.60019161786235498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0.24845103628809037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0.2816165632952547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0.49013610169055211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0.43355119475869575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0.38157802341766073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1.6136426870306437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0.49405962904750567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0.58912608246486664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0.5370886502155372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0.35664411476869323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0.79712351809152404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0.1023047926741074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0.42689840051611727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0.22331483372914346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0.19688522782081255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0.21960566691928179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0.42599711220552716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0.20431423106705621</v>
      </c>
    </row>
    <row r="8" spans="2:32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0.4281051859203302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7.4970569144515755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1.5266393397429163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0.72503068170355622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0.54548782537081986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0.28103251825469916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0.75697575922886684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1.314196445859771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0.55694425763222521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0.62870507548787191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1.1150248990922638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0.9461972403513389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0.85815382556415754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3.4680689096499622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1.1350980216176756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1.2784124557570273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1.2399086106732087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0.78222984409125684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1.7513655444210192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0.22953783340304723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0.96996048857090478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0.52225663167738479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0.42605446366170485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0.46293887228506236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0.85257683009101481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0.46888493024269889</v>
      </c>
    </row>
    <row r="35" spans="4:32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0.26462461466044468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4.7141185104219758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0.95248217981894145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0.45865835749873168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0.34077953411525747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0.17547156231224728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0.47679989953731083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0.81080486853478084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0.34947111482435833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0.38729423435376215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0.68837291924200994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0.58945664634838435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0.52850800037599088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2.1550470364649983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0.71669195635369298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0.79393472483006544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0.7680767025648042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0.48369461214228199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1.0989465728709857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0.14177283699454885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0.60938600622778527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0.31941736087349271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0.26623669922173926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0.28473904991597071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0.52451011030564143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0.30298128893406279</v>
      </c>
    </row>
    <row r="62" spans="4:32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7.802149668403971E-2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8.0512210182964394E-2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8.2017408648725088E-2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0.22599031500621178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3.375345721529365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0.6125149632261806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0.39389922958435297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0.28055546156823258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0.13539019541044447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0.35479532287259152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0.54897188166619115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0.25824272806971854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0.29404711292503899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0.59431816804889992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0.39207134989702985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0.38581879207481934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2.0643411434502656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0.56167915087204912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0.63286984822534109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0.51809543863179275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0.48124063121897809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0.76844528151013125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0.10248308797783251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0.43280548045865835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0.19219916549686417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0.20959396987352588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0.24362600517411601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0.50912769134212654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0.19632464232328187</v>
      </c>
    </row>
    <row r="89" spans="4:32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zoomScaleNormal="100" workbookViewId="0">
      <selection activeCell="J35" sqref="J35"/>
    </sheetView>
  </sheetViews>
  <sheetFormatPr defaultRowHeight="15"/>
  <cols>
    <col min="2" max="2" width="9.5703125" customWidth="1"/>
    <col min="3" max="4" width="10.5703125" bestFit="1" customWidth="1"/>
    <col min="5" max="5" width="11.42578125" bestFit="1" customWidth="1"/>
    <col min="6" max="6" width="48.5703125" bestFit="1" customWidth="1"/>
    <col min="7" max="89" width="8.5703125" customWidth="1"/>
  </cols>
  <sheetData>
    <row r="1" spans="2:89">
      <c r="B1" t="s">
        <v>0</v>
      </c>
      <c r="C1" t="s">
        <v>1</v>
      </c>
      <c r="G1" s="24"/>
      <c r="H1" s="24"/>
      <c r="I1" s="24"/>
      <c r="J1" s="24"/>
    </row>
    <row r="2" spans="2:89" ht="15.7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5">
        <f>23.7380944118076*0.95</f>
        <v>22.551189691217221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5">
        <f>0.95*18.7523486820087</f>
        <v>17.814731247908266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5">
        <f>0.95*18.0956372085896</f>
        <v>17.19085534816012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5">
        <f>G17*'TRA-2021'!$C$13</f>
        <v>13.57251588540027</v>
      </c>
      <c r="K17" s="45">
        <f>G17*'TRA-2021'!$C$15</f>
        <v>14.05673907080137</v>
      </c>
      <c r="L17" s="45">
        <f>K17*'TRA-2021'!$C$16</f>
        <v>14.319533770324417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f>31.98425643</f>
        <v>31.984256429999999</v>
      </c>
      <c r="I18" s="46">
        <f>23.13677727</f>
        <v>23.13677727</v>
      </c>
      <c r="J18" s="45">
        <f>0.95*G18*'TRA-2021'!$C$13</f>
        <v>27.703716034013713</v>
      </c>
      <c r="K18" s="45">
        <f>G18*'TRA-2021'!$C$15</f>
        <v>30.202204674413409</v>
      </c>
      <c r="L18" s="45">
        <f>K18*'TRA-2021'!$C$16</f>
        <v>30.766843404802358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5">
        <f>0.9*27.52133693</f>
        <v>24.769203236999999</v>
      </c>
      <c r="I19" s="45">
        <f>0.9*19.90838974</f>
        <v>17.917550766000002</v>
      </c>
      <c r="J19" s="45">
        <f>I19*'TRA-2021'!$C$14</f>
        <v>18.200537756613475</v>
      </c>
      <c r="K19" s="45">
        <f>J19*'TRA-2021'!$C$17</f>
        <v>18.849873697196202</v>
      </c>
      <c r="L19" s="45">
        <f>K19*'TRA-2021'!$C$16</f>
        <v>19.20227739974424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10.702591</v>
      </c>
      <c r="H20" s="45">
        <f>0.85*(12444+72)/1000</f>
        <v>10.6386</v>
      </c>
      <c r="I20" s="45">
        <f>0.9*(11424+74)/1000</f>
        <v>10.3482</v>
      </c>
      <c r="J20" s="45">
        <f>0.85*(12493+70)/1000</f>
        <v>10.67855</v>
      </c>
      <c r="K20" s="45">
        <f>J20*'TRA-2021'!C16</f>
        <v>10.878188502532995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v>7.6814227047944605</v>
      </c>
      <c r="L21" s="46">
        <f t="shared" ref="L21:R21" si="0">K21-($H$21/11)</f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>
      <c r="C29" t="s">
        <v>6</v>
      </c>
      <c r="D29" t="str">
        <f>_xlfn.TEXTJOIN(",",TRUE,Regions!$C$3,Regions!$D$3)</f>
        <v>IE,National</v>
      </c>
      <c r="E29" t="s">
        <v>134</v>
      </c>
      <c r="F29" s="26" t="s">
        <v>135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31.598021694557701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>
      <c r="C30" t="s">
        <v>6</v>
      </c>
      <c r="D30" t="str">
        <f>_xlfn.TEXTJOIN(",",TRUE,Regions!$C$3,Regions!$D$3)</f>
        <v>IE,National</v>
      </c>
      <c r="E30" t="s">
        <v>136</v>
      </c>
      <c r="F30" s="26" t="s">
        <v>137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63.576742445676302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>
      <c r="C31" t="s">
        <v>6</v>
      </c>
      <c r="D31" t="str">
        <f>_xlfn.TEXTJOIN(",",TRUE,Regions!$C$3,Regions!$D$3)</f>
        <v>IE,National</v>
      </c>
      <c r="E31" t="s">
        <v>138</v>
      </c>
      <c r="F31" s="26" t="s">
        <v>139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'BY-Demands'!E68</f>
        <v>18.9072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43.896512000000001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>
      <c r="C32" t="s">
        <v>6</v>
      </c>
      <c r="D32" t="str">
        <f>_xlfn.TEXTJOIN(",",TRUE,Regions!$C$3,Regions!$D$3)</f>
        <v>IE,National</v>
      </c>
      <c r="E32" t="s">
        <v>140</v>
      </c>
      <c r="F32" s="26" t="s">
        <v>141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>
      <c r="C33" t="s">
        <v>6</v>
      </c>
      <c r="D33" t="s">
        <v>160</v>
      </c>
      <c r="E33" t="s">
        <v>127</v>
      </c>
      <c r="F33" t="s">
        <v>161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>
      <c r="C34" t="s">
        <v>6</v>
      </c>
      <c r="D34" t="s">
        <v>160</v>
      </c>
      <c r="E34" t="s">
        <v>128</v>
      </c>
      <c r="F34" t="s">
        <v>162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81">
        <f>$G34*SUM(K$26:K$28)/SUM($G$26:$G$28)</f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>
      <c r="C35" t="s">
        <v>6</v>
      </c>
      <c r="D35" t="s">
        <v>160</v>
      </c>
      <c r="E35" t="s">
        <v>129</v>
      </c>
      <c r="F35" t="s">
        <v>163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>
      <c r="C36" t="s">
        <v>6</v>
      </c>
      <c r="D36" t="s">
        <v>160</v>
      </c>
      <c r="E36" t="s">
        <v>130</v>
      </c>
      <c r="F36" t="s">
        <v>164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>
      <c r="C37" t="s">
        <v>6</v>
      </c>
      <c r="D37" t="s">
        <v>160</v>
      </c>
      <c r="E37" t="s">
        <v>131</v>
      </c>
      <c r="F37" t="s">
        <v>165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>
      <c r="C38" t="s">
        <v>6</v>
      </c>
      <c r="D38" t="s">
        <v>160</v>
      </c>
      <c r="E38" t="s">
        <v>132</v>
      </c>
      <c r="F38" t="s">
        <v>166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>
      <c r="C39" t="s">
        <v>6</v>
      </c>
      <c r="D39" t="s">
        <v>160</v>
      </c>
      <c r="E39" t="s">
        <v>133</v>
      </c>
      <c r="F39" t="s">
        <v>167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  <row r="43" spans="3:89">
      <c r="F43" t="s">
        <v>200</v>
      </c>
      <c r="G43" s="54">
        <v>44562</v>
      </c>
      <c r="H43" s="54">
        <v>44593</v>
      </c>
      <c r="I43" s="54">
        <v>44621</v>
      </c>
      <c r="J43" s="54">
        <v>44652</v>
      </c>
      <c r="K43" s="54">
        <v>44682</v>
      </c>
      <c r="L43" s="54">
        <v>44713</v>
      </c>
      <c r="M43" s="54">
        <v>44743</v>
      </c>
      <c r="N43" s="54">
        <v>44774</v>
      </c>
      <c r="O43" s="54">
        <v>44805</v>
      </c>
      <c r="P43" s="54">
        <v>44835</v>
      </c>
      <c r="Q43" s="54">
        <v>44866</v>
      </c>
      <c r="R43" s="54">
        <v>44896</v>
      </c>
      <c r="S43" t="s">
        <v>201</v>
      </c>
      <c r="T43" s="67" t="s">
        <v>197</v>
      </c>
    </row>
    <row r="44" spans="3:89">
      <c r="F44" t="s">
        <v>198</v>
      </c>
      <c r="G44" s="68">
        <v>2980</v>
      </c>
      <c r="H44" s="68">
        <v>2761</v>
      </c>
      <c r="I44" s="68">
        <v>2739</v>
      </c>
      <c r="J44" s="68">
        <v>2493</v>
      </c>
      <c r="K44" s="68">
        <v>2501</v>
      </c>
      <c r="L44" s="68">
        <v>2404</v>
      </c>
      <c r="M44" s="68">
        <v>2484</v>
      </c>
      <c r="N44" s="68">
        <v>2556</v>
      </c>
      <c r="O44" s="68">
        <v>2472</v>
      </c>
      <c r="P44" s="68">
        <v>2676</v>
      </c>
      <c r="Q44" s="68">
        <v>2847</v>
      </c>
      <c r="R44" s="68">
        <v>2964</v>
      </c>
      <c r="S44">
        <f>SUM(G44:R44)</f>
        <v>31877</v>
      </c>
      <c r="T44" s="53">
        <f>S44*3.6/1000</f>
        <v>114.7572</v>
      </c>
    </row>
    <row r="45" spans="3:89">
      <c r="F45" t="s">
        <v>199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3">
        <f>S45*3.6/1000</f>
        <v>0.90720000000000001</v>
      </c>
    </row>
    <row r="46" spans="3:89">
      <c r="F46" t="s">
        <v>204</v>
      </c>
    </row>
    <row r="47" spans="3:89">
      <c r="F47" t="s">
        <v>202</v>
      </c>
      <c r="G47">
        <v>129.69999999999999</v>
      </c>
    </row>
    <row r="48" spans="3:89">
      <c r="F48" t="s">
        <v>203</v>
      </c>
      <c r="G48" s="77">
        <f>1-(G47/T44)</f>
        <v>-0.13021230911873061</v>
      </c>
    </row>
    <row r="53" spans="6:7">
      <c r="G53" t="s">
        <v>205</v>
      </c>
    </row>
    <row r="54" spans="6:7" ht="15.75" thickBot="1">
      <c r="F54" s="47" t="s">
        <v>59</v>
      </c>
      <c r="G54" s="47">
        <v>2022</v>
      </c>
    </row>
    <row r="55" spans="6:7">
      <c r="F55" s="26" t="s">
        <v>8</v>
      </c>
      <c r="G55" s="46">
        <v>1.7028384806625201</v>
      </c>
    </row>
    <row r="56" spans="6:7">
      <c r="F56" s="26" t="s">
        <v>10</v>
      </c>
      <c r="G56" s="46">
        <v>23.738094411807602</v>
      </c>
    </row>
    <row r="57" spans="6:7">
      <c r="F57" s="26" t="s">
        <v>12</v>
      </c>
      <c r="G57" s="46">
        <v>1.5478463345837199</v>
      </c>
    </row>
    <row r="58" spans="6:7">
      <c r="F58" s="26" t="s">
        <v>14</v>
      </c>
      <c r="G58" s="46">
        <v>5.8166390635502099</v>
      </c>
    </row>
    <row r="59" spans="6:7">
      <c r="F59" s="26" t="s">
        <v>16</v>
      </c>
      <c r="G59" s="46">
        <v>1.19927927754182</v>
      </c>
    </row>
    <row r="60" spans="6:7">
      <c r="F60" s="26" t="s">
        <v>18</v>
      </c>
      <c r="G60" s="46">
        <v>10.6043548094603</v>
      </c>
    </row>
    <row r="61" spans="6:7">
      <c r="F61" s="26" t="s">
        <v>20</v>
      </c>
      <c r="G61" s="46">
        <v>1.0410295169864401</v>
      </c>
    </row>
    <row r="62" spans="6:7">
      <c r="F62" s="26" t="s">
        <v>22</v>
      </c>
      <c r="G62" s="46">
        <v>18.752348682008719</v>
      </c>
    </row>
    <row r="63" spans="6:7">
      <c r="F63" s="26" t="s">
        <v>24</v>
      </c>
      <c r="G63" s="46">
        <v>18.095637208589601</v>
      </c>
    </row>
    <row r="64" spans="6:7">
      <c r="F64" s="26" t="s">
        <v>26</v>
      </c>
      <c r="G64" s="46">
        <v>2.2584342466232901</v>
      </c>
    </row>
    <row r="65" spans="6:7">
      <c r="F65" s="26" t="s">
        <v>28</v>
      </c>
      <c r="G65" s="46">
        <v>6.2862087424890802</v>
      </c>
    </row>
    <row r="66" spans="6:7">
      <c r="F66" s="26" t="s">
        <v>30</v>
      </c>
      <c r="G66" s="46">
        <v>0.187409320968947</v>
      </c>
    </row>
    <row r="67" spans="6:7">
      <c r="F67" s="26" t="s">
        <v>32</v>
      </c>
      <c r="G67" s="46">
        <v>4.6924479738735299</v>
      </c>
    </row>
    <row r="68" spans="6:7">
      <c r="F68" s="26" t="s">
        <v>34</v>
      </c>
      <c r="G68" s="46">
        <v>3.6347440465271599</v>
      </c>
    </row>
    <row r="69" spans="6:7">
      <c r="F69" s="26" t="s">
        <v>36</v>
      </c>
      <c r="G69" s="45">
        <v>14.05673907080137</v>
      </c>
    </row>
    <row r="70" spans="6:7">
      <c r="F70" s="26" t="s">
        <v>38</v>
      </c>
      <c r="G70" s="45">
        <v>30.202204674413409</v>
      </c>
    </row>
    <row r="71" spans="6:7">
      <c r="F71" s="26" t="s">
        <v>40</v>
      </c>
      <c r="G71" s="45">
        <v>26.199972897443971</v>
      </c>
    </row>
    <row r="72" spans="6:7">
      <c r="F72" s="26" t="s">
        <v>42</v>
      </c>
      <c r="G72" s="45">
        <v>12.797868826509406</v>
      </c>
    </row>
    <row r="73" spans="6:7">
      <c r="F73" t="s">
        <v>44</v>
      </c>
      <c r="G73" s="46">
        <v>7.6814227047944605</v>
      </c>
    </row>
    <row r="74" spans="6:7">
      <c r="F74" t="s">
        <v>46</v>
      </c>
      <c r="G74" s="46">
        <v>4.6611834502685596</v>
      </c>
    </row>
    <row r="75" spans="6:7">
      <c r="F75" t="s">
        <v>48</v>
      </c>
      <c r="G75" s="46">
        <v>13.161374650000001</v>
      </c>
    </row>
    <row r="76" spans="6:7">
      <c r="F76" t="s">
        <v>50</v>
      </c>
      <c r="G76" s="46">
        <v>0.23</v>
      </c>
    </row>
    <row r="77" spans="6:7">
      <c r="F77" t="s">
        <v>52</v>
      </c>
      <c r="G77" s="46">
        <v>48.192396850000002</v>
      </c>
    </row>
    <row r="78" spans="6:7">
      <c r="F78" s="26" t="s">
        <v>54</v>
      </c>
      <c r="G78" s="46">
        <v>265.47273899323898</v>
      </c>
    </row>
    <row r="79" spans="6:7">
      <c r="F79" s="26" t="s">
        <v>56</v>
      </c>
      <c r="G79" s="46">
        <v>837.71211748108306</v>
      </c>
    </row>
    <row r="80" spans="6:7">
      <c r="F80" s="26" t="s">
        <v>58</v>
      </c>
      <c r="G80" s="46">
        <v>777.95194352567796</v>
      </c>
    </row>
    <row r="81" spans="6:7">
      <c r="F81" s="26" t="s">
        <v>135</v>
      </c>
      <c r="G81" s="46">
        <v>31.598021694557708</v>
      </c>
    </row>
    <row r="82" spans="6:7">
      <c r="F82" s="26" t="s">
        <v>137</v>
      </c>
      <c r="G82" s="46">
        <v>63.576742445676345</v>
      </c>
    </row>
    <row r="83" spans="6:7">
      <c r="F83" s="26" t="s">
        <v>139</v>
      </c>
      <c r="G83" s="45">
        <v>18.9072</v>
      </c>
    </row>
    <row r="84" spans="6:7">
      <c r="F84" s="26" t="s">
        <v>141</v>
      </c>
      <c r="G84" s="46"/>
    </row>
    <row r="85" spans="6:7">
      <c r="F85" t="s">
        <v>161</v>
      </c>
      <c r="G85" s="46">
        <v>1.2514826903039997</v>
      </c>
    </row>
    <row r="86" spans="6:7">
      <c r="F86" t="s">
        <v>162</v>
      </c>
      <c r="G86" s="46">
        <v>2.1688410728944572</v>
      </c>
    </row>
    <row r="87" spans="6:7">
      <c r="F87" t="s">
        <v>163</v>
      </c>
      <c r="G87" s="46">
        <v>0.855061326756</v>
      </c>
    </row>
    <row r="88" spans="6:7">
      <c r="F88" t="s">
        <v>164</v>
      </c>
      <c r="G88" s="46">
        <v>1.1400844778449895</v>
      </c>
    </row>
    <row r="89" spans="6:7">
      <c r="F89" t="s">
        <v>165</v>
      </c>
      <c r="G89" s="46">
        <v>0.92012420525760008</v>
      </c>
    </row>
    <row r="90" spans="6:7">
      <c r="F90" t="s">
        <v>166</v>
      </c>
      <c r="G90" s="46">
        <v>9.9915791233568569</v>
      </c>
    </row>
    <row r="91" spans="6:7">
      <c r="F91" t="s">
        <v>167</v>
      </c>
      <c r="G91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65</v>
      </c>
      <c r="B10" s="3" t="s">
        <v>66</v>
      </c>
    </row>
    <row r="11" spans="1:30">
      <c r="A11" s="4" t="s">
        <v>67</v>
      </c>
      <c r="B11" s="4" t="s">
        <v>68</v>
      </c>
    </row>
    <row r="12" spans="1:30">
      <c r="A12" s="5" t="s">
        <v>69</v>
      </c>
      <c r="B12" s="5" t="s">
        <v>70</v>
      </c>
    </row>
    <row r="13" spans="1:30">
      <c r="A13" s="5" t="s">
        <v>71</v>
      </c>
      <c r="B13" s="5" t="s">
        <v>72</v>
      </c>
    </row>
    <row r="14" spans="1:30">
      <c r="A14" s="5" t="s">
        <v>73</v>
      </c>
      <c r="B14" s="5" t="s">
        <v>74</v>
      </c>
    </row>
    <row r="15" spans="1:30">
      <c r="A15" s="5" t="s">
        <v>75</v>
      </c>
      <c r="B15" s="5" t="s">
        <v>76</v>
      </c>
    </row>
    <row r="16" spans="1:30">
      <c r="A16" s="5" t="s">
        <v>77</v>
      </c>
      <c r="B16" s="5" t="s">
        <v>78</v>
      </c>
    </row>
    <row r="17" spans="1:2">
      <c r="A17" s="5" t="s">
        <v>79</v>
      </c>
      <c r="B17" s="5" t="s">
        <v>80</v>
      </c>
    </row>
    <row r="18" spans="1:2">
      <c r="A18" s="5" t="s">
        <v>81</v>
      </c>
      <c r="B18" s="5" t="s">
        <v>82</v>
      </c>
    </row>
    <row r="19" spans="1:2">
      <c r="A19" s="5" t="s">
        <v>83</v>
      </c>
      <c r="B19" s="5" t="s">
        <v>84</v>
      </c>
    </row>
    <row r="20" spans="1:2">
      <c r="A20" s="5" t="s">
        <v>85</v>
      </c>
      <c r="B20" s="5" t="s">
        <v>86</v>
      </c>
    </row>
    <row r="21" spans="1:2">
      <c r="A21" s="5" t="s">
        <v>87</v>
      </c>
      <c r="B21" s="5" t="s">
        <v>88</v>
      </c>
    </row>
    <row r="22" spans="1:2">
      <c r="A22" s="5" t="s">
        <v>89</v>
      </c>
      <c r="B22" s="5" t="s">
        <v>90</v>
      </c>
    </row>
    <row r="23" spans="1:2">
      <c r="A23" s="5" t="s">
        <v>91</v>
      </c>
      <c r="B23" s="5" t="s">
        <v>92</v>
      </c>
    </row>
    <row r="24" spans="1:2">
      <c r="A24" s="5" t="s">
        <v>93</v>
      </c>
      <c r="B24" s="5" t="s">
        <v>94</v>
      </c>
    </row>
    <row r="25" spans="1:2">
      <c r="A25" s="5" t="s">
        <v>95</v>
      </c>
      <c r="B25" s="5" t="s">
        <v>96</v>
      </c>
    </row>
    <row r="26" spans="1:2">
      <c r="A26" s="5" t="s">
        <v>97</v>
      </c>
      <c r="B26" s="5" t="s">
        <v>98</v>
      </c>
    </row>
    <row r="27" spans="1:2">
      <c r="A27" s="5" t="s">
        <v>99</v>
      </c>
      <c r="B27" s="5" t="s">
        <v>100</v>
      </c>
    </row>
    <row r="28" spans="1:2">
      <c r="A28" s="5" t="s">
        <v>101</v>
      </c>
      <c r="B28" s="5" t="s">
        <v>102</v>
      </c>
    </row>
    <row r="29" spans="1:2">
      <c r="A29" s="5" t="s">
        <v>103</v>
      </c>
      <c r="B29" s="5" t="s">
        <v>104</v>
      </c>
    </row>
    <row r="30" spans="1:2">
      <c r="A30" s="5" t="s">
        <v>105</v>
      </c>
      <c r="B30" s="5" t="s">
        <v>106</v>
      </c>
    </row>
    <row r="31" spans="1:2">
      <c r="A31" s="5" t="s">
        <v>107</v>
      </c>
      <c r="B31" s="5" t="s">
        <v>108</v>
      </c>
    </row>
    <row r="32" spans="1:2">
      <c r="A32" s="5" t="s">
        <v>109</v>
      </c>
      <c r="B32" s="5" t="s">
        <v>110</v>
      </c>
    </row>
    <row r="33" spans="1:2">
      <c r="A33" s="5" t="s">
        <v>111</v>
      </c>
      <c r="B33" s="5" t="s">
        <v>112</v>
      </c>
    </row>
    <row r="34" spans="1:2">
      <c r="A34" s="5" t="s">
        <v>113</v>
      </c>
      <c r="B34" s="5" t="s">
        <v>114</v>
      </c>
    </row>
    <row r="35" spans="1:2">
      <c r="A35" s="5" t="s">
        <v>115</v>
      </c>
      <c r="B35" s="5" t="s">
        <v>116</v>
      </c>
    </row>
    <row r="36" spans="1:2">
      <c r="A36" s="5" t="s">
        <v>117</v>
      </c>
      <c r="B36" s="5" t="s">
        <v>118</v>
      </c>
    </row>
    <row r="37" spans="1:2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>
      <selection activeCell="C17" sqref="C17"/>
    </sheetView>
  </sheetViews>
  <sheetFormatPr defaultRowHeight="15"/>
  <cols>
    <col min="2" max="2" width="10.42578125" customWidth="1"/>
    <col min="3" max="3" width="13.42578125" customWidth="1"/>
    <col min="4" max="4" width="10.5703125" bestFit="1" customWidth="1"/>
    <col min="13" max="13" width="12.42578125" bestFit="1" customWidth="1"/>
  </cols>
  <sheetData>
    <row r="2" spans="2:14">
      <c r="B2" s="48" t="s">
        <v>168</v>
      </c>
      <c r="C2" s="7"/>
      <c r="D2" s="7"/>
    </row>
    <row r="3" spans="2:14">
      <c r="B3" s="49">
        <v>2018</v>
      </c>
      <c r="C3" s="74" t="s">
        <v>169</v>
      </c>
    </row>
    <row r="4" spans="2:14">
      <c r="B4" s="49">
        <v>2019</v>
      </c>
      <c r="C4" s="74" t="s">
        <v>170</v>
      </c>
      <c r="L4" s="73" t="s">
        <v>185</v>
      </c>
      <c r="M4" s="72"/>
    </row>
    <row r="5" spans="2:14">
      <c r="B5" s="49">
        <v>2020</v>
      </c>
      <c r="C5" s="74" t="s">
        <v>171</v>
      </c>
      <c r="M5" s="71">
        <v>2023</v>
      </c>
    </row>
    <row r="6" spans="2:14">
      <c r="B6" s="49">
        <v>2021</v>
      </c>
      <c r="C6" s="74">
        <v>6229365131.5</v>
      </c>
      <c r="L6" s="75" t="s">
        <v>178</v>
      </c>
      <c r="M6" s="76">
        <v>518201145</v>
      </c>
    </row>
    <row r="7" spans="2:14">
      <c r="B7" s="49">
        <v>2022</v>
      </c>
      <c r="C7" s="74">
        <v>6451608601.5</v>
      </c>
      <c r="L7" s="75" t="s">
        <v>179</v>
      </c>
      <c r="M7" s="76">
        <v>556859570</v>
      </c>
    </row>
    <row r="8" spans="2:14">
      <c r="B8" s="50">
        <v>2023</v>
      </c>
      <c r="C8" s="7"/>
      <c r="D8" s="7"/>
      <c r="L8" s="75" t="s">
        <v>180</v>
      </c>
      <c r="M8" s="76">
        <v>588864700</v>
      </c>
    </row>
    <row r="9" spans="2:14">
      <c r="B9" s="49" t="s">
        <v>172</v>
      </c>
      <c r="L9" s="75" t="s">
        <v>181</v>
      </c>
      <c r="M9" s="76">
        <v>524796709</v>
      </c>
    </row>
    <row r="10" spans="2:14">
      <c r="L10" s="75" t="s">
        <v>182</v>
      </c>
      <c r="M10" s="76">
        <v>579783045</v>
      </c>
    </row>
    <row r="11" spans="2:14">
      <c r="B11" s="48" t="s">
        <v>173</v>
      </c>
      <c r="C11" s="7"/>
      <c r="D11" s="7"/>
      <c r="L11" s="75" t="s">
        <v>183</v>
      </c>
      <c r="M11" s="76">
        <v>471189517</v>
      </c>
    </row>
    <row r="12" spans="2:14">
      <c r="C12" s="51" t="s">
        <v>174</v>
      </c>
      <c r="L12" s="75" t="s">
        <v>184</v>
      </c>
      <c r="M12" s="76">
        <v>486002182</v>
      </c>
    </row>
    <row r="13" spans="2:14">
      <c r="B13" t="s">
        <v>175</v>
      </c>
      <c r="C13" s="52">
        <f>C6/C3</f>
        <v>0.93239851083296788</v>
      </c>
    </row>
    <row r="14" spans="2:14">
      <c r="B14" t="s">
        <v>176</v>
      </c>
      <c r="C14" s="78">
        <f>C6/C5</f>
        <v>1.0157938433834641</v>
      </c>
      <c r="L14" s="70" t="s">
        <v>186</v>
      </c>
    </row>
    <row r="15" spans="2:14">
      <c r="B15" t="s">
        <v>188</v>
      </c>
      <c r="C15" s="52">
        <f>C7/C3</f>
        <v>0.96566345454649427</v>
      </c>
      <c r="L15">
        <v>2023</v>
      </c>
      <c r="M15" s="69">
        <f>SUM(M6:M12)</f>
        <v>3725696868</v>
      </c>
      <c r="N15" t="s">
        <v>187</v>
      </c>
    </row>
    <row r="16" spans="2:14">
      <c r="B16" t="s">
        <v>189</v>
      </c>
      <c r="C16" s="52">
        <f>1+N16</f>
        <v>1.0186952818999766</v>
      </c>
      <c r="L16">
        <v>2022</v>
      </c>
      <c r="M16" s="69">
        <v>3657322198.5</v>
      </c>
      <c r="N16" s="77">
        <f>(M15-M16)/M16</f>
        <v>1.8695281899976688E-2</v>
      </c>
    </row>
    <row r="17" spans="2:14">
      <c r="B17" t="s">
        <v>206</v>
      </c>
      <c r="C17" s="52">
        <f>C7/C6</f>
        <v>1.0356767447899597</v>
      </c>
      <c r="L17">
        <v>2021</v>
      </c>
      <c r="M17" s="69">
        <v>3460486912</v>
      </c>
      <c r="N17" s="77">
        <f>(M15-M17)/M17</f>
        <v>7.6639491130663179E-2</v>
      </c>
    </row>
    <row r="19" spans="2:14">
      <c r="B19" t="s">
        <v>177</v>
      </c>
    </row>
    <row r="20" spans="2:14">
      <c r="C20">
        <v>2018</v>
      </c>
      <c r="D20">
        <v>2021</v>
      </c>
    </row>
    <row r="21" spans="2:14">
      <c r="B21" t="s">
        <v>35</v>
      </c>
      <c r="C21" s="53">
        <v>14.5565610923972</v>
      </c>
      <c r="D21" s="53">
        <v>15.490769824884</v>
      </c>
    </row>
    <row r="22" spans="2:14">
      <c r="B22" t="s">
        <v>37</v>
      </c>
      <c r="C22" s="53">
        <v>31.276118540281001</v>
      </c>
      <c r="D22" s="53">
        <v>33.305155123500498</v>
      </c>
    </row>
    <row r="23" spans="2:14">
      <c r="B23" t="s">
        <v>39</v>
      </c>
      <c r="C23" s="53">
        <v>27.131577542973599</v>
      </c>
      <c r="D23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DEMANDS</vt:lpstr>
      <vt:lpstr>Regions</vt:lpstr>
      <vt:lpstr>TRA-2021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2021-02-23T14:14:01Z</dcterms:created>
  <dcterms:modified xsi:type="dcterms:W3CDTF">2023-11-30T11:33:01Z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749717175960540</vt:r8>
  </property>
</Properties>
</file>