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117D6B7C-DD4F-4721-9281-11DBB8AD22F6}" xr6:coauthVersionLast="47" xr6:coauthVersionMax="47" xr10:uidLastSave="{00000000-0000-0000-0000-000000000000}"/>
  <bookViews>
    <workbookView xWindow="-110" yWindow="-110" windowWidth="25820" windowHeight="15500" firstSheet="6" activeTab="6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8" i="31" l="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AI119" i="15"/>
  <c r="AI120" i="15"/>
  <c r="AI121" i="15"/>
  <c r="AI122" i="15"/>
  <c r="AI123" i="15"/>
  <c r="AI124" i="15"/>
  <c r="AI125" i="15"/>
  <c r="AI126" i="15"/>
  <c r="AI127" i="15"/>
  <c r="AI128" i="15"/>
  <c r="AI129" i="15"/>
  <c r="AI118" i="15"/>
  <c r="V129" i="15"/>
  <c r="U129" i="15"/>
  <c r="S129" i="15"/>
  <c r="H129" i="15"/>
  <c r="AH129" i="15" s="1"/>
  <c r="AH128" i="15"/>
  <c r="AG128" i="15"/>
  <c r="AF128" i="15"/>
  <c r="AE128" i="15"/>
  <c r="AD128" i="15"/>
  <c r="Y128" i="15"/>
  <c r="V128" i="15"/>
  <c r="U128" i="15"/>
  <c r="T128" i="15"/>
  <c r="S128" i="15"/>
  <c r="R128" i="15"/>
  <c r="Q128" i="15"/>
  <c r="P128" i="15"/>
  <c r="O128" i="15"/>
  <c r="N128" i="15"/>
  <c r="I128" i="15"/>
  <c r="H128" i="15"/>
  <c r="AC128" i="15" s="1"/>
  <c r="AG127" i="15"/>
  <c r="AF127" i="15"/>
  <c r="AE127" i="15"/>
  <c r="AD127" i="15"/>
  <c r="AC127" i="15"/>
  <c r="AB127" i="15"/>
  <c r="AA127" i="15"/>
  <c r="Z127" i="15"/>
  <c r="Y127" i="15"/>
  <c r="T127" i="15"/>
  <c r="S127" i="15"/>
  <c r="Q127" i="15"/>
  <c r="P127" i="15"/>
  <c r="O127" i="15"/>
  <c r="N127" i="15"/>
  <c r="M127" i="15"/>
  <c r="L127" i="15"/>
  <c r="K127" i="15"/>
  <c r="J127" i="15"/>
  <c r="I127" i="15"/>
  <c r="H127" i="15"/>
  <c r="X127" i="15" s="1"/>
  <c r="AE126" i="15"/>
  <c r="Z126" i="15"/>
  <c r="Y126" i="15"/>
  <c r="W126" i="15"/>
  <c r="V126" i="15"/>
  <c r="U126" i="15"/>
  <c r="T126" i="15"/>
  <c r="O126" i="15"/>
  <c r="J126" i="15"/>
  <c r="I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H122" i="15"/>
  <c r="AG122" i="15"/>
  <c r="AF122" i="15"/>
  <c r="AE122" i="15"/>
  <c r="AD122" i="15"/>
  <c r="Y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D121" i="15"/>
  <c r="AC121" i="15"/>
  <c r="AB121" i="15"/>
  <c r="AA121" i="15"/>
  <c r="Z121" i="15"/>
  <c r="Y121" i="15"/>
  <c r="T121" i="15"/>
  <c r="S121" i="15"/>
  <c r="Q121" i="15"/>
  <c r="P121" i="15"/>
  <c r="O121" i="15"/>
  <c r="N121" i="15"/>
  <c r="M121" i="15"/>
  <c r="L121" i="15"/>
  <c r="K121" i="15"/>
  <c r="J121" i="15"/>
  <c r="I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E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AH107" i="15"/>
  <c r="AG107" i="15"/>
  <c r="AF107" i="15"/>
  <c r="AE107" i="15"/>
  <c r="AD107" i="15"/>
  <c r="AC107" i="15"/>
  <c r="AB107" i="15"/>
  <c r="AA107" i="15"/>
  <c r="Z107" i="15"/>
  <c r="Y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X107" i="15" s="1"/>
  <c r="H106" i="15"/>
  <c r="AH105" i="15"/>
  <c r="AG105" i="15"/>
  <c r="AF105" i="15"/>
  <c r="AA105" i="15"/>
  <c r="W105" i="15"/>
  <c r="V105" i="15"/>
  <c r="U105" i="15"/>
  <c r="T105" i="15"/>
  <c r="S105" i="15"/>
  <c r="R105" i="15"/>
  <c r="Q105" i="15"/>
  <c r="P105" i="15"/>
  <c r="K105" i="15"/>
  <c r="H105" i="15"/>
  <c r="AE105" i="15" s="1"/>
  <c r="AH104" i="15"/>
  <c r="AG104" i="15"/>
  <c r="AF104" i="15"/>
  <c r="AE104" i="15"/>
  <c r="AD104" i="15"/>
  <c r="AC104" i="15"/>
  <c r="AB104" i="15"/>
  <c r="AA104" i="15"/>
  <c r="V104" i="15"/>
  <c r="U104" i="15"/>
  <c r="S104" i="15"/>
  <c r="R104" i="15"/>
  <c r="Q104" i="15"/>
  <c r="P104" i="15"/>
  <c r="O104" i="15"/>
  <c r="N104" i="15"/>
  <c r="M104" i="15"/>
  <c r="L104" i="15"/>
  <c r="K104" i="15"/>
  <c r="H104" i="15"/>
  <c r="Z104" i="15" s="1"/>
  <c r="H103" i="15"/>
  <c r="AG102" i="15"/>
  <c r="V102" i="15"/>
  <c r="T102" i="15"/>
  <c r="S102" i="15"/>
  <c r="Q102" i="15"/>
  <c r="H102" i="15"/>
  <c r="AF102" i="15" s="1"/>
  <c r="AH101" i="15"/>
  <c r="AG101" i="15"/>
  <c r="AF101" i="15"/>
  <c r="AE101" i="15"/>
  <c r="AD101" i="15"/>
  <c r="AC101" i="15"/>
  <c r="AB101" i="15"/>
  <c r="W101" i="15"/>
  <c r="V101" i="15"/>
  <c r="T101" i="15"/>
  <c r="S101" i="15"/>
  <c r="R101" i="15"/>
  <c r="Q101" i="15"/>
  <c r="P101" i="15"/>
  <c r="O101" i="15"/>
  <c r="N101" i="15"/>
  <c r="M101" i="15"/>
  <c r="L101" i="15"/>
  <c r="H101" i="15"/>
  <c r="AA101" i="15" s="1"/>
  <c r="AD100" i="15"/>
  <c r="AB100" i="15"/>
  <c r="Z100" i="15"/>
  <c r="Y100" i="15"/>
  <c r="W100" i="15"/>
  <c r="N100" i="15"/>
  <c r="L100" i="15"/>
  <c r="J100" i="15"/>
  <c r="I100" i="15"/>
  <c r="H100" i="15"/>
  <c r="V100" i="15" s="1"/>
  <c r="AH99" i="15"/>
  <c r="Y99" i="15"/>
  <c r="W99" i="15"/>
  <c r="U99" i="15"/>
  <c r="T99" i="15"/>
  <c r="S99" i="15"/>
  <c r="R99" i="15"/>
  <c r="I99" i="15"/>
  <c r="H99" i="15"/>
  <c r="AG99" i="15" s="1"/>
  <c r="AH98" i="15"/>
  <c r="AF98" i="15"/>
  <c r="AE98" i="15"/>
  <c r="AD98" i="15"/>
  <c r="AC98" i="15"/>
  <c r="T98" i="15"/>
  <c r="R98" i="15"/>
  <c r="P98" i="15"/>
  <c r="O98" i="15"/>
  <c r="N98" i="15"/>
  <c r="M98" i="15"/>
  <c r="H98" i="15"/>
  <c r="AB98" i="15" s="1"/>
  <c r="AE97" i="15"/>
  <c r="Z97" i="15"/>
  <c r="X97" i="15"/>
  <c r="O97" i="15"/>
  <c r="K97" i="15"/>
  <c r="H97" i="15"/>
  <c r="Z82" i="15"/>
  <c r="X82" i="15"/>
  <c r="V82" i="15"/>
  <c r="U82" i="15"/>
  <c r="T82" i="15"/>
  <c r="S82" i="15"/>
  <c r="H82" i="15"/>
  <c r="AH81" i="15"/>
  <c r="AG81" i="15"/>
  <c r="AF81" i="15"/>
  <c r="AE81" i="15"/>
  <c r="AD81" i="15"/>
  <c r="Y81" i="15"/>
  <c r="V81" i="15"/>
  <c r="U81" i="15"/>
  <c r="T81" i="15"/>
  <c r="S81" i="15"/>
  <c r="R81" i="15"/>
  <c r="Q81" i="15"/>
  <c r="P81" i="15"/>
  <c r="O81" i="15"/>
  <c r="N81" i="15"/>
  <c r="I81" i="15"/>
  <c r="H81" i="15"/>
  <c r="AC81" i="15" s="1"/>
  <c r="AG80" i="15"/>
  <c r="AF80" i="15"/>
  <c r="AE80" i="15"/>
  <c r="AD80" i="15"/>
  <c r="AC80" i="15"/>
  <c r="AB80" i="15"/>
  <c r="AA80" i="15"/>
  <c r="Z80" i="15"/>
  <c r="Y80" i="15"/>
  <c r="T80" i="15"/>
  <c r="S80" i="15"/>
  <c r="Q80" i="15"/>
  <c r="P80" i="15"/>
  <c r="O80" i="15"/>
  <c r="N80" i="15"/>
  <c r="M80" i="15"/>
  <c r="L80" i="15"/>
  <c r="K80" i="15"/>
  <c r="J80" i="15"/>
  <c r="I80" i="15"/>
  <c r="H80" i="15"/>
  <c r="X80" i="15" s="1"/>
  <c r="AE79" i="15"/>
  <c r="AA79" i="15"/>
  <c r="Z79" i="15"/>
  <c r="Y79" i="15"/>
  <c r="W79" i="15"/>
  <c r="V79" i="15"/>
  <c r="U79" i="15"/>
  <c r="T79" i="15"/>
  <c r="O79" i="15"/>
  <c r="K79" i="15"/>
  <c r="J79" i="15"/>
  <c r="I79" i="15"/>
  <c r="H79" i="15"/>
  <c r="S79" i="15" s="1"/>
  <c r="AH78" i="15"/>
  <c r="AG78" i="15"/>
  <c r="AF78" i="15"/>
  <c r="AE78" i="15"/>
  <c r="Z78" i="15"/>
  <c r="V78" i="15"/>
  <c r="U78" i="15"/>
  <c r="T78" i="15"/>
  <c r="R78" i="15"/>
  <c r="Q78" i="15"/>
  <c r="P78" i="15"/>
  <c r="O78" i="15"/>
  <c r="J78" i="15"/>
  <c r="H78" i="15"/>
  <c r="AD78" i="15" s="1"/>
  <c r="AG77" i="15"/>
  <c r="AF77" i="15"/>
  <c r="AE77" i="15"/>
  <c r="AC77" i="15"/>
  <c r="AB77" i="15"/>
  <c r="AA77" i="15"/>
  <c r="Z77" i="15"/>
  <c r="U77" i="15"/>
  <c r="S77" i="15"/>
  <c r="Q77" i="15"/>
  <c r="P77" i="15"/>
  <c r="O77" i="15"/>
  <c r="M77" i="15"/>
  <c r="L77" i="15"/>
  <c r="K77" i="15"/>
  <c r="J77" i="15"/>
  <c r="H77" i="15"/>
  <c r="Y77" i="15" s="1"/>
  <c r="H76" i="15"/>
  <c r="AF76" i="15" s="1"/>
  <c r="AH75" i="15"/>
  <c r="AG75" i="15"/>
  <c r="AF75" i="15"/>
  <c r="AD75" i="15"/>
  <c r="AA75" i="15"/>
  <c r="Y75" i="15"/>
  <c r="W75" i="15"/>
  <c r="V75" i="15"/>
  <c r="U75" i="15"/>
  <c r="S75" i="15"/>
  <c r="R75" i="15"/>
  <c r="Q75" i="15"/>
  <c r="P75" i="15"/>
  <c r="N75" i="15"/>
  <c r="K75" i="15"/>
  <c r="I75" i="15"/>
  <c r="H75" i="15"/>
  <c r="AE75" i="15" s="1"/>
  <c r="AH74" i="15"/>
  <c r="AG74" i="15"/>
  <c r="AF74" i="15"/>
  <c r="AD74" i="15"/>
  <c r="AC74" i="15"/>
  <c r="AB74" i="15"/>
  <c r="AA74" i="15"/>
  <c r="Y74" i="15"/>
  <c r="V74" i="15"/>
  <c r="T74" i="15"/>
  <c r="S74" i="15"/>
  <c r="R74" i="15"/>
  <c r="Q74" i="15"/>
  <c r="P74" i="15"/>
  <c r="N74" i="15"/>
  <c r="M74" i="15"/>
  <c r="L74" i="15"/>
  <c r="K74" i="15"/>
  <c r="I74" i="15"/>
  <c r="H74" i="15"/>
  <c r="Z74" i="15" s="1"/>
  <c r="H73" i="15"/>
  <c r="AB73" i="15" s="1"/>
  <c r="AH72" i="15"/>
  <c r="AG72" i="15"/>
  <c r="AE72" i="15"/>
  <c r="Z72" i="15"/>
  <c r="Y72" i="15"/>
  <c r="X72" i="15"/>
  <c r="W72" i="15"/>
  <c r="V72" i="15"/>
  <c r="T72" i="15"/>
  <c r="S72" i="15"/>
  <c r="R72" i="15"/>
  <c r="Q72" i="15"/>
  <c r="O72" i="15"/>
  <c r="N72" i="15"/>
  <c r="L72" i="15"/>
  <c r="J72" i="15"/>
  <c r="H72" i="15"/>
  <c r="U72" i="15" s="1"/>
  <c r="AH58" i="15"/>
  <c r="AG58" i="15"/>
  <c r="AF58" i="15"/>
  <c r="AE58" i="15"/>
  <c r="AD58" i="15"/>
  <c r="AC58" i="15"/>
  <c r="AB58" i="15"/>
  <c r="Z58" i="15"/>
  <c r="Y58" i="15"/>
  <c r="W58" i="15"/>
  <c r="U58" i="15"/>
  <c r="T58" i="15"/>
  <c r="S58" i="15"/>
  <c r="R58" i="15"/>
  <c r="Q58" i="15"/>
  <c r="P58" i="15"/>
  <c r="O58" i="15"/>
  <c r="N58" i="15"/>
  <c r="M58" i="15"/>
  <c r="L58" i="15"/>
  <c r="J58" i="15"/>
  <c r="I58" i="15"/>
  <c r="H58" i="15"/>
  <c r="AA58" i="15" s="1"/>
  <c r="AD57" i="15"/>
  <c r="AC57" i="15"/>
  <c r="AB57" i="15"/>
  <c r="W57" i="15"/>
  <c r="R57" i="15"/>
  <c r="K57" i="15"/>
  <c r="J57" i="15"/>
  <c r="I57" i="15"/>
  <c r="H57" i="15"/>
  <c r="AC56" i="15"/>
  <c r="Y56" i="15"/>
  <c r="T56" i="15"/>
  <c r="S56" i="15"/>
  <c r="R56" i="15"/>
  <c r="P56" i="15"/>
  <c r="O56" i="15"/>
  <c r="I56" i="15"/>
  <c r="H56" i="15"/>
  <c r="Z56" i="15" s="1"/>
  <c r="AG55" i="15"/>
  <c r="AA55" i="15"/>
  <c r="Z55" i="15"/>
  <c r="X55" i="15"/>
  <c r="V55" i="15"/>
  <c r="U55" i="15"/>
  <c r="R55" i="15"/>
  <c r="Q55" i="15"/>
  <c r="P55" i="15"/>
  <c r="N55" i="15"/>
  <c r="H55" i="15"/>
  <c r="AG54" i="15"/>
  <c r="AF54" i="15"/>
  <c r="AE54" i="15"/>
  <c r="AD54" i="15"/>
  <c r="AC54" i="15"/>
  <c r="Z54" i="15"/>
  <c r="Y54" i="15"/>
  <c r="X54" i="15"/>
  <c r="U54" i="15"/>
  <c r="P54" i="15"/>
  <c r="O54" i="15"/>
  <c r="N54" i="15"/>
  <c r="M54" i="15"/>
  <c r="L54" i="15"/>
  <c r="K54" i="15"/>
  <c r="J54" i="15"/>
  <c r="H54" i="15"/>
  <c r="V54" i="15" s="1"/>
  <c r="H53" i="15"/>
  <c r="Z53" i="15" s="1"/>
  <c r="AH52" i="15"/>
  <c r="AG52" i="15"/>
  <c r="AF52" i="15"/>
  <c r="AE52" i="15"/>
  <c r="AD52" i="15"/>
  <c r="AB52" i="15"/>
  <c r="AA52" i="15"/>
  <c r="Y52" i="15"/>
  <c r="W52" i="15"/>
  <c r="V52" i="15"/>
  <c r="U52" i="15"/>
  <c r="T52" i="15"/>
  <c r="S52" i="15"/>
  <c r="R52" i="15"/>
  <c r="Q52" i="15"/>
  <c r="P52" i="15"/>
  <c r="O52" i="15"/>
  <c r="N52" i="15"/>
  <c r="L52" i="15"/>
  <c r="K52" i="15"/>
  <c r="I52" i="15"/>
  <c r="H52" i="15"/>
  <c r="AC52" i="15" s="1"/>
  <c r="AH51" i="15"/>
  <c r="AG51" i="15"/>
  <c r="AF51" i="15"/>
  <c r="AE51" i="15"/>
  <c r="AD51" i="15"/>
  <c r="AC51" i="15"/>
  <c r="AB51" i="15"/>
  <c r="AA51" i="15"/>
  <c r="Z51" i="15"/>
  <c r="Y51" i="15"/>
  <c r="W51" i="15"/>
  <c r="V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X51" i="15" s="1"/>
  <c r="H50" i="15"/>
  <c r="X50" i="15" s="1"/>
  <c r="AH49" i="15"/>
  <c r="AE49" i="15"/>
  <c r="AD49" i="15"/>
  <c r="AC49" i="15"/>
  <c r="Z49" i="15"/>
  <c r="W49" i="15"/>
  <c r="V49" i="15"/>
  <c r="U49" i="15"/>
  <c r="T49" i="15"/>
  <c r="S49" i="15"/>
  <c r="R49" i="15"/>
  <c r="Q49" i="15"/>
  <c r="N49" i="15"/>
  <c r="M49" i="15"/>
  <c r="L49" i="15"/>
  <c r="I49" i="15"/>
  <c r="H49" i="15"/>
  <c r="X49" i="15" s="1"/>
  <c r="AE48" i="15"/>
  <c r="AD48" i="15"/>
  <c r="AC48" i="15"/>
  <c r="AB48" i="15"/>
  <c r="AA48" i="15"/>
  <c r="X48" i="15"/>
  <c r="W48" i="15"/>
  <c r="U48" i="15"/>
  <c r="S48" i="15"/>
  <c r="N48" i="15"/>
  <c r="M48" i="15"/>
  <c r="L48" i="15"/>
  <c r="K48" i="15"/>
  <c r="J48" i="15"/>
  <c r="H48" i="15"/>
  <c r="V48" i="15" s="1"/>
  <c r="AI38" i="15"/>
  <c r="AG38" i="15"/>
  <c r="AD38" i="15"/>
  <c r="X38" i="15"/>
  <c r="W38" i="15"/>
  <c r="V38" i="15"/>
  <c r="Q38" i="15"/>
  <c r="P38" i="15"/>
  <c r="M38" i="15"/>
  <c r="H38" i="15"/>
  <c r="U38" i="15" s="1"/>
  <c r="AI37" i="15"/>
  <c r="AH37" i="15"/>
  <c r="AG37" i="15"/>
  <c r="AF37" i="15"/>
  <c r="AC37" i="15"/>
  <c r="AB37" i="15"/>
  <c r="AA37" i="15"/>
  <c r="Z37" i="15"/>
  <c r="X37" i="15"/>
  <c r="W37" i="15"/>
  <c r="V37" i="15"/>
  <c r="U37" i="15"/>
  <c r="T37" i="15"/>
  <c r="S37" i="15"/>
  <c r="R37" i="15"/>
  <c r="Q37" i="15"/>
  <c r="P37" i="15"/>
  <c r="O37" i="15"/>
  <c r="L37" i="15"/>
  <c r="K37" i="15"/>
  <c r="J37" i="15"/>
  <c r="I37" i="15"/>
  <c r="H37" i="15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H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L35" i="15"/>
  <c r="I35" i="15"/>
  <c r="H35" i="15"/>
  <c r="V35" i="15" s="1"/>
  <c r="AI34" i="15"/>
  <c r="AE34" i="15"/>
  <c r="W34" i="15"/>
  <c r="P34" i="15"/>
  <c r="N34" i="15"/>
  <c r="H34" i="15"/>
  <c r="X34" i="15" s="1"/>
  <c r="AI33" i="15"/>
  <c r="H33" i="15"/>
  <c r="X33" i="15" s="1"/>
  <c r="AI32" i="15"/>
  <c r="AE32" i="15"/>
  <c r="AD32" i="15"/>
  <c r="AB32" i="15"/>
  <c r="U32" i="15"/>
  <c r="T32" i="15"/>
  <c r="S32" i="15"/>
  <c r="N32" i="15"/>
  <c r="M32" i="15"/>
  <c r="K32" i="15"/>
  <c r="H32" i="15"/>
  <c r="X32" i="15" s="1"/>
  <c r="AI31" i="15"/>
  <c r="AD31" i="15"/>
  <c r="M31" i="15"/>
  <c r="H31" i="15"/>
  <c r="V31" i="15" s="1"/>
  <c r="AI30" i="15"/>
  <c r="AI50" i="15" s="1"/>
  <c r="X30" i="15"/>
  <c r="S30" i="15"/>
  <c r="H30" i="15"/>
  <c r="W30" i="15" s="1"/>
  <c r="AI29" i="15"/>
  <c r="A29" i="15" s="1"/>
  <c r="AD29" i="15"/>
  <c r="AC29" i="15"/>
  <c r="AA29" i="15"/>
  <c r="U29" i="15"/>
  <c r="T29" i="15"/>
  <c r="S29" i="15"/>
  <c r="N29" i="15"/>
  <c r="M29" i="15"/>
  <c r="K29" i="15"/>
  <c r="H29" i="15"/>
  <c r="AG29" i="15" s="1"/>
  <c r="AI28" i="15"/>
  <c r="AH28" i="15"/>
  <c r="AG28" i="15"/>
  <c r="AF28" i="15"/>
  <c r="AE28" i="15"/>
  <c r="AA28" i="15"/>
  <c r="Z28" i="15"/>
  <c r="Y28" i="15"/>
  <c r="W28" i="15"/>
  <c r="U28" i="15"/>
  <c r="T28" i="15"/>
  <c r="R28" i="15"/>
  <c r="Q28" i="15"/>
  <c r="P28" i="15"/>
  <c r="O28" i="15"/>
  <c r="K28" i="15"/>
  <c r="J28" i="15"/>
  <c r="I28" i="15"/>
  <c r="H28" i="15"/>
  <c r="AC28" i="15" s="1"/>
  <c r="AH17" i="15"/>
  <c r="AG17" i="15"/>
  <c r="AF17" i="15"/>
  <c r="AE17" i="15"/>
  <c r="AD17" i="15"/>
  <c r="AC17" i="15"/>
  <c r="AB17" i="15"/>
  <c r="AA17" i="15"/>
  <c r="Z17" i="15"/>
  <c r="Y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X17" i="15" s="1"/>
  <c r="AG16" i="15"/>
  <c r="AF16" i="15"/>
  <c r="AE16" i="15"/>
  <c r="AC16" i="15"/>
  <c r="AA16" i="15"/>
  <c r="Z16" i="15"/>
  <c r="W16" i="15"/>
  <c r="V16" i="15"/>
  <c r="U16" i="15"/>
  <c r="Q16" i="15"/>
  <c r="P16" i="15"/>
  <c r="O16" i="15"/>
  <c r="M16" i="15"/>
  <c r="K16" i="15"/>
  <c r="J16" i="15"/>
  <c r="H16" i="15"/>
  <c r="S16" i="15" s="1"/>
  <c r="AG15" i="15"/>
  <c r="AF15" i="15"/>
  <c r="AA15" i="15"/>
  <c r="Z15" i="15"/>
  <c r="Q15" i="15"/>
  <c r="P15" i="15"/>
  <c r="K15" i="15"/>
  <c r="J15" i="15"/>
  <c r="H15" i="15"/>
  <c r="AD15" i="15" s="1"/>
  <c r="AG14" i="15"/>
  <c r="AF14" i="15"/>
  <c r="AD14" i="15"/>
  <c r="AC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K14" i="15"/>
  <c r="J14" i="15"/>
  <c r="H14" i="15"/>
  <c r="Y14" i="15" s="1"/>
  <c r="V13" i="15"/>
  <c r="H13" i="15"/>
  <c r="T13" i="15" s="1"/>
  <c r="AH12" i="15"/>
  <c r="AG12" i="15"/>
  <c r="AF12" i="15"/>
  <c r="AC12" i="15"/>
  <c r="AB12" i="15"/>
  <c r="AA12" i="15"/>
  <c r="Z12" i="15"/>
  <c r="Y12" i="15"/>
  <c r="W12" i="15"/>
  <c r="V12" i="15"/>
  <c r="T12" i="15"/>
  <c r="S12" i="15"/>
  <c r="R12" i="15"/>
  <c r="Q12" i="15"/>
  <c r="P12" i="15"/>
  <c r="M12" i="15"/>
  <c r="L12" i="15"/>
  <c r="K12" i="15"/>
  <c r="J12" i="15"/>
  <c r="I12" i="15"/>
  <c r="H12" i="15"/>
  <c r="AE12" i="15" s="1"/>
  <c r="AC11" i="15"/>
  <c r="AB11" i="15"/>
  <c r="W11" i="15"/>
  <c r="V11" i="15"/>
  <c r="T11" i="15"/>
  <c r="M11" i="15"/>
  <c r="L11" i="15"/>
  <c r="H11" i="15"/>
  <c r="Z11" i="15" s="1"/>
  <c r="W10" i="15"/>
  <c r="H10" i="15"/>
  <c r="U10" i="15" s="1"/>
  <c r="AH9" i="15"/>
  <c r="AC9" i="15"/>
  <c r="AB9" i="15"/>
  <c r="Z9" i="15"/>
  <c r="T9" i="15"/>
  <c r="S9" i="15"/>
  <c r="R9" i="15"/>
  <c r="M9" i="15"/>
  <c r="L9" i="15"/>
  <c r="J9" i="15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J118" i="15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I118" i="15"/>
  <c r="F118" i="15"/>
  <c r="AJ96" i="15"/>
  <c r="J96" i="15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I96" i="15"/>
  <c r="F96" i="15"/>
  <c r="AJ71" i="15"/>
  <c r="L71" i="15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J71" i="15"/>
  <c r="K71" i="15" s="1"/>
  <c r="I71" i="15"/>
  <c r="F71" i="15"/>
  <c r="AI51" i="15"/>
  <c r="AI75" i="15" s="1"/>
  <c r="AI100" i="15" s="1"/>
  <c r="AI48" i="15"/>
  <c r="AI72" i="15" s="1"/>
  <c r="AI97" i="15" s="1"/>
  <c r="AJ47" i="15"/>
  <c r="AI47" i="15"/>
  <c r="AI71" i="15" s="1"/>
  <c r="J47" i="15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I47" i="15"/>
  <c r="F47" i="15"/>
  <c r="A47" i="15"/>
  <c r="AI58" i="15"/>
  <c r="A58" i="15" s="1"/>
  <c r="A38" i="15"/>
  <c r="AI57" i="15"/>
  <c r="AI81" i="15" s="1"/>
  <c r="AI106" i="15" s="1"/>
  <c r="A37" i="15"/>
  <c r="A35" i="15"/>
  <c r="AI54" i="15"/>
  <c r="A34" i="15"/>
  <c r="A33" i="15"/>
  <c r="A32" i="15"/>
  <c r="A31" i="15"/>
  <c r="A28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7" i="15"/>
  <c r="A17" i="15" s="1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AI7" i="15" l="1"/>
  <c r="A7" i="15" s="1"/>
  <c r="AI49" i="15"/>
  <c r="AI73" i="15" s="1"/>
  <c r="AI98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03" i="15"/>
  <c r="A78" i="15"/>
  <c r="A103" i="15" s="1"/>
  <c r="A125" i="15" s="1"/>
  <c r="AI105" i="15" l="1"/>
  <c r="A80" i="15"/>
  <c r="A105" i="15" s="1"/>
  <c r="A127" i="15" s="1"/>
  <c r="AI101" i="15"/>
  <c r="A76" i="15"/>
  <c r="A101" i="15" s="1"/>
  <c r="A123" i="15" s="1"/>
  <c r="AI102" i="15"/>
  <c r="A77" i="15"/>
  <c r="A102" i="15" s="1"/>
  <c r="A124" i="15" s="1"/>
  <c r="A79" i="15"/>
  <c r="A104" i="15" s="1"/>
  <c r="A126" i="15" s="1"/>
  <c r="AI104" i="15"/>
  <c r="J68" i="31" l="1"/>
  <c r="J67" i="31"/>
  <c r="J66" i="31"/>
  <c r="J65" i="31"/>
  <c r="G68" i="31"/>
  <c r="G67" i="31"/>
  <c r="G66" i="31"/>
  <c r="G65" i="31"/>
  <c r="E67" i="31"/>
  <c r="E68" i="31"/>
  <c r="E66" i="31"/>
  <c r="E65" i="31"/>
  <c r="B65" i="31" s="1"/>
  <c r="B68" i="31"/>
  <c r="B67" i="31"/>
  <c r="B66" i="31"/>
  <c r="B61" i="31"/>
  <c r="J64" i="31"/>
  <c r="G64" i="31"/>
  <c r="E64" i="31"/>
  <c r="J63" i="31"/>
  <c r="G63" i="31"/>
  <c r="E63" i="31"/>
  <c r="J62" i="31"/>
  <c r="G62" i="31"/>
  <c r="E62" i="31"/>
  <c r="J61" i="31"/>
  <c r="G61" i="31"/>
  <c r="E61" i="31"/>
  <c r="B57" i="31"/>
  <c r="B53" i="31"/>
  <c r="B49" i="31"/>
  <c r="B45" i="31"/>
  <c r="B41" i="31"/>
  <c r="J60" i="31"/>
  <c r="G60" i="31"/>
  <c r="E60" i="31"/>
  <c r="J59" i="31"/>
  <c r="G59" i="31"/>
  <c r="E59" i="31"/>
  <c r="B59" i="31" s="1"/>
  <c r="J58" i="31"/>
  <c r="G58" i="31"/>
  <c r="E58" i="31"/>
  <c r="B58" i="31" s="1"/>
  <c r="J57" i="31"/>
  <c r="G57" i="31"/>
  <c r="E57" i="31"/>
  <c r="J56" i="31"/>
  <c r="G56" i="31"/>
  <c r="E56" i="31"/>
  <c r="J55" i="31"/>
  <c r="G55" i="31"/>
  <c r="E55" i="31"/>
  <c r="J54" i="31"/>
  <c r="G54" i="31"/>
  <c r="E54" i="31"/>
  <c r="J53" i="31"/>
  <c r="G53" i="31"/>
  <c r="E53" i="31"/>
  <c r="J52" i="31"/>
  <c r="G52" i="31"/>
  <c r="E52" i="31"/>
  <c r="J51" i="31"/>
  <c r="G51" i="31"/>
  <c r="E51" i="31"/>
  <c r="B51" i="31" s="1"/>
  <c r="J50" i="31"/>
  <c r="G50" i="31"/>
  <c r="E50" i="31"/>
  <c r="B50" i="31" s="1"/>
  <c r="J49" i="31"/>
  <c r="G49" i="31"/>
  <c r="E49" i="31"/>
  <c r="J48" i="31"/>
  <c r="G48" i="31"/>
  <c r="E48" i="31"/>
  <c r="J47" i="31"/>
  <c r="G47" i="31"/>
  <c r="E47" i="31"/>
  <c r="B47" i="31" s="1"/>
  <c r="J46" i="31"/>
  <c r="G46" i="31"/>
  <c r="E46" i="31"/>
  <c r="J45" i="31"/>
  <c r="G45" i="31"/>
  <c r="E45" i="31"/>
  <c r="E44" i="31"/>
  <c r="E43" i="31"/>
  <c r="E42" i="31"/>
  <c r="B42" i="31" s="1"/>
  <c r="E41" i="31"/>
  <c r="B54" i="31"/>
  <c r="B46" i="31"/>
  <c r="E40" i="31"/>
  <c r="E39" i="31"/>
  <c r="E38" i="31"/>
  <c r="E37" i="31"/>
  <c r="J44" i="31"/>
  <c r="G44" i="31"/>
  <c r="J43" i="31"/>
  <c r="G43" i="31"/>
  <c r="J42" i="31"/>
  <c r="G42" i="31"/>
  <c r="J41" i="31"/>
  <c r="G41" i="31"/>
  <c r="B64" i="31"/>
  <c r="B63" i="31"/>
  <c r="B62" i="31"/>
  <c r="B60" i="31"/>
  <c r="B56" i="31"/>
  <c r="B55" i="31"/>
  <c r="B52" i="31"/>
  <c r="B48" i="31"/>
  <c r="B44" i="31"/>
  <c r="B43" i="31"/>
  <c r="B38" i="31"/>
  <c r="B39" i="31"/>
  <c r="B40" i="31"/>
  <c r="B37" i="31"/>
  <c r="G40" i="31"/>
  <c r="G39" i="31"/>
  <c r="G38" i="31"/>
  <c r="J40" i="31"/>
  <c r="J39" i="31"/>
  <c r="J38" i="31"/>
  <c r="G37" i="31"/>
  <c r="J37" i="31"/>
  <c r="K16" i="31"/>
  <c r="K18" i="31"/>
  <c r="K20" i="31"/>
  <c r="K22" i="31"/>
  <c r="K24" i="31"/>
  <c r="K26" i="31"/>
  <c r="K30" i="31"/>
  <c r="E30" i="31"/>
  <c r="E29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N15" i="31"/>
  <c r="N17" i="31"/>
  <c r="N19" i="31"/>
  <c r="N21" i="31"/>
  <c r="N23" i="31"/>
  <c r="N25" i="31"/>
  <c r="N29" i="31"/>
  <c r="N13" i="31"/>
  <c r="K14" i="31"/>
  <c r="E13" i="31"/>
  <c r="E14" i="31"/>
  <c r="B15" i="31"/>
  <c r="B17" i="31"/>
  <c r="B19" i="31"/>
  <c r="B21" i="31"/>
  <c r="B23" i="31"/>
  <c r="B25" i="31"/>
  <c r="B29" i="31"/>
  <c r="B13" i="31"/>
  <c r="T19" i="14"/>
  <c r="T7" i="14"/>
  <c r="T23" i="14"/>
  <c r="T16" i="23"/>
  <c r="T18" i="23"/>
  <c r="T23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3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3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X23" i="23" s="1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B2" i="30"/>
  <c r="G4" i="30" s="1"/>
  <c r="I12" i="30"/>
  <c r="E51" i="30"/>
  <c r="I22" i="30"/>
  <c r="I20" i="30"/>
  <c r="I21" i="30"/>
  <c r="I4" i="31"/>
  <c r="H4" i="31"/>
  <c r="G4" i="31"/>
  <c r="F4" i="31"/>
  <c r="E4" i="31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23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3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<sst xmlns="http://schemas.openxmlformats.org/spreadsheetml/2006/main" count="2666" uniqueCount="643">
  <si>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</si>
  <si>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</si>
  <si>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</si>
  <si>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</si>
  <si>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</si>
  <si>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</si>
  <si>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</si>
  <si>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</si>
  <si>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</si>
  <si>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</si>
  <si>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</si>
  <si>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</si>
  <si>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</si>
  <si>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</si>
  <si>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</si>
  <si>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</si>
  <si>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</si>
  <si>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</si>
  <si>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</si>
  <si>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</si>
  <si>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</si>
  <si>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</si>
  <si>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</si>
  <si>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</si>
  <si>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</si>
  <si>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</si>
  <si>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</si>
  <si>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</si>
  <si>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</si>
  <si>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</si>
  <si>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</si>
  <si>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</si>
  <si>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</si>
  <si>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</si>
  <si>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</si>
  <si>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</si>
  <si>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</si>
  <si>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</si>
  <si>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</si>
  <si>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</si>
  <si>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</si>
  <si>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</si>
  <si>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</si>
  <si>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</si>
  <si>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</si>
  <si>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</si>
  <si>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</si>
  <si>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</si>
  <si>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</si>
  <si>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</si>
  <si>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</si>
  <si>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</si>
  <si>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</si>
  <si>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</si>
  <si>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</si>
  <si>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</si>
  <si>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</si>
  <si>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</si>
  <si>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</si>
  <si>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</si>
  <si>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</si>
  <si>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</si>
  <si>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</si>
  <si>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</si>
  <si>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</si>
  <si>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</si>
  <si>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</si>
  <si>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</si>
  <si>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</si>
  <si>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</si>
  <si>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</si>
  <si>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</si>
  <si>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</si>
  <si>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</si>
  <si>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</si>
  <si>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</si>
  <si>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</si>
  <si>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</si>
  <si>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</si>
  <si>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</si>
  <si>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</si>
  <si>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</si>
  <si>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</si>
  <si>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</si>
  <si>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</si>
  <si>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</si>
  <si>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</si>
  <si>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</si>
  <si>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</si>
  <si>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</si>
  <si>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</si>
  <si>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</si>
  <si>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</si>
  <si>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</si>
  <si>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</si>
  <si>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</si>
  <si>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</si>
  <si>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</si>
  <si>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</si>
  <si>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</si>
  <si>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</si>
  <si>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</si>
  <si>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</si>
  <si>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</si>
  <si>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</si>
  <si>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</si>
  <si>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</si>
  <si>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</si>
  <si>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</si>
  <si>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</si>
  <si>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</si>
  <si>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</si>
  <si>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</si>
  <si>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</si>
  <si>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</si>
  <si>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</si>
  <si>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</si>
  <si>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</si>
  <si>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</si>
  <si>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</si>
  <si>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</si>
  <si>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</si>
  <si>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</si>
  <si>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</si>
  <si>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</si>
  <si>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</si>
  <si>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</si>
  <si>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</si>
  <si>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</si>
  <si>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</si>
  <si>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</si>
  <si>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</si>
  <si>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</si>
  <si>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</si>
  <si>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</si>
  <si>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</si>
  <si>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</si>
  <si>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</si>
  <si>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</si>
  <si>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</si>
  <si>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</si>
  <si>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</si>
  <si>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</si>
  <si>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</si>
  <si>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</si>
  <si>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</si>
  <si>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</si>
  <si>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</si>
  <si>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</si>
  <si>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</si>
  <si>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</si>
  <si>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</si>
  <si>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</si>
  <si>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</si>
  <si>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</si>
  <si>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</si>
  <si>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</si>
  <si>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</si>
  <si>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</si>
  <si>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</si>
  <si>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</si>
  <si>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</si>
  <si>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</si>
  <si>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</si>
  <si>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</si>
  <si>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</si>
  <si>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</si>
  <si>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</si>
  <si>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</si>
  <si>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</si>
  <si>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</si>
  <si>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</si>
  <si>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</si>
  <si>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</si>
  <si>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</si>
  <si>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</si>
  <si>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</si>
  <si>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</si>
  <si>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</si>
  <si>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</si>
  <si>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</si>
  <si>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</si>
  <si>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</si>
  <si>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</si>
  <si>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</si>
  <si>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</si>
  <si>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</si>
  <si>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</si>
  <si>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</si>
  <si>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</si>
  <si>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</si>
  <si>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</si>
  <si>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</si>
  <si>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</si>
  <si>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</si>
  <si>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</si>
  <si>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</si>
  <si>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</si>
  <si>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</si>
  <si>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</si>
  <si>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</si>
  <si>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</si>
  <si>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</si>
  <si>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</si>
  <si>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</si>
  <si>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</si>
  <si>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</si>
  <si>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</si>
  <si>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</si>
  <si>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</si>
  <si>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</si>
  <si>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</si>
  <si>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</si>
  <si>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</si>
  <si>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</si>
  <si>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</si>
  <si>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</si>
  <si>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</si>
  <si>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</si>
  <si>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</si>
  <si>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</si>
  <si>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</si>
  <si>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</si>
  <si>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</si>
  <si>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</si>
  <si>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</si>
  <si>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</si>
  <si>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</si>
  <si>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</si>
  <si>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</si>
  <si>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</si>
  <si>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</si>
  <si>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</si>
  <si>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</si>
  <si>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</si>
  <si>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</si>
  <si>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</si>
  <si>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</si>
  <si>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</si>
  <si>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</si>
  <si>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</si>
  <si>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</si>
  <si>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</si>
  <si>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</si>
  <si>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</si>
  <si>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</si>
  <si>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</si>
  <si>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</si>
  <si>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</si>
  <si>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</si>
  <si>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</si>
  <si>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</si>
  <si>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</si>
  <si>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</si>
  <si>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</si>
  <si>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</si>
  <si>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</si>
  <si>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</si>
  <si>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</si>
  <si>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</si>
  <si>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</si>
  <si>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</si>
  <si>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</si>
  <si>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</si>
  <si>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</si>
  <si>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</si>
  <si>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</si>
  <si>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</si>
  <si>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</si>
  <si>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</si>
  <si>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</si>
  <si>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</si>
  <si>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</si>
  <si>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</si>
  <si>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</si>
  <si>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</si>
  <si>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</si>
  <si>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</si>
  <si>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</si>
  <si>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</si>
  <si>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</si>
  <si>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</si>
  <si>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</si>
  <si>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</si>
  <si>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</si>
  <si>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</si>
  <si>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</si>
  <si>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</si>
  <si>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</si>
  <si>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</si>
  <si>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</si>
  <si>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</si>
  <si>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</si>
  <si>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</si>
  <si>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</si>
  <si>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</si>
  <si>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</si>
  <si>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</si>
  <si>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</si>
  <si>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</si>
  <si>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</si>
  <si>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</si>
  <si>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</si>
  <si>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</si>
  <si>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</si>
  <si>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</si>
  <si>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</si>
  <si>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</si>
  <si>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</si>
  <si>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</si>
  <si>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</si>
  <si>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</si>
  <si>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</si>
  <si>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</si>
  <si>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</si>
  <si>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</si>
  <si>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</si>
  <si>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</si>
  <si>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</si>
  <si>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</si>
  <si>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</si>
  <si>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</si>
  <si>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</si>
  <si>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</si>
  <si>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</si>
  <si>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</si>
  <si>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</si>
  <si>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</si>
  <si>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</si>
  <si>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</si>
  <si>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</si>
  <si>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</si>
  <si>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</si>
  <si>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</si>
  <si>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</si>
  <si>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</si>
  <si>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</si>
  <si>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</si>
  <si>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</si>
  <si>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</si>
  <si>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</si>
  <si>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</si>
  <si>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</si>
  <si>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</si>
  <si>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</si>
  <si>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</si>
  <si>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</si>
  <si>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</si>
  <si>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</si>
  <si>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</si>
  <si>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</si>
  <si>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</si>
  <si>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</si>
  <si>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</si>
  <si>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</si>
  <si>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</si>
  <si>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</si>
  <si>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</si>
  <si>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</si>
  <si>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</si>
  <si>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</si>
  <si>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</si>
  <si>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</si>
  <si>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</si>
  <si>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</si>
  <si>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</si>
  <si>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</si>
  <si>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</si>
  <si>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</si>
  <si>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</si>
  <si>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</si>
  <si>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</si>
  <si>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</si>
  <si>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</si>
  <si>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</si>
  <si>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</si>
  <si>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</si>
  <si>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</si>
  <si>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</si>
  <si>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</si>
  <si>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</si>
  <si>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</si>
  <si>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</si>
  <si>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</si>
  <si>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</si>
  <si>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</si>
  <si>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</si>
  <si>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</si>
  <si>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</si>
  <si>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</si>
  <si>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</si>
  <si>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</si>
  <si>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</si>
  <si>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</si>
  <si>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</si>
  <si>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</si>
  <si>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</si>
  <si>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</si>
  <si>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</si>
  <si>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</si>
  <si>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</si>
  <si>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</si>
  <si>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</si>
  <si>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</si>
  <si>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</si>
  <si>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</si>
  <si>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</si>
  <si>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</si>
  <si>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</si>
  <si>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</si>
  <si>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</si>
  <si>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</si>
  <si>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</si>
  <si>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</si>
  <si>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</si>
  <si>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</si>
  <si>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</si>
  <si>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</si>
  <si>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</si>
  <si>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</si>
  <si>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</si>
  <si>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</si>
  <si>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</si>
  <si>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</si>
  <si>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</si>
  <si>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</si>
  <si>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</si>
  <si>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</si>
  <si>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</si>
  <si>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</si>
  <si>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</si>
  <si>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</si>
  <si>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</si>
  <si>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</si>
  <si>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</si>
  <si>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</si>
  <si>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</si>
  <si>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</si>
  <si>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</si>
  <si>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</si>
  <si>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</si>
  <si>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</si>
  <si>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</si>
  <si>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</si>
  <si>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</si>
  <si>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</si>
  <si>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</si>
  <si>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</si>
  <si>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</si>
  <si>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</si>
  <si>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</si>
  <si>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</si>
  <si>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</si>
  <si>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</si>
  <si>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</si>
  <si>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</si>
  <si>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</si>
  <si>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</si>
  <si>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</si>
  <si>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</si>
  <si>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</si>
  <si>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</si>
  <si>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</si>
  <si>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</si>
  <si>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</si>
  <si>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</si>
  <si>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</si>
  <si>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</si>
  <si>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</si>
  <si>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</si>
  <si>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</si>
  <si>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</si>
  <si>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</si>
  <si>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</si>
  <si>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</si>
  <si>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</si>
  <si>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</si>
  <si>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</si>
  <si>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</si>
  <si>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</si>
  <si>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</si>
  <si>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</si>
  <si>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</si>
  <si>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</si>
  <si>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</si>
  <si>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</si>
  <si>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</si>
  <si>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</si>
  <si>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</si>
  <si>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</si>
  <si>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</si>
  <si>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</si>
  <si>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</si>
  <si>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</si>
  <si>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</si>
  <si>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</si>
  <si>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</si>
  <si>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</si>
  <si>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</si>
  <si>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</si>
  <si>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</si>
  <si>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</si>
  <si>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</si>
  <si>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</si>
  <si>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</si>
  <si>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</si>
  <si>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</si>
  <si>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</si>
  <si>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</si>
  <si>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</si>
  <si>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</si>
  <si>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</si>
  <si>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</si>
  <si>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</si>
  <si>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</si>
  <si>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</si>
  <si>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</si>
  <si>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</si>
  <si>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</si>
  <si>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</si>
  <si>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</si>
  <si>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</si>
  <si>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</si>
  <si>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</si>
  <si>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</si>
  <si>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</si>
  <si>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</si>
  <si>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</si>
  <si>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</si>
  <si>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</si>
  <si>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</si>
  <si>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</si>
  <si>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</si>
  <si>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</si>
  <si>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</si>
  <si>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</si>
  <si>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</si>
  <si>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</si>
  <si>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</si>
  <si>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</si>
  <si>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</si>
  <si>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</si>
  <si>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</si>
  <si>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</si>
  <si>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</si>
  <si>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</si>
  <si>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</si>
  <si>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</si>
  <si>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</si>
  <si>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</si>
  <si>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</si>
  <si>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</si>
  <si>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</si>
  <si>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</si>
  <si>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</si>
  <si>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</si>
  <si>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</si>
  <si>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</si>
  <si>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</si>
  <si>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</si>
  <si>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</si>
  <si>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</si>
  <si>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</si>
  <si>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</si>
  <si>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</si>
  <si>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</si>
  <si>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</si>
  <si>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</si>
  <si>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</si>
  <si>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</si>
  <si>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</si>
  <si>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</si>
  <si>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</si>
  <si>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</si>
  <si>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</si>
  <si>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</si>
  <si>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</si>
  <si>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</si>
  <si>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</si>
  <si>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</si>
  <si>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</si>
  <si>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</si>
  <si>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</si>
  <si>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</si>
  <si>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</si>
  <si>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</si>
  <si>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</si>
  <si>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</si>
  <si>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</si>
  <si>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</si>
  <si>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</si>
  <si>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</si>
  <si>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</si>
  <si>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</si>
  <si>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~UC_Sets: R_E: IE,National</t>
  </si>
  <si>
    <t>~UC_Sets: T_E:</t>
  </si>
  <si>
    <t>UC_ATTR</t>
  </si>
  <si>
    <t>Pset_CO</t>
  </si>
  <si>
    <t>Pset_CI</t>
  </si>
  <si>
    <t>PRE</t>
  </si>
  <si>
    <t>ETS</t>
  </si>
  <si>
    <t>NETS</t>
  </si>
  <si>
    <t>Cement</t>
  </si>
  <si>
    <t>Chemicals</t>
  </si>
  <si>
    <t>Food and Drink</t>
  </si>
  <si>
    <t>Lime</t>
  </si>
  <si>
    <t>Metals</t>
  </si>
  <si>
    <t>Other Industry</t>
  </si>
  <si>
    <t>Other Minerals</t>
  </si>
  <si>
    <t>Refining</t>
  </si>
  <si>
    <t>Wood Products</t>
  </si>
  <si>
    <t>CEM</t>
  </si>
  <si>
    <t>CAF</t>
  </si>
  <si>
    <t>FAP</t>
  </si>
  <si>
    <t>LIM</t>
  </si>
  <si>
    <t>MAP</t>
  </si>
  <si>
    <t>OMA</t>
  </si>
  <si>
    <t>ONM</t>
  </si>
  <si>
    <t>REF</t>
  </si>
  <si>
    <t>WAP</t>
  </si>
  <si>
    <t>UC_ACT</t>
  </si>
  <si>
    <t>UC_RHSRTS~0</t>
  </si>
  <si>
    <t>Heating temperature levels, %</t>
  </si>
  <si>
    <t>PSET_CI</t>
  </si>
  <si>
    <t>PSET_CO</t>
  </si>
  <si>
    <t>CSET_CN</t>
  </si>
  <si>
    <t>~UC_T: UC_COMPRD~2019~LO</t>
  </si>
  <si>
    <t>HTH</t>
  </si>
  <si>
    <t>MTH</t>
  </si>
  <si>
    <t>LTH</t>
  </si>
  <si>
    <t>HET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</si>
  <si>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</si>
  <si>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</si>
  <si>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</si>
  <si>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</si>
  <si>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</si>
  <si>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</si>
  <si>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</si>
  <si>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</si>
  <si>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</si>
  <si>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</si>
  <si>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</si>
  <si>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 xml:space="preserve">~UC_T: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</si>
</sst>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b/>
      <sz val="14"/>
      <color rgb="FF0070C0"/>
      <name val="Calibri"/>
      <family val="2"/>
      <scheme val="minor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9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 tint="0.79998168889431442"/>
        <bgColor theme="6" tint="0.59999389629810485"/>
      </patternFill>
    </fill>
    <fill>
      <patternFill patternType="solid">
        <fgColor theme="5" tint="0.79998168889431442"/>
        <bgColor theme="6" tint="0.59999389629810485"/>
      </patternFill>
    </fill>
    <fill>
      <patternFill patternType="solid">
        <fgColor theme="5" tint="0.79998168889431442"/>
        <bgColor theme="6" tint="0.79998168889431442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 tint="0.79998168889431442"/>
        <bgColor theme="6" tint="0.59999389629810485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3" tint="0.79998168889431442"/>
        <bgColor theme="6" tint="0.79998168889431442"/>
      </patternFill>
    </fill>
    <fill>
      <patternFill patternType="solid">
        <fgColor theme="8" tint="0.79998168889431442"/>
        <bgColor theme="6" tint="0.5999938962981048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4" fillId="0" borderId="0"/>
    <xf numFmtId="0" fontId="11" fillId="0" borderId="0"/>
    <xf numFmtId="0" fontId="22" fillId="0" borderId="0" applyNumberFormat="0" applyFill="0" applyBorder="0" applyAlignment="0" applyProtection="0"/>
    <xf numFmtId="0" fontId="69" fillId="83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8" fillId="77" borderId="0" applyNumberFormat="0" applyBorder="0" applyAlignment="0" applyProtection="0"/>
    <xf numFmtId="43" fontId="11" fillId="0" borderId="0" applyFont="0" applyFill="0" applyBorder="0" applyAlignment="0" applyProtection="0"/>
    <xf numFmtId="0" fontId="69" fillId="86" borderId="0" applyNumberFormat="0" applyBorder="0" applyAlignment="0" applyProtection="0"/>
    <xf numFmtId="0" fontId="2" fillId="0" borderId="0"/>
    <xf numFmtId="0" fontId="67" fillId="0" borderId="0"/>
    <xf numFmtId="9" fontId="67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80" fillId="6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172" fontId="81" fillId="0" borderId="0">
      <alignment vertical="center"/>
    </xf>
    <xf numFmtId="0" fontId="11" fillId="0" borderId="0"/>
    <xf numFmtId="166" fontId="81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8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0" fontId="83" fillId="78" borderId="185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center"/>
    </xf>
    <xf numFmtId="0" fontId="86" fillId="0" borderId="0"/>
    <xf numFmtId="0" fontId="86" fillId="0" borderId="0"/>
    <xf numFmtId="0" fontId="2" fillId="0" borderId="0"/>
    <xf numFmtId="0" fontId="2" fillId="0" borderId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4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64" borderId="0" applyNumberFormat="0" applyBorder="0" applyAlignment="0" applyProtection="0"/>
    <xf numFmtId="0" fontId="68" fillId="80" borderId="0" applyNumberFormat="0" applyBorder="0" applyAlignment="0" applyProtection="0"/>
    <xf numFmtId="0" fontId="68" fillId="8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65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66" borderId="0" applyNumberFormat="0" applyBorder="0" applyAlignment="0" applyProtection="0"/>
    <xf numFmtId="0" fontId="68" fillId="81" borderId="0" applyNumberFormat="0" applyBorder="0" applyAlignment="0" applyProtection="0"/>
    <xf numFmtId="0" fontId="68" fillId="81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6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6" borderId="0" applyNumberFormat="0" applyBorder="0" applyAlignment="0" applyProtection="0"/>
    <xf numFmtId="0" fontId="68" fillId="67" borderId="0" applyNumberFormat="0" applyBorder="0" applyAlignment="0" applyProtection="0"/>
    <xf numFmtId="0" fontId="68" fillId="67" borderId="0" applyNumberFormat="0" applyBorder="0" applyAlignment="0" applyProtection="0"/>
    <xf numFmtId="0" fontId="68" fillId="80" borderId="0" applyNumberFormat="0" applyBorder="0" applyAlignment="0" applyProtection="0"/>
    <xf numFmtId="0" fontId="68" fillId="70" borderId="0" applyNumberFormat="0" applyBorder="0" applyAlignment="0" applyProtection="0"/>
    <xf numFmtId="0" fontId="68" fillId="81" borderId="0" applyNumberFormat="0" applyBorder="0" applyAlignment="0" applyProtection="0"/>
    <xf numFmtId="0" fontId="68" fillId="77" borderId="0" applyNumberFormat="0" applyBorder="0" applyAlignment="0" applyProtection="0"/>
    <xf numFmtId="0" fontId="68" fillId="68" borderId="0" applyNumberFormat="0" applyBorder="0" applyAlignment="0" applyProtection="0"/>
    <xf numFmtId="0" fontId="68" fillId="6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69" borderId="0" applyNumberFormat="0" applyBorder="0" applyAlignment="0" applyProtection="0"/>
    <xf numFmtId="0" fontId="68" fillId="82" borderId="0" applyNumberFormat="0" applyBorder="0" applyAlignment="0" applyProtection="0"/>
    <xf numFmtId="0" fontId="68" fillId="82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0" borderId="0" applyNumberFormat="0" applyBorder="0" applyAlignment="0" applyProtection="0"/>
    <xf numFmtId="0" fontId="68" fillId="77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8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66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82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68" borderId="0" applyNumberFormat="0" applyBorder="0" applyAlignment="0" applyProtection="0"/>
    <xf numFmtId="0" fontId="69" fillId="83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83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71" borderId="0" applyNumberFormat="0" applyBorder="0" applyAlignment="0" applyProtection="0"/>
    <xf numFmtId="0" fontId="69" fillId="65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72" borderId="0" applyNumberFormat="0" applyBorder="0" applyAlignment="0" applyProtection="0"/>
    <xf numFmtId="0" fontId="69" fillId="8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0" borderId="0" applyNumberFormat="0" applyBorder="0" applyAlignment="0" applyProtection="0"/>
    <xf numFmtId="0" fontId="69" fillId="84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68" borderId="0" applyNumberFormat="0" applyBorder="0" applyAlignment="0" applyProtection="0"/>
    <xf numFmtId="0" fontId="69" fillId="75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65" borderId="0" applyNumberFormat="0" applyBorder="0" applyAlignment="0" applyProtection="0"/>
    <xf numFmtId="0" fontId="69" fillId="8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5" borderId="0" applyNumberFormat="0" applyBorder="0" applyAlignment="0" applyProtection="0"/>
    <xf numFmtId="0" fontId="69" fillId="83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85" borderId="0" applyNumberFormat="0" applyBorder="0" applyAlignment="0" applyProtection="0"/>
    <xf numFmtId="0" fontId="69" fillId="84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73" borderId="0" applyNumberFormat="0" applyBorder="0" applyAlignment="0" applyProtection="0"/>
    <xf numFmtId="0" fontId="69" fillId="86" borderId="0" applyNumberFormat="0" applyBorder="0" applyAlignment="0" applyProtection="0"/>
    <xf numFmtId="0" fontId="69" fillId="73" borderId="0" applyNumberFormat="0" applyBorder="0" applyAlignment="0" applyProtection="0"/>
    <xf numFmtId="0" fontId="69" fillId="73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8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72" borderId="0" applyNumberFormat="0" applyBorder="0" applyAlignment="0" applyProtection="0"/>
    <xf numFmtId="0" fontId="69" fillId="87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7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4" borderId="0" applyNumberFormat="0" applyBorder="0" applyAlignment="0" applyProtection="0"/>
    <xf numFmtId="0" fontId="69" fillId="84" borderId="0" applyNumberFormat="0" applyBorder="0" applyAlignment="0" applyProtection="0"/>
    <xf numFmtId="0" fontId="69" fillId="74" borderId="0" applyNumberFormat="0" applyBorder="0" applyAlignment="0" applyProtection="0"/>
    <xf numFmtId="0" fontId="69" fillId="7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5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6" borderId="0" applyNumberFormat="0" applyBorder="0" applyAlignment="0" applyProtection="0"/>
    <xf numFmtId="0" fontId="69" fillId="76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69" fillId="71" borderId="0" applyNumberFormat="0" applyBorder="0" applyAlignment="0" applyProtection="0"/>
    <xf numFmtId="0" fontId="95" fillId="88" borderId="0" applyBorder="0" applyAlignment="0"/>
    <xf numFmtId="0" fontId="37" fillId="88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4" fillId="6" borderId="4">
      <alignment horizontal="right" vertical="center"/>
    </xf>
    <xf numFmtId="0" fontId="100" fillId="6" borderId="4">
      <alignment horizontal="right" vertical="center"/>
    </xf>
    <xf numFmtId="0" fontId="94" fillId="89" borderId="4">
      <alignment horizontal="right" vertical="center"/>
    </xf>
    <xf numFmtId="0" fontId="94" fillId="89" borderId="4">
      <alignment horizontal="right" vertical="center"/>
    </xf>
    <xf numFmtId="0" fontId="94" fillId="89" borderId="50">
      <alignment horizontal="right" vertical="center"/>
    </xf>
    <xf numFmtId="0" fontId="94" fillId="89" borderId="132">
      <alignment horizontal="right" vertical="center"/>
    </xf>
    <xf numFmtId="0" fontId="94" fillId="89" borderId="138">
      <alignment horizontal="right" vertical="center"/>
    </xf>
    <xf numFmtId="0" fontId="69" fillId="86" borderId="0" applyNumberFormat="0" applyBorder="0" applyAlignment="0" applyProtection="0"/>
    <xf numFmtId="0" fontId="69" fillId="76" borderId="0" applyNumberFormat="0" applyBorder="0" applyAlignment="0" applyProtection="0"/>
    <xf numFmtId="0" fontId="69" fillId="87" borderId="0" applyNumberFormat="0" applyBorder="0" applyAlignment="0" applyProtection="0"/>
    <xf numFmtId="0" fontId="69" fillId="84" borderId="0" applyNumberFormat="0" applyBorder="0" applyAlignment="0" applyProtection="0"/>
    <xf numFmtId="0" fontId="69" fillId="75" borderId="0" applyNumberFormat="0" applyBorder="0" applyAlignment="0" applyProtection="0"/>
    <xf numFmtId="0" fontId="69" fillId="71" borderId="0" applyNumberFormat="0" applyBorder="0" applyAlignment="0" applyProtection="0"/>
    <xf numFmtId="0" fontId="83" fillId="90" borderId="185" applyNumberFormat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7" borderId="0" applyNumberFormat="0" applyBorder="0" applyAlignment="0" applyProtection="0"/>
    <xf numFmtId="0" fontId="70" fillId="70" borderId="0" applyNumberFormat="0" applyBorder="0" applyAlignment="0" applyProtection="0"/>
    <xf numFmtId="0" fontId="70" fillId="77" borderId="0" applyNumberFormat="0" applyBorder="0" applyAlignment="0" applyProtection="0"/>
    <xf numFmtId="0" fontId="70" fillId="77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68" fillId="72" borderId="0" applyNumberFormat="0" applyBorder="0" applyAlignment="0" applyProtection="0"/>
    <xf numFmtId="0" fontId="68" fillId="72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7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64" borderId="0" applyNumberFormat="0" applyBorder="0" applyAlignment="0" applyProtection="0"/>
    <xf numFmtId="0" fontId="68" fillId="72" borderId="0" applyNumberFormat="0" applyBorder="0" applyAlignment="0" applyProtection="0"/>
    <xf numFmtId="0" fontId="69" fillId="65" borderId="0" applyNumberFormat="0" applyBorder="0" applyAlignment="0" applyProtection="0"/>
    <xf numFmtId="0" fontId="68" fillId="67" borderId="0" applyNumberFormat="0" applyBorder="0" applyAlignment="0" applyProtection="0"/>
    <xf numFmtId="43" fontId="11" fillId="0" borderId="0" applyFont="0" applyFill="0" applyBorder="0" applyAlignment="0" applyProtection="0"/>
    <xf numFmtId="0" fontId="69" fillId="83" borderId="0" applyNumberFormat="0" applyBorder="0" applyAlignment="0" applyProtection="0"/>
    <xf numFmtId="0" fontId="69" fillId="86" borderId="0" applyNumberFormat="0" applyBorder="0" applyAlignment="0" applyProtection="0"/>
    <xf numFmtId="0" fontId="69" fillId="83" borderId="0" applyNumberFormat="0" applyBorder="0" applyAlignment="0" applyProtection="0"/>
    <xf numFmtId="0" fontId="68" fillId="64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87" fillId="90" borderId="178" applyNumberFormat="0" applyAlignment="0" applyProtection="0"/>
    <xf numFmtId="4" fontId="95" fillId="0" borderId="3" applyFill="0" applyBorder="0" applyProtection="0">
      <alignment horizontal="right" vertical="center"/>
    </xf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71" fillId="78" borderId="178" applyNumberFormat="0" applyAlignment="0" applyProtection="0"/>
    <xf numFmtId="0" fontId="87" fillId="90" borderId="178" applyNumberFormat="0" applyAlignment="0" applyProtection="0"/>
    <xf numFmtId="0" fontId="71" fillId="78" borderId="178" applyNumberFormat="0" applyAlignment="0" applyProtection="0"/>
    <xf numFmtId="0" fontId="71" fillId="78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87" fillId="90" borderId="178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0" fontId="72" fillId="79" borderId="179" applyNumberFormat="0" applyAlignment="0" applyProtection="0"/>
    <xf numFmtId="49" fontId="2" fillId="88" borderId="187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94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8" fillId="0" borderId="0" applyFont="0" applyFill="0" applyBorder="0" applyAlignment="0" applyProtection="0"/>
    <xf numFmtId="0" fontId="37" fillId="89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4" fillId="0" borderId="188">
      <alignment horizontal="left" vertical="top" wrapText="1"/>
    </xf>
    <xf numFmtId="3" fontId="96" fillId="0" borderId="187">
      <alignment horizontal="right" vertical="top"/>
    </xf>
    <xf numFmtId="0" fontId="78" fillId="67" borderId="178" applyNumberFormat="0" applyAlignment="0" applyProtection="0"/>
    <xf numFmtId="0" fontId="101" fillId="0" borderId="12"/>
    <xf numFmtId="0" fontId="13" fillId="91" borderId="4">
      <alignment horizontal="centerContinuous" vertical="top" wrapText="1"/>
    </xf>
    <xf numFmtId="0" fontId="97" fillId="0" borderId="0">
      <alignment vertical="top" wrapText="1"/>
    </xf>
    <xf numFmtId="0" fontId="32" fillId="0" borderId="189" applyNumberFormat="0" applyFill="0" applyAlignment="0" applyProtection="0"/>
    <xf numFmtId="0" fontId="73" fillId="0" borderId="0" applyNumberFormat="0" applyFill="0" applyBorder="0" applyAlignment="0" applyProtection="0"/>
    <xf numFmtId="0" fontId="102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7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7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7" fillId="0" borderId="0" applyFont="0" applyFill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110" fillId="23" borderId="0" applyNumberFormat="0" applyBorder="0" applyAlignment="0" applyProtection="0"/>
    <xf numFmtId="0" fontId="111" fillId="23" borderId="0" applyNumberFormat="0" applyBorder="0" applyAlignment="0" applyProtection="0"/>
    <xf numFmtId="0" fontId="111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11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68" borderId="0" applyNumberFormat="0" applyBorder="0" applyAlignment="0" applyProtection="0"/>
    <xf numFmtId="0" fontId="74" fillId="68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6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60" fillId="23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74" fillId="81" borderId="0" applyNumberFormat="0" applyBorder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6" fillId="0" borderId="181" applyNumberFormat="0" applyFill="0" applyAlignment="0" applyProtection="0"/>
    <xf numFmtId="0" fontId="89" fillId="0" borderId="191" applyNumberFormat="0" applyFill="0" applyAlignment="0" applyProtection="0"/>
    <xf numFmtId="0" fontId="76" fillId="0" borderId="181" applyNumberFormat="0" applyFill="0" applyAlignment="0" applyProtection="0"/>
    <xf numFmtId="0" fontId="76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77" fillId="0" borderId="182" applyNumberFormat="0" applyFill="0" applyAlignment="0" applyProtection="0"/>
    <xf numFmtId="0" fontId="90" fillId="0" borderId="192" applyNumberFormat="0" applyFill="0" applyAlignment="0" applyProtection="0"/>
    <xf numFmtId="0" fontId="77" fillId="0" borderId="182" applyNumberFormat="0" applyFill="0" applyAlignment="0" applyProtection="0"/>
    <xf numFmtId="0" fontId="77" fillId="0" borderId="18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192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112" fillId="26" borderId="171" applyNumberFormat="0" applyAlignment="0" applyProtection="0"/>
    <xf numFmtId="0" fontId="112" fillId="69" borderId="171" applyNumberFormat="0" applyAlignment="0" applyProtection="0"/>
    <xf numFmtId="0" fontId="112" fillId="69" borderId="171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112" fillId="26" borderId="171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7" borderId="178" applyNumberFormat="0" applyAlignment="0" applyProtection="0"/>
    <xf numFmtId="0" fontId="78" fillId="69" borderId="178" applyNumberFormat="0" applyAlignment="0" applyProtection="0"/>
    <xf numFmtId="0" fontId="78" fillId="69" borderId="178" applyNumberFormat="0" applyAlignment="0" applyProtection="0"/>
    <xf numFmtId="0" fontId="62" fillId="26" borderId="171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0" fontId="78" fillId="67" borderId="178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3" fillId="6" borderId="0" applyBorder="0">
      <alignment horizontal="right" vertical="center"/>
    </xf>
    <xf numFmtId="0" fontId="99" fillId="0" borderId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79" fillId="0" borderId="183" applyNumberFormat="0" applyFill="0" applyAlignment="0" applyProtection="0"/>
    <xf numFmtId="0" fontId="91" fillId="0" borderId="193" applyNumberFormat="0" applyFill="0" applyAlignment="0" applyProtection="0"/>
    <xf numFmtId="0" fontId="79" fillId="0" borderId="183" applyNumberFormat="0" applyFill="0" applyAlignment="0" applyProtection="0"/>
    <xf numFmtId="0" fontId="79" fillId="0" borderId="18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0" fontId="91" fillId="0" borderId="193" applyNumberFormat="0" applyFill="0" applyAlignment="0" applyProtection="0"/>
    <xf numFmtId="180" fontId="2" fillId="0" borderId="0" applyFont="0" applyFill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3" fillId="69" borderId="0" applyNumberFormat="0" applyBorder="0" applyAlignment="0" applyProtection="0"/>
    <xf numFmtId="0" fontId="92" fillId="69" borderId="0" applyNumberFormat="0" applyBorder="0" applyAlignment="0" applyProtection="0"/>
    <xf numFmtId="0" fontId="80" fillId="69" borderId="0" applyNumberFormat="0" applyBorder="0" applyAlignment="0" applyProtection="0"/>
    <xf numFmtId="0" fontId="114" fillId="25" borderId="0" applyNumberFormat="0" applyBorder="0" applyAlignment="0" applyProtection="0"/>
    <xf numFmtId="0" fontId="93" fillId="69" borderId="0" applyNumberFormat="0" applyBorder="0" applyAlignment="0" applyProtection="0"/>
    <xf numFmtId="0" fontId="114" fillId="25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80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113" fillId="25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92" fillId="69" borderId="0" applyNumberFormat="0" applyBorder="0" applyAlignment="0" applyProtection="0"/>
    <xf numFmtId="0" fontId="11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81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81" fillId="0" borderId="0">
      <alignment vertical="center"/>
    </xf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166" fontId="81" fillId="0" borderId="0">
      <alignment vertical="center"/>
    </xf>
    <xf numFmtId="0" fontId="68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86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8" fillId="0" borderId="0"/>
    <xf numFmtId="0" fontId="68" fillId="0" borderId="0"/>
    <xf numFmtId="0" fontId="108" fillId="0" borderId="0"/>
    <xf numFmtId="0" fontId="2" fillId="0" borderId="0"/>
    <xf numFmtId="0" fontId="108" fillId="0" borderId="0"/>
    <xf numFmtId="0" fontId="108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4" fillId="0" borderId="0"/>
    <xf numFmtId="176" fontId="81" fillId="0" borderId="0">
      <alignment vertical="center"/>
    </xf>
    <xf numFmtId="0" fontId="68" fillId="0" borderId="0"/>
    <xf numFmtId="0" fontId="104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30" fillId="0" borderId="0"/>
    <xf numFmtId="0" fontId="115" fillId="0" borderId="0"/>
    <xf numFmtId="0" fontId="11" fillId="0" borderId="0"/>
    <xf numFmtId="0" fontId="30" fillId="0" borderId="0"/>
    <xf numFmtId="0" fontId="115" fillId="0" borderId="0"/>
    <xf numFmtId="0" fontId="6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5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86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6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8" fillId="0" borderId="0"/>
    <xf numFmtId="0" fontId="68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6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8" fillId="0" borderId="0"/>
    <xf numFmtId="0" fontId="11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68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8" fillId="0" borderId="0"/>
    <xf numFmtId="0" fontId="2" fillId="0" borderId="0"/>
    <xf numFmtId="0" fontId="2" fillId="0" borderId="0"/>
    <xf numFmtId="0" fontId="68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8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8" fillId="0" borderId="0"/>
    <xf numFmtId="4" fontId="37" fillId="0" borderId="4" applyFill="0" applyBorder="0" applyProtection="0">
      <alignment horizontal="right" vertical="center"/>
    </xf>
    <xf numFmtId="0" fontId="95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92" borderId="0" applyNumberFormat="0" applyFont="0" applyBorder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68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57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4" fillId="0" borderId="0" xfId="58"/>
    <xf numFmtId="0" fontId="13" fillId="0" borderId="0" xfId="58" applyFont="1"/>
    <xf numFmtId="0" fontId="32" fillId="0" borderId="0" xfId="58" applyFont="1"/>
    <xf numFmtId="0" fontId="13" fillId="52" borderId="0" xfId="58" applyFont="1" applyFill="1"/>
    <xf numFmtId="0" fontId="13" fillId="53" borderId="0" xfId="58" applyFont="1" applyFill="1"/>
    <xf numFmtId="0" fontId="13" fillId="54" borderId="0" xfId="58" applyFont="1" applyFill="1"/>
    <xf numFmtId="0" fontId="65" fillId="0" borderId="0" xfId="58" applyFont="1"/>
    <xf numFmtId="0" fontId="26" fillId="0" borderId="0" xfId="58" applyFont="1"/>
    <xf numFmtId="9" fontId="0" fillId="0" borderId="0" xfId="2" applyFont="1"/>
    <xf numFmtId="0" fontId="0" fillId="56" borderId="176" xfId="0" applyFill="1" applyBorder="1"/>
    <xf numFmtId="0" fontId="0" fillId="57" borderId="176" xfId="0" applyFill="1" applyBorder="1"/>
    <xf numFmtId="0" fontId="0" fillId="58" borderId="176" xfId="0" applyFill="1" applyBorder="1"/>
    <xf numFmtId="0" fontId="0" fillId="59" borderId="176" xfId="0" applyFill="1" applyBorder="1"/>
    <xf numFmtId="0" fontId="0" fillId="60" borderId="176" xfId="0" applyFill="1" applyBorder="1"/>
    <xf numFmtId="0" fontId="0" fillId="61" borderId="176" xfId="0" applyFill="1" applyBorder="1"/>
    <xf numFmtId="0" fontId="0" fillId="62" borderId="176" xfId="0" applyFill="1" applyBorder="1"/>
    <xf numFmtId="0" fontId="31" fillId="63" borderId="176" xfId="0" applyFont="1" applyFill="1" applyBorder="1"/>
    <xf numFmtId="0" fontId="63" fillId="55" borderId="177" xfId="0" applyFont="1" applyFill="1" applyBorder="1"/>
    <xf numFmtId="0" fontId="66" fillId="0" borderId="0" xfId="0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31750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1640625" defaultRowHeight="14.5"/>
  <cols>
    <col min="1" max="4" width="21.7265625" customWidth="1"/>
    <col min="5" max="6" width="14.1796875" customWidth="1"/>
    <col min="7" max="7" width="12.1796875" customWidth="1"/>
    <col min="8" max="10" width="8.1796875" customWidth="1"/>
    <col min="11" max="11" width="9.7265625" customWidth="1"/>
    <col min="12" max="12" width="8.1796875" customWidth="1"/>
    <col min="13" max="13" width="10" customWidth="1"/>
    <col min="14" max="14" width="11.453125" customWidth="1"/>
    <col min="15" max="15" width="13.453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54" t="s">
        <v>404</v>
      </c>
      <c r="B16" s="454"/>
      <c r="C16" s="454"/>
      <c r="D16" s="454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53" t="s">
        <v>416</v>
      </c>
      <c r="C19" s="453"/>
      <c r="D19" s="453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53" t="s">
        <v>419</v>
      </c>
      <c r="C20" s="453"/>
      <c r="D20" s="453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53" t="s">
        <v>418</v>
      </c>
      <c r="C23" s="453"/>
      <c r="D23" s="453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53" t="s">
        <v>417</v>
      </c>
      <c r="C24" s="453"/>
      <c r="D24" s="453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53" t="s">
        <v>593</v>
      </c>
      <c r="C26" s="453"/>
      <c r="D26" s="453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53" t="s">
        <v>417</v>
      </c>
      <c r="C27" s="453"/>
      <c r="D27" s="453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55" t="s">
        <v>412</v>
      </c>
      <c r="C30" s="453"/>
      <c r="D30" s="453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53" t="s">
        <v>414</v>
      </c>
      <c r="C31" s="453"/>
      <c r="D31" s="453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4.5"/>
  <cols>
    <col min="1" max="1" width="12.1796875" customWidth="1"/>
    <col min="2" max="2" width="11.7265625" customWidth="1"/>
    <col min="3" max="3" width="3.1796875" bestFit="1" customWidth="1"/>
    <col min="4" max="4" width="8.54296875" bestFit="1" customWidth="1"/>
    <col min="5" max="5" width="6.453125" bestFit="1" customWidth="1"/>
    <col min="6" max="6" width="5" bestFit="1" customWidth="1"/>
    <col min="7" max="7" width="5.7265625" bestFit="1" customWidth="1"/>
    <col min="8" max="8" width="5.81640625" bestFit="1" customWidth="1"/>
    <col min="9" max="9" width="5.453125" bestFit="1" customWidth="1"/>
    <col min="10" max="11" width="5.7265625" bestFit="1" customWidth="1"/>
    <col min="12" max="12" width="6.54296875" bestFit="1" customWidth="1"/>
    <col min="13" max="13" width="6" bestFit="1" customWidth="1"/>
    <col min="14" max="14" width="6.7265625" bestFit="1" customWidth="1"/>
    <col min="15" max="15" width="6.54296875" bestFit="1" customWidth="1"/>
    <col min="16" max="16" width="7.1796875" bestFit="1" customWidth="1"/>
    <col min="17" max="17" width="5.7265625" bestFit="1" customWidth="1"/>
    <col min="18" max="18" width="6" bestFit="1" customWidth="1"/>
    <col min="19" max="19" width="5.81640625" bestFit="1" customWidth="1"/>
    <col min="20" max="20" width="5.54296875" bestFit="1" customWidth="1"/>
    <col min="21" max="21" width="5.81640625" bestFit="1" customWidth="1"/>
    <col min="22" max="22" width="6.7265625" bestFit="1" customWidth="1"/>
    <col min="23" max="23" width="5" bestFit="1" customWidth="1"/>
    <col min="24" max="24" width="7.54296875" customWidth="1"/>
    <col min="25" max="25" width="6.7265625" bestFit="1" customWidth="1"/>
    <col min="26" max="28" width="6" bestFit="1" customWidth="1"/>
    <col min="29" max="29" width="5.7265625" bestFit="1" customWidth="1"/>
    <col min="30" max="30" width="6.726562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31750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4.5"/>
  <cols>
    <col min="2" max="2" width="30" bestFit="1" customWidth="1"/>
    <col min="3" max="3" width="10" bestFit="1" customWidth="1"/>
    <col min="4" max="4" width="8.81640625" bestFit="1" customWidth="1"/>
    <col min="5" max="5" width="16.453125" bestFit="1" customWidth="1"/>
    <col min="6" max="6" width="5.54296875" bestFit="1" customWidth="1"/>
    <col min="7" max="7" width="8.81640625" bestFit="1" customWidth="1"/>
    <col min="8" max="8" width="14.26953125" bestFit="1" customWidth="1"/>
    <col min="9" max="9" width="12.26953125" bestFit="1" customWidth="1"/>
    <col min="10" max="10" width="12" bestFit="1" customWidth="1"/>
    <col min="11" max="11" width="27.8164062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4.5"/>
  <cols>
    <col min="2" max="3" width="12.54296875" bestFit="1" customWidth="1"/>
    <col min="4" max="4" width="9.26953125" bestFit="1" customWidth="1"/>
    <col min="5" max="5" width="10.7265625" bestFit="1" customWidth="1"/>
    <col min="17" max="17" width="12.453125" bestFit="1" customWidth="1"/>
    <col min="18" max="18" width="9.269531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4.5"/>
  <cols>
    <col min="2" max="2" width="24.54296875" bestFit="1" customWidth="1"/>
    <col min="3" max="3" width="11.81640625" bestFit="1" customWidth="1"/>
    <col min="4" max="4" width="5" bestFit="1" customWidth="1"/>
    <col min="5" max="5" width="8.453125" bestFit="1" customWidth="1"/>
    <col min="6" max="6" width="8.1796875" bestFit="1" customWidth="1"/>
    <col min="7" max="7" width="11.1796875" bestFit="1" customWidth="1"/>
    <col min="8" max="8" width="31.726562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4.5"/>
  <cols>
    <col min="2" max="2" width="9" customWidth="1"/>
    <col min="3" max="3" width="11.81640625" bestFit="1" customWidth="1"/>
    <col min="4" max="4" width="9.26953125" bestFit="1" customWidth="1"/>
    <col min="5" max="5" width="10.7265625" bestFit="1" customWidth="1"/>
  </cols>
  <sheetData>
    <row r="2" spans="2:11">
      <c r="B2" s="28" t="s">
        <v>199</v>
      </c>
      <c r="D2" s="18"/>
    </row>
    <row r="3" spans="2:11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2:W68"/>
  <sheetViews>
    <sheetView tabSelected="1" topLeftCell="A15" workbookViewId="0">
      <selection activeCell="B11" sqref="B11"/>
    </sheetView>
  </sheetViews>
  <sheetFormatPr defaultRowHeight="14.5"/>
  <cols>
    <col min="2" max="2" width="20" customWidth="1"/>
    <col min="3" max="3" width="11.81640625" bestFit="1" customWidth="1"/>
    <col min="4" max="4" width="9.26953125" bestFit="1" customWidth="1"/>
    <col min="5" max="5" width="10.7265625" bestFit="1" customWidth="1"/>
  </cols>
  <sheetData>
    <row r="2" spans="2:23">
      <c r="B2" s="28" t="s">
        <v>199</v>
      </c>
      <c r="D2" s="18"/>
    </row>
    <row r="3" spans="2:23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23">
      <c r="C4" t="s">
        <v>507</v>
      </c>
      <c r="D4" t="s">
        <v>200</v>
      </c>
      <c r="E4" s="19" t="str">
        <f>_xlfn.TEXTJOIN(",",TRUE,Regions!$C$3:$D$3)</f>
        <v>IE,National</v>
      </c>
      <c r="F4" s="19">
        <f>ROUNDUP(Conversions!$B$2*SUM('EB2018'!$AO$30),1)</f>
        <v>23.400000000000002</v>
      </c>
      <c r="G4" s="19">
        <f>ROUNDUP(Conversions!$B$2*SUM('EB2019'!$AO$30),1)</f>
        <v>24.1</v>
      </c>
      <c r="H4" s="19">
        <f>ROUNDUP(Conversions!$B$2*SUM('EB2020'!$AO$30),1)</f>
        <v>24.900000000000002</v>
      </c>
      <c r="I4" s="19">
        <f>ROUNDUP(Conversions!$B$2*SUM('EB2021'!$AO$30),1)</f>
        <v>24.700000000000003</v>
      </c>
      <c r="J4" s="19">
        <f>ROUNDUP(Conversions!$B$2*SUM('EB2022'!$AO$30),1)</f>
        <v>24.8</v>
      </c>
      <c r="K4">
        <v>1</v>
      </c>
    </row>
    <row r="9" spans="2:23">
      <c r="B9" s="431" t="s">
        <v>594</v>
      </c>
      <c r="C9" s="431"/>
      <c r="D9" s="429"/>
      <c r="E9" s="429"/>
      <c r="F9" s="429"/>
      <c r="G9" s="429"/>
      <c r="H9" s="429"/>
      <c r="I9" s="429"/>
      <c r="J9" s="429"/>
      <c r="K9" s="429"/>
      <c r="L9" s="429"/>
      <c r="M9" s="429"/>
    </row>
    <row r="10" spans="2:23">
      <c r="B10" s="431" t="s">
        <v>595</v>
      </c>
      <c r="C10" s="431"/>
      <c r="D10" s="429"/>
      <c r="E10" s="429"/>
      <c r="F10" s="429"/>
      <c r="G10" s="429"/>
      <c r="H10" s="429"/>
      <c r="I10" s="429"/>
      <c r="J10" s="429"/>
      <c r="K10" s="429"/>
      <c r="L10" s="429"/>
      <c r="M10" s="429"/>
    </row>
    <row r="11" spans="2:23">
      <c r="B11" s="429"/>
      <c r="C11" s="429"/>
      <c r="D11" s="429"/>
      <c r="E11" s="429"/>
      <c r="F11" s="429"/>
      <c r="G11" s="429"/>
      <c r="H11" s="429"/>
      <c r="I11" s="429"/>
      <c r="J11" s="429" t="s">
        <v>642</v>
      </c>
      <c r="K11" s="429"/>
      <c r="L11" s="429"/>
      <c r="M11" s="429"/>
    </row>
    <row r="12" spans="2:23">
      <c r="B12" s="434" t="s">
        <v>461</v>
      </c>
      <c r="C12" s="430" t="s">
        <v>596</v>
      </c>
      <c r="D12" s="432" t="s">
        <v>491</v>
      </c>
      <c r="E12" s="432" t="s">
        <v>225</v>
      </c>
      <c r="F12" s="432" t="s">
        <v>597</v>
      </c>
      <c r="G12" s="432" t="s">
        <v>598</v>
      </c>
      <c r="H12" s="433" t="s">
        <v>474</v>
      </c>
      <c r="I12" s="433" t="s">
        <v>226</v>
      </c>
      <c r="J12" s="433" t="s">
        <v>227</v>
      </c>
      <c r="K12" s="430" t="s">
        <v>620</v>
      </c>
      <c r="L12" s="435" t="s">
        <v>462</v>
      </c>
      <c r="M12" s="435" t="s">
        <v>621</v>
      </c>
      <c r="N12" s="434" t="s">
        <v>463</v>
      </c>
      <c r="T12" t="s">
        <v>600</v>
      </c>
      <c r="U12" t="s">
        <v>601</v>
      </c>
    </row>
    <row r="13" spans="2:23">
      <c r="B13" t="str">
        <f>"UC-"&amp;W13&amp;"_ETS_NETS-ratio"</f>
        <v>UC-CEM_ETS_NETS-ratio</v>
      </c>
      <c r="D13" s="429" t="s">
        <v>599</v>
      </c>
      <c r="E13" s="436" t="str">
        <f>"I*"&amp;W13&amp;"*"</f>
        <v>I*CEM*</v>
      </c>
      <c r="I13" s="429">
        <v>2018</v>
      </c>
      <c r="J13" t="s">
        <v>500</v>
      </c>
      <c r="K13">
        <v>1</v>
      </c>
      <c r="L13">
        <v>0</v>
      </c>
      <c r="M13">
        <v>3</v>
      </c>
      <c r="N13" t="str">
        <f>+S13&amp;" industry sector ETS and non-ETS ratio"</f>
        <v>Cement industry sector ETS and non-ETS ratio</v>
      </c>
      <c r="S13" s="438" t="s">
        <v>602</v>
      </c>
      <c r="T13" s="437">
        <v>1</v>
      </c>
      <c r="U13" s="437">
        <v>0</v>
      </c>
      <c r="W13" t="s">
        <v>611</v>
      </c>
    </row>
    <row r="14" spans="2:23">
      <c r="D14" s="429" t="s">
        <v>599</v>
      </c>
      <c r="E14" s="436" t="str">
        <f>"I*"&amp;W13&amp;"*NETS*"</f>
        <v>I*CEM*NETS*</v>
      </c>
      <c r="K14" s="387">
        <f>1-T13</f>
        <v>0</v>
      </c>
      <c r="S14" s="438"/>
    </row>
    <row r="15" spans="2:23">
      <c r="B15" t="str">
        <f>"UC-"&amp;W15&amp;"_ETS_NETS-ratio"</f>
        <v>UC-CAF_ETS_NETS-ratio</v>
      </c>
      <c r="D15" s="429" t="s">
        <v>599</v>
      </c>
      <c r="E15" s="436" t="str">
        <f>"I*"&amp;W15&amp;"*"</f>
        <v>I*CAF*</v>
      </c>
      <c r="I15" s="429">
        <v>2018</v>
      </c>
      <c r="J15" t="s">
        <v>500</v>
      </c>
      <c r="K15">
        <v>1</v>
      </c>
      <c r="L15">
        <v>0</v>
      </c>
      <c r="M15">
        <v>3</v>
      </c>
      <c r="N15" t="str">
        <f>+S15&amp;" industry sector ETS and non-ETS ratio"</f>
        <v>Chemicals industry sector ETS and non-ETS ratio</v>
      </c>
      <c r="S15" s="439" t="s">
        <v>603</v>
      </c>
      <c r="T15" s="437">
        <v>0.47195405751363473</v>
      </c>
      <c r="U15" s="437">
        <v>0.52804594248636527</v>
      </c>
      <c r="W15" t="s">
        <v>612</v>
      </c>
    </row>
    <row r="16" spans="2:23">
      <c r="D16" s="429" t="s">
        <v>599</v>
      </c>
      <c r="E16" s="436" t="str">
        <f>"I*"&amp;W15&amp;"*NETS*"</f>
        <v>I*CAF*NETS*</v>
      </c>
      <c r="K16" s="387">
        <f>1-T15</f>
        <v>0.52804594248636527</v>
      </c>
      <c r="S16" s="439"/>
      <c r="T16" s="437"/>
      <c r="U16" s="437"/>
    </row>
    <row r="17" spans="2:23">
      <c r="B17" t="str">
        <f>"UC-"&amp;W17&amp;"_ETS_NETS-ratio"</f>
        <v>UC-FAP_ETS_NETS-ratio</v>
      </c>
      <c r="D17" s="429" t="s">
        <v>599</v>
      </c>
      <c r="E17" s="436" t="str">
        <f>"I*"&amp;W17&amp;"*"</f>
        <v>I*FAP*</v>
      </c>
      <c r="I17" s="429">
        <v>2018</v>
      </c>
      <c r="J17" t="s">
        <v>500</v>
      </c>
      <c r="K17">
        <v>1</v>
      </c>
      <c r="L17">
        <v>0</v>
      </c>
      <c r="M17">
        <v>3</v>
      </c>
      <c r="N17" t="str">
        <f>+S17&amp;" industry sector ETS and non-ETS ratio"</f>
        <v>Food and Drink industry sector ETS and non-ETS ratio</v>
      </c>
      <c r="S17" s="441" t="s">
        <v>604</v>
      </c>
      <c r="T17" s="437">
        <v>0.80933693328890011</v>
      </c>
      <c r="U17" s="437">
        <v>0.19066306671109989</v>
      </c>
      <c r="W17" t="s">
        <v>613</v>
      </c>
    </row>
    <row r="18" spans="2:23">
      <c r="D18" s="429" t="s">
        <v>599</v>
      </c>
      <c r="E18" s="436" t="str">
        <f>"I*"&amp;W17&amp;"*NETS*"</f>
        <v>I*FAP*NETS*</v>
      </c>
      <c r="K18" s="387">
        <f>1-T17</f>
        <v>0.19066306671109989</v>
      </c>
      <c r="S18" s="441"/>
      <c r="T18" s="437"/>
      <c r="U18" s="437"/>
    </row>
    <row r="19" spans="2:23">
      <c r="B19" t="str">
        <f>"UC-"&amp;W19&amp;"_ETS_NETS-ratio"</f>
        <v>UC-LIM_ETS_NETS-ratio</v>
      </c>
      <c r="D19" s="429" t="s">
        <v>599</v>
      </c>
      <c r="E19" s="436" t="str">
        <f>"I*"&amp;W19&amp;"*"</f>
        <v>I*LIM*</v>
      </c>
      <c r="I19" s="429">
        <v>2018</v>
      </c>
      <c r="J19" t="s">
        <v>500</v>
      </c>
      <c r="K19">
        <v>1</v>
      </c>
      <c r="L19">
        <v>0</v>
      </c>
      <c r="M19">
        <v>3</v>
      </c>
      <c r="N19" t="str">
        <f>+S19&amp;" industry sector ETS and non-ETS ratio"</f>
        <v>Lime industry sector ETS and non-ETS ratio</v>
      </c>
      <c r="S19" s="443" t="s">
        <v>605</v>
      </c>
      <c r="T19" s="437">
        <v>1</v>
      </c>
      <c r="U19" s="437">
        <v>0</v>
      </c>
      <c r="W19" t="s">
        <v>614</v>
      </c>
    </row>
    <row r="20" spans="2:23">
      <c r="D20" s="429" t="s">
        <v>599</v>
      </c>
      <c r="E20" s="436" t="str">
        <f>"I*"&amp;W19&amp;"*NETS*"</f>
        <v>I*LIM*NETS*</v>
      </c>
      <c r="K20" s="387">
        <f>1-T19</f>
        <v>0</v>
      </c>
      <c r="S20" s="443"/>
      <c r="T20" s="437"/>
      <c r="U20" s="437"/>
    </row>
    <row r="21" spans="2:23">
      <c r="B21" t="str">
        <f>"UC-"&amp;W21&amp;"_ETS_NETS-ratio"</f>
        <v>UC-MAP_ETS_NETS-ratio</v>
      </c>
      <c r="D21" s="429" t="s">
        <v>599</v>
      </c>
      <c r="E21" s="436" t="str">
        <f>"I*"&amp;W21&amp;"*"</f>
        <v>I*MAP*</v>
      </c>
      <c r="I21" s="429">
        <v>2018</v>
      </c>
      <c r="J21" t="s">
        <v>500</v>
      </c>
      <c r="K21">
        <v>1</v>
      </c>
      <c r="L21">
        <v>0</v>
      </c>
      <c r="M21">
        <v>3</v>
      </c>
      <c r="N21" t="str">
        <f>+S21&amp;" industry sector ETS and non-ETS ratio"</f>
        <v>Metals industry sector ETS and non-ETS ratio</v>
      </c>
      <c r="S21" s="444" t="s">
        <v>606</v>
      </c>
      <c r="T21" s="437">
        <v>0.87242155202357952</v>
      </c>
      <c r="U21" s="437">
        <v>0.12757844797642048</v>
      </c>
      <c r="W21" t="s">
        <v>615</v>
      </c>
    </row>
    <row r="22" spans="2:23">
      <c r="D22" s="429" t="s">
        <v>599</v>
      </c>
      <c r="E22" s="436" t="str">
        <f>"I*"&amp;W21&amp;"*NETS*"</f>
        <v>I*MAP*NETS*</v>
      </c>
      <c r="K22" s="387">
        <f>1-T21</f>
        <v>0.12757844797642048</v>
      </c>
      <c r="S22" s="444"/>
      <c r="T22" s="437"/>
      <c r="U22" s="437"/>
    </row>
    <row r="23" spans="2:23">
      <c r="B23" t="str">
        <f>"UC-"&amp;W23&amp;"_ETS_NETS-ratio"</f>
        <v>UC-OMA_ETS_NETS-ratio</v>
      </c>
      <c r="D23" s="429" t="s">
        <v>599</v>
      </c>
      <c r="E23" s="436" t="str">
        <f>"I*"&amp;W23&amp;"*"</f>
        <v>I*OMA*</v>
      </c>
      <c r="I23" s="429">
        <v>2018</v>
      </c>
      <c r="J23" t="s">
        <v>500</v>
      </c>
      <c r="K23">
        <v>1</v>
      </c>
      <c r="L23">
        <v>0</v>
      </c>
      <c r="M23">
        <v>3</v>
      </c>
      <c r="N23" t="str">
        <f>+S23&amp;" industry sector ETS and non-ETS ratio"</f>
        <v>Other Industry industry sector ETS and non-ETS ratio</v>
      </c>
      <c r="S23" s="442" t="s">
        <v>607</v>
      </c>
      <c r="T23" s="437">
        <v>0.30182536495769408</v>
      </c>
      <c r="U23" s="437">
        <v>0.69817463504230592</v>
      </c>
      <c r="W23" t="s">
        <v>616</v>
      </c>
    </row>
    <row r="24" spans="2:23">
      <c r="D24" s="429" t="s">
        <v>599</v>
      </c>
      <c r="E24" s="436" t="str">
        <f>"I*"&amp;W23&amp;"*NETS*"</f>
        <v>I*OMA*NETS*</v>
      </c>
      <c r="K24" s="387">
        <f>1-T23</f>
        <v>0.69817463504230592</v>
      </c>
      <c r="S24" s="442"/>
      <c r="T24" s="437"/>
      <c r="U24" s="437"/>
    </row>
    <row r="25" spans="2:23">
      <c r="B25" t="str">
        <f>"UC-"&amp;W25&amp;"_ETS_NETS-ratio"</f>
        <v>UC-ONM_ETS_NETS-ratio</v>
      </c>
      <c r="D25" s="429" t="s">
        <v>599</v>
      </c>
      <c r="E25" s="436" t="str">
        <f>"I*"&amp;W25&amp;"*"</f>
        <v>I*ONM*</v>
      </c>
      <c r="I25" s="429">
        <v>2018</v>
      </c>
      <c r="J25" t="s">
        <v>500</v>
      </c>
      <c r="K25">
        <v>1</v>
      </c>
      <c r="L25">
        <v>0</v>
      </c>
      <c r="M25">
        <v>3</v>
      </c>
      <c r="N25" t="str">
        <f>+S25&amp;" industry sector ETS and non-ETS ratio"</f>
        <v>Other Minerals industry sector ETS and non-ETS ratio</v>
      </c>
      <c r="S25" s="440" t="s">
        <v>608</v>
      </c>
      <c r="T25" s="437">
        <v>0.18105973988017879</v>
      </c>
      <c r="U25" s="437">
        <v>0.81894026011982124</v>
      </c>
      <c r="W25" t="s">
        <v>617</v>
      </c>
    </row>
    <row r="26" spans="2:23">
      <c r="D26" s="429" t="s">
        <v>599</v>
      </c>
      <c r="E26" s="436" t="str">
        <f>"I*"&amp;W25&amp;"*NETS*"</f>
        <v>I*ONM*NETS*</v>
      </c>
      <c r="K26" s="387">
        <f>1-T25</f>
        <v>0.81894026011982124</v>
      </c>
      <c r="S26" s="440"/>
      <c r="T26" s="437"/>
      <c r="U26" s="437"/>
    </row>
    <row r="27" spans="2:23">
      <c r="B27" t="s">
        <v>456</v>
      </c>
      <c r="D27" s="429"/>
      <c r="E27" s="436"/>
      <c r="I27" s="429"/>
      <c r="S27" s="445" t="s">
        <v>609</v>
      </c>
      <c r="T27" s="437">
        <v>1</v>
      </c>
      <c r="U27" s="437">
        <v>0</v>
      </c>
      <c r="W27" t="s">
        <v>618</v>
      </c>
    </row>
    <row r="28" spans="2:23">
      <c r="B28" t="s">
        <v>456</v>
      </c>
      <c r="D28" s="429"/>
      <c r="E28" s="436"/>
      <c r="K28" s="387"/>
      <c r="S28" s="445"/>
      <c r="T28" s="437"/>
      <c r="U28" s="437"/>
    </row>
    <row r="29" spans="2:23">
      <c r="B29" t="str">
        <f>"UC-"&amp;W29&amp;"_ETS_NETS-ratio"</f>
        <v>UC-WAP_ETS_NETS-ratio</v>
      </c>
      <c r="D29" s="429" t="s">
        <v>599</v>
      </c>
      <c r="E29" s="436" t="str">
        <f>"I*"&amp;W29&amp;"*"</f>
        <v>I*WAP*</v>
      </c>
      <c r="I29" s="429">
        <v>2018</v>
      </c>
      <c r="J29" t="s">
        <v>500</v>
      </c>
      <c r="K29">
        <v>1</v>
      </c>
      <c r="L29">
        <v>0</v>
      </c>
      <c r="M29">
        <v>3</v>
      </c>
      <c r="N29" t="str">
        <f>+S29&amp;" industry sector ETS and non-ETS ratio"</f>
        <v>Wood Products industry sector ETS and non-ETS ratio</v>
      </c>
      <c r="S29" s="443" t="s">
        <v>610</v>
      </c>
      <c r="T29" s="437">
        <v>0.62624512326538739</v>
      </c>
      <c r="U29" s="437">
        <v>0.37375487673461261</v>
      </c>
      <c r="W29" t="s">
        <v>619</v>
      </c>
    </row>
    <row r="30" spans="2:23">
      <c r="D30" s="429" t="s">
        <v>599</v>
      </c>
      <c r="E30" s="436" t="str">
        <f>"I*"&amp;W29&amp;"*NETS*"</f>
        <v>I*WAP*NETS*</v>
      </c>
      <c r="K30" s="387">
        <f>1-T29</f>
        <v>0.37375487673461261</v>
      </c>
    </row>
    <row r="33" spans="2:22">
      <c r="B33" s="431" t="s">
        <v>594</v>
      </c>
    </row>
    <row r="34" spans="2:22" ht="18.5">
      <c r="B34" s="431" t="s">
        <v>595</v>
      </c>
      <c r="M34" s="447" t="s">
        <v>622</v>
      </c>
    </row>
    <row r="35" spans="2:22" ht="15" thickBot="1">
      <c r="E35" s="435" t="s">
        <v>626</v>
      </c>
      <c r="M35" s="446" t="s">
        <v>627</v>
      </c>
      <c r="N35" s="446" t="s">
        <v>627</v>
      </c>
      <c r="O35" s="446" t="s">
        <v>628</v>
      </c>
      <c r="P35" s="446" t="s">
        <v>628</v>
      </c>
      <c r="Q35" s="446" t="s">
        <v>629</v>
      </c>
      <c r="R35" s="446" t="s">
        <v>629</v>
      </c>
      <c r="S35" s="446" t="s">
        <v>630</v>
      </c>
      <c r="T35" s="446" t="s">
        <v>630</v>
      </c>
    </row>
    <row r="36" spans="2:22" ht="15.5" thickTop="1" thickBot="1">
      <c r="B36" s="435" t="s">
        <v>461</v>
      </c>
      <c r="C36" s="435" t="s">
        <v>623</v>
      </c>
      <c r="D36" s="435" t="s">
        <v>624</v>
      </c>
      <c r="E36" s="435" t="s">
        <v>625</v>
      </c>
      <c r="F36" s="435" t="s">
        <v>477</v>
      </c>
      <c r="G36" s="435" t="s">
        <v>1</v>
      </c>
      <c r="H36" s="435" t="s">
        <v>462</v>
      </c>
      <c r="I36" s="435" t="s">
        <v>621</v>
      </c>
      <c r="J36" s="434" t="s">
        <v>463</v>
      </c>
      <c r="M36" s="446" t="s">
        <v>600</v>
      </c>
      <c r="N36" t="s">
        <v>601</v>
      </c>
      <c r="O36" s="446" t="s">
        <v>600</v>
      </c>
      <c r="P36" t="s">
        <v>601</v>
      </c>
      <c r="Q36" s="446" t="s">
        <v>600</v>
      </c>
      <c r="R36" t="s">
        <v>601</v>
      </c>
      <c r="S36" s="446" t="s">
        <v>600</v>
      </c>
      <c r="T36" t="s">
        <v>601</v>
      </c>
    </row>
    <row r="37" spans="2:22" ht="15" thickTop="1">
      <c r="B37" t="str">
        <f>"UC-"&amp;E37&amp;"-ETS-SHR"</f>
        <v>UC-CEMHTH-ETS-SHR</v>
      </c>
      <c r="C37" t="str">
        <f>+"I*"&amp;V37&amp;"*ETS*"</f>
        <v>I*CEM*ETS*</v>
      </c>
      <c r="E37" t="str">
        <f>+V37&amp;$M$35</f>
        <v>CEMHTH</v>
      </c>
      <c r="F37">
        <v>1</v>
      </c>
      <c r="G37" s="387">
        <f>+N37</f>
        <v>0</v>
      </c>
      <c r="H37">
        <v>0</v>
      </c>
      <c r="I37">
        <v>3</v>
      </c>
      <c r="J37" t="str">
        <f>+L37&amp;" industry sector ETS and non-ETS ratio"</f>
        <v>Cement industry sector ETS and non-ETS ratio</v>
      </c>
      <c r="L37" s="438" t="s">
        <v>602</v>
      </c>
      <c r="M37" s="437">
        <v>1</v>
      </c>
      <c r="N37" s="437">
        <v>0</v>
      </c>
      <c r="O37" s="437">
        <v>1</v>
      </c>
      <c r="P37" s="437">
        <v>0</v>
      </c>
      <c r="Q37" s="437">
        <v>0</v>
      </c>
      <c r="R37" s="437">
        <v>1</v>
      </c>
      <c r="S37" s="437">
        <v>0</v>
      </c>
      <c r="T37" s="437">
        <v>1</v>
      </c>
      <c r="V37" t="s">
        <v>611</v>
      </c>
    </row>
    <row r="38" spans="2:22">
      <c r="B38" t="str">
        <f t="shared" ref="B38:B40" si="0">"UC-"&amp;E38&amp;"-ETS-SHR"</f>
        <v>UC-CEMMTH-ETS-SHR</v>
      </c>
      <c r="C38" t="str">
        <f>+"I*"&amp;V37&amp;"*ETS*"</f>
        <v>I*CEM*ETS*</v>
      </c>
      <c r="E38" t="str">
        <f>+V37&amp;$O$35</f>
        <v>CEMMTH</v>
      </c>
      <c r="F38">
        <v>1</v>
      </c>
      <c r="G38" s="387">
        <f>+P37</f>
        <v>0</v>
      </c>
      <c r="H38">
        <v>0</v>
      </c>
      <c r="I38">
        <v>3</v>
      </c>
      <c r="J38" t="str">
        <f>+L37&amp;" industry sector ETS and non-ETS ratio"</f>
        <v>Cement industry sector ETS and non-ETS ratio</v>
      </c>
      <c r="L38" s="439" t="s">
        <v>603</v>
      </c>
      <c r="M38" s="437">
        <v>0</v>
      </c>
      <c r="N38" s="437">
        <v>1</v>
      </c>
      <c r="O38" s="437">
        <v>0.65100424566674098</v>
      </c>
      <c r="P38" s="437">
        <v>0.34899575433325902</v>
      </c>
      <c r="Q38" s="437">
        <v>0.39432617238338241</v>
      </c>
      <c r="R38" s="437">
        <v>0.60567382761661759</v>
      </c>
      <c r="S38" s="437">
        <v>0.40353177057737533</v>
      </c>
      <c r="T38" s="437">
        <v>0.59646822942262467</v>
      </c>
      <c r="V38" t="s">
        <v>612</v>
      </c>
    </row>
    <row r="39" spans="2:22">
      <c r="B39" t="str">
        <f t="shared" si="0"/>
        <v>UC-CEMLTH-ETS-SHR</v>
      </c>
      <c r="C39" t="str">
        <f>+"I*"&amp;V37&amp;"*ETS*"</f>
        <v>I*CEM*ETS*</v>
      </c>
      <c r="E39" t="str">
        <f>+V37&amp;$Q$35</f>
        <v>CEMLTH</v>
      </c>
      <c r="F39">
        <v>1</v>
      </c>
      <c r="G39" s="387">
        <f>+R37</f>
        <v>1</v>
      </c>
      <c r="H39">
        <v>0</v>
      </c>
      <c r="I39">
        <v>3</v>
      </c>
      <c r="J39" t="str">
        <f>+L37&amp;" industry sector ETS and non-ETS ratio"</f>
        <v>Cement industry sector ETS and non-ETS ratio</v>
      </c>
      <c r="L39" s="441" t="s">
        <v>604</v>
      </c>
      <c r="M39" s="437">
        <v>0</v>
      </c>
      <c r="N39" s="437">
        <v>1</v>
      </c>
      <c r="O39" s="437">
        <v>0.80385676770214443</v>
      </c>
      <c r="P39" s="437">
        <v>0.19614323229785557</v>
      </c>
      <c r="Q39" s="437">
        <v>0.82783164838932355</v>
      </c>
      <c r="R39" s="437">
        <v>0.17216835161067645</v>
      </c>
      <c r="S39" s="437">
        <v>0.76492060838224751</v>
      </c>
      <c r="T39" s="437">
        <v>0.23507939161775249</v>
      </c>
      <c r="V39" t="s">
        <v>613</v>
      </c>
    </row>
    <row r="40" spans="2:22">
      <c r="B40" t="str">
        <f t="shared" si="0"/>
        <v>UC-CEMHET-ETS-SHR</v>
      </c>
      <c r="C40" t="str">
        <f>+"I*"&amp;V37&amp;"*ETS*"</f>
        <v>I*CEM*ETS*</v>
      </c>
      <c r="E40" t="str">
        <f>+V37&amp;$S$35</f>
        <v>CEMHET</v>
      </c>
      <c r="F40">
        <v>1</v>
      </c>
      <c r="G40" s="387">
        <f>+T37</f>
        <v>1</v>
      </c>
      <c r="H40">
        <v>0</v>
      </c>
      <c r="I40">
        <v>3</v>
      </c>
      <c r="J40" t="str">
        <f>+L37&amp;" industry sector ETS and non-ETS ratio"</f>
        <v>Cement industry sector ETS and non-ETS ratio</v>
      </c>
      <c r="L40" s="443" t="s">
        <v>605</v>
      </c>
      <c r="M40" s="437">
        <v>1</v>
      </c>
      <c r="N40" s="437">
        <v>0</v>
      </c>
      <c r="O40" s="437">
        <v>0</v>
      </c>
      <c r="P40" s="437">
        <v>1</v>
      </c>
      <c r="Q40" s="437">
        <v>0</v>
      </c>
      <c r="R40" s="437">
        <v>1</v>
      </c>
      <c r="S40" s="437">
        <v>0</v>
      </c>
      <c r="T40" s="437">
        <v>1</v>
      </c>
      <c r="V40" t="s">
        <v>614</v>
      </c>
    </row>
    <row r="41" spans="2:22">
      <c r="B41" t="str">
        <f>"UC-"&amp;E41&amp;"-ETS-SHR"</f>
        <v>UC-CAFHTH-ETS-SHR</v>
      </c>
      <c r="C41" t="str">
        <f>+"I*"&amp;V38&amp;"*ETS*"</f>
        <v>I*CAF*ETS*</v>
      </c>
      <c r="E41" t="str">
        <f>+V38&amp;$M$35</f>
        <v>CAFHTH</v>
      </c>
      <c r="F41">
        <v>1</v>
      </c>
      <c r="G41" s="387">
        <f>+N38</f>
        <v>1</v>
      </c>
      <c r="H41">
        <v>0</v>
      </c>
      <c r="I41">
        <v>3</v>
      </c>
      <c r="J41" t="str">
        <f>+L38&amp;" industry sector ETS and non-ETS ratio"</f>
        <v>Chemicals industry sector ETS and non-ETS ratio</v>
      </c>
      <c r="L41" s="444" t="s">
        <v>606</v>
      </c>
      <c r="M41" s="437">
        <v>0.70956837011113805</v>
      </c>
      <c r="N41" s="437">
        <v>0.29043162988886195</v>
      </c>
      <c r="O41" s="437">
        <v>0.92820959285917448</v>
      </c>
      <c r="P41" s="437">
        <v>7.1790407140825518E-2</v>
      </c>
      <c r="Q41" s="437">
        <v>0</v>
      </c>
      <c r="R41" s="437">
        <v>1</v>
      </c>
      <c r="S41" s="437">
        <v>0</v>
      </c>
      <c r="T41" s="437">
        <v>1</v>
      </c>
      <c r="V41" t="s">
        <v>615</v>
      </c>
    </row>
    <row r="42" spans="2:22">
      <c r="B42" t="str">
        <f t="shared" ref="B42:B44" si="1">"UC-"&amp;E42&amp;"-ETS-SHR"</f>
        <v>UC-CAFMTH-ETS-SHR</v>
      </c>
      <c r="C42" t="str">
        <f>+"I*"&amp;V38&amp;"*ETS*"</f>
        <v>I*CAF*ETS*</v>
      </c>
      <c r="E42" t="str">
        <f>+V38&amp;$O$35</f>
        <v>CAFMTH</v>
      </c>
      <c r="F42">
        <v>1</v>
      </c>
      <c r="G42" s="387">
        <f>+P38</f>
        <v>0.34899575433325902</v>
      </c>
      <c r="H42">
        <v>0</v>
      </c>
      <c r="I42">
        <v>3</v>
      </c>
      <c r="J42" t="str">
        <f>+L38&amp;" industry sector ETS and non-ETS ratio"</f>
        <v>Chemicals industry sector ETS and non-ETS ratio</v>
      </c>
      <c r="L42" s="442" t="s">
        <v>607</v>
      </c>
      <c r="M42" s="437">
        <v>0</v>
      </c>
      <c r="N42" s="437">
        <v>1</v>
      </c>
      <c r="O42" s="437">
        <v>0</v>
      </c>
      <c r="P42" s="437">
        <v>1</v>
      </c>
      <c r="Q42" s="437">
        <v>0.31871113068130286</v>
      </c>
      <c r="R42" s="437">
        <v>0.68128886931869714</v>
      </c>
      <c r="S42" s="437">
        <v>0.29608518426463049</v>
      </c>
      <c r="T42" s="437">
        <v>0.70391481573536951</v>
      </c>
      <c r="V42" t="s">
        <v>616</v>
      </c>
    </row>
    <row r="43" spans="2:22">
      <c r="B43" t="str">
        <f t="shared" si="1"/>
        <v>UC-CAFLTH-ETS-SHR</v>
      </c>
      <c r="C43" t="str">
        <f>+"I*"&amp;V38&amp;"*ETS*"</f>
        <v>I*CAF*ETS*</v>
      </c>
      <c r="E43" t="str">
        <f>+V38&amp;$Q$35</f>
        <v>CAFLTH</v>
      </c>
      <c r="F43">
        <v>1</v>
      </c>
      <c r="G43" s="387">
        <f>+R38</f>
        <v>0.60567382761661759</v>
      </c>
      <c r="H43">
        <v>0</v>
      </c>
      <c r="I43">
        <v>3</v>
      </c>
      <c r="J43" t="str">
        <f>+L38&amp;" industry sector ETS and non-ETS ratio"</f>
        <v>Chemicals industry sector ETS and non-ETS ratio</v>
      </c>
      <c r="L43" s="440" t="s">
        <v>608</v>
      </c>
      <c r="M43" s="437">
        <v>9.0804841486354038E-2</v>
      </c>
      <c r="N43" s="437">
        <v>0.90919515851364596</v>
      </c>
      <c r="O43" s="437">
        <v>0.128622383478744</v>
      </c>
      <c r="P43" s="437">
        <v>0.871377616521256</v>
      </c>
      <c r="Q43" s="437">
        <v>0.27513312098226583</v>
      </c>
      <c r="R43" s="437">
        <v>0.72486687901773417</v>
      </c>
      <c r="S43" s="437">
        <v>0</v>
      </c>
      <c r="T43" s="437">
        <v>1</v>
      </c>
      <c r="V43" t="s">
        <v>617</v>
      </c>
    </row>
    <row r="44" spans="2:22">
      <c r="B44" t="str">
        <f t="shared" si="1"/>
        <v>UC-CAFHET-ETS-SHR</v>
      </c>
      <c r="C44" t="str">
        <f>+"I*"&amp;V38&amp;"*ETS*"</f>
        <v>I*CAF*ETS*</v>
      </c>
      <c r="E44" t="str">
        <f>+V38&amp;$S$35</f>
        <v>CAFHET</v>
      </c>
      <c r="F44">
        <v>1</v>
      </c>
      <c r="G44" s="387">
        <f>+T38</f>
        <v>0.59646822942262467</v>
      </c>
      <c r="H44">
        <v>0</v>
      </c>
      <c r="I44">
        <v>3</v>
      </c>
      <c r="J44" t="str">
        <f>+L38&amp;" industry sector ETS and non-ETS ratio"</f>
        <v>Chemicals industry sector ETS and non-ETS ratio</v>
      </c>
      <c r="L44" s="445" t="s">
        <v>609</v>
      </c>
      <c r="M44" s="437">
        <v>0</v>
      </c>
      <c r="N44" s="437">
        <v>1</v>
      </c>
      <c r="O44" s="437">
        <v>1</v>
      </c>
      <c r="P44" s="437">
        <v>0</v>
      </c>
      <c r="Q44" s="437">
        <v>0</v>
      </c>
      <c r="R44" s="437">
        <v>1</v>
      </c>
      <c r="S44" s="437">
        <v>0</v>
      </c>
      <c r="T44" s="437">
        <v>1</v>
      </c>
      <c r="V44" t="s">
        <v>618</v>
      </c>
    </row>
    <row r="45" spans="2:22">
      <c r="B45" t="str">
        <f>"UC-"&amp;E45&amp;"-ETS-SHR"</f>
        <v>UC-FAPHTH-ETS-SHR</v>
      </c>
      <c r="C45" t="str">
        <f>+"I*"&amp;V39&amp;"*ETS*"</f>
        <v>I*FAP*ETS*</v>
      </c>
      <c r="E45" t="str">
        <f>+V39&amp;$M$35</f>
        <v>FAPHTH</v>
      </c>
      <c r="F45">
        <v>1</v>
      </c>
      <c r="G45" s="387">
        <f>+N39</f>
        <v>1</v>
      </c>
      <c r="H45">
        <v>0</v>
      </c>
      <c r="I45">
        <v>3</v>
      </c>
      <c r="J45" t="str">
        <f>+L39&amp;" industry sector ETS and non-ETS ratio"</f>
        <v>Food and Drink industry sector ETS and non-ETS ratio</v>
      </c>
      <c r="L45" s="443" t="s">
        <v>610</v>
      </c>
      <c r="M45" s="437">
        <v>0</v>
      </c>
      <c r="N45" s="437">
        <v>1</v>
      </c>
      <c r="O45" s="437">
        <v>0</v>
      </c>
      <c r="P45" s="437">
        <v>1</v>
      </c>
      <c r="Q45" s="437">
        <v>0.62624512326538739</v>
      </c>
      <c r="R45" s="437">
        <v>0.37375487673461261</v>
      </c>
      <c r="S45" s="437">
        <v>0</v>
      </c>
      <c r="T45" s="437">
        <v>1</v>
      </c>
      <c r="V45" t="s">
        <v>619</v>
      </c>
    </row>
    <row r="46" spans="2:22">
      <c r="B46" t="str">
        <f t="shared" ref="B46:B48" si="2">"UC-"&amp;E46&amp;"-ETS-SHR"</f>
        <v>UC-FAPMTH-ETS-SHR</v>
      </c>
      <c r="C46" t="str">
        <f>+"I*"&amp;V39&amp;"*ETS*"</f>
        <v>I*FAP*ETS*</v>
      </c>
      <c r="E46" t="str">
        <f>+V39&amp;$O$35</f>
        <v>FAPMTH</v>
      </c>
      <c r="F46">
        <v>1</v>
      </c>
      <c r="G46" s="387">
        <f>+P39</f>
        <v>0.19614323229785557</v>
      </c>
      <c r="H46">
        <v>0</v>
      </c>
      <c r="I46">
        <v>3</v>
      </c>
      <c r="J46" t="str">
        <f>+L39&amp;" industry sector ETS and non-ETS ratio"</f>
        <v>Food and Drink industry sector ETS and non-ETS ratio</v>
      </c>
    </row>
    <row r="47" spans="2:22">
      <c r="B47" t="str">
        <f t="shared" si="2"/>
        <v>UC-FAPLTH-ETS-SHR</v>
      </c>
      <c r="C47" t="str">
        <f>+"I*"&amp;V39&amp;"*ETS*"</f>
        <v>I*FAP*ETS*</v>
      </c>
      <c r="E47" t="str">
        <f>+V39&amp;$Q$35</f>
        <v>FAPLTH</v>
      </c>
      <c r="F47">
        <v>1</v>
      </c>
      <c r="G47" s="387">
        <f>+R39</f>
        <v>0.17216835161067645</v>
      </c>
      <c r="H47">
        <v>0</v>
      </c>
      <c r="I47">
        <v>3</v>
      </c>
      <c r="J47" t="str">
        <f>+L39&amp;" industry sector ETS and non-ETS ratio"</f>
        <v>Food and Drink industry sector ETS and non-ETS ratio</v>
      </c>
    </row>
    <row r="48" spans="2:22">
      <c r="B48" t="str">
        <f t="shared" si="2"/>
        <v>UC-FAPHET-ETS-SHR</v>
      </c>
      <c r="C48" t="str">
        <f>+"I*"&amp;V39&amp;"*ETS*"</f>
        <v>I*FAP*ETS*</v>
      </c>
      <c r="E48" t="str">
        <f>+V39&amp;$S$35</f>
        <v>FAPHET</v>
      </c>
      <c r="F48">
        <v>1</v>
      </c>
      <c r="G48" s="387">
        <f>+T39</f>
        <v>0.23507939161775249</v>
      </c>
      <c r="H48">
        <v>0</v>
      </c>
      <c r="I48">
        <v>3</v>
      </c>
      <c r="J48" t="str">
        <f>+L39&amp;" industry sector ETS and non-ETS ratio"</f>
        <v>Food and Drink industry sector ETS and non-ETS ratio</v>
      </c>
    </row>
    <row r="49" spans="2:10">
      <c r="B49" t="str">
        <f>"UC-"&amp;E49&amp;"-ETS-SHR"</f>
        <v>UC-LIMHTH-ETS-SHR</v>
      </c>
      <c r="C49" t="str">
        <f>+"I*"&amp;V40&amp;"*ETS*"</f>
        <v>I*LIM*ETS*</v>
      </c>
      <c r="E49" t="str">
        <f>+V40&amp;$M$35</f>
        <v>LIMHTH</v>
      </c>
      <c r="F49">
        <v>1</v>
      </c>
      <c r="G49" s="387">
        <f>+N40</f>
        <v>0</v>
      </c>
      <c r="H49">
        <v>0</v>
      </c>
      <c r="I49">
        <v>3</v>
      </c>
      <c r="J49" t="str">
        <f>+L40&amp;" industry sector ETS and non-ETS ratio"</f>
        <v>Lime industry sector ETS and non-ETS ratio</v>
      </c>
    </row>
    <row r="50" spans="2:10">
      <c r="B50" t="str">
        <f t="shared" ref="B50:B52" si="3">"UC-"&amp;E50&amp;"-ETS-SHR"</f>
        <v>UC-LIMMTH-ETS-SHR</v>
      </c>
      <c r="C50" t="str">
        <f>+"I*"&amp;V40&amp;"*ETS*"</f>
        <v>I*LIM*ETS*</v>
      </c>
      <c r="E50" t="str">
        <f>+V40&amp;$O$35</f>
        <v>LIMMTH</v>
      </c>
      <c r="F50">
        <v>1</v>
      </c>
      <c r="G50" s="387">
        <f>+P40</f>
        <v>1</v>
      </c>
      <c r="H50">
        <v>0</v>
      </c>
      <c r="I50">
        <v>3</v>
      </c>
      <c r="J50" t="str">
        <f>+L40&amp;" industry sector ETS and non-ETS ratio"</f>
        <v>Lime industry sector ETS and non-ETS ratio</v>
      </c>
    </row>
    <row r="51" spans="2:10">
      <c r="B51" t="str">
        <f t="shared" si="3"/>
        <v>UC-LIMLTH-ETS-SHR</v>
      </c>
      <c r="C51" t="str">
        <f>+"I*"&amp;V40&amp;"*ETS*"</f>
        <v>I*LIM*ETS*</v>
      </c>
      <c r="E51" t="str">
        <f>+V40&amp;$Q$35</f>
        <v>LIMLTH</v>
      </c>
      <c r="F51">
        <v>1</v>
      </c>
      <c r="G51" s="387">
        <f>+R40</f>
        <v>1</v>
      </c>
      <c r="H51">
        <v>0</v>
      </c>
      <c r="I51">
        <v>3</v>
      </c>
      <c r="J51" t="str">
        <f>+L40&amp;" industry sector ETS and non-ETS ratio"</f>
        <v>Lime industry sector ETS and non-ETS ratio</v>
      </c>
    </row>
    <row r="52" spans="2:10">
      <c r="B52" t="str">
        <f t="shared" si="3"/>
        <v>UC-LIMHET-ETS-SHR</v>
      </c>
      <c r="C52" t="str">
        <f>+"I*"&amp;V40&amp;"*ETS*"</f>
        <v>I*LIM*ETS*</v>
      </c>
      <c r="E52" t="str">
        <f>+V40&amp;$S$35</f>
        <v>LIMHET</v>
      </c>
      <c r="F52">
        <v>1</v>
      </c>
      <c r="G52" s="387">
        <f>+T40</f>
        <v>1</v>
      </c>
      <c r="H52">
        <v>0</v>
      </c>
      <c r="I52">
        <v>3</v>
      </c>
      <c r="J52" t="str">
        <f>+L40&amp;" industry sector ETS and non-ETS ratio"</f>
        <v>Lime industry sector ETS and non-ETS ratio</v>
      </c>
    </row>
    <row r="53" spans="2:10">
      <c r="B53" t="str">
        <f>"UC-"&amp;E53&amp;"-ETS-SHR"</f>
        <v>UC-MAPHTH-ETS-SHR</v>
      </c>
      <c r="C53" t="str">
        <f>+"I*"&amp;V41&amp;"*ETS*"</f>
        <v>I*MAP*ETS*</v>
      </c>
      <c r="E53" t="str">
        <f>+V41&amp;$M$35</f>
        <v>MAPHTH</v>
      </c>
      <c r="F53">
        <v>1</v>
      </c>
      <c r="G53" s="387">
        <f>+N41</f>
        <v>0.29043162988886195</v>
      </c>
      <c r="H53">
        <v>0</v>
      </c>
      <c r="I53">
        <v>3</v>
      </c>
      <c r="J53" t="str">
        <f>+L41&amp;" industry sector ETS and non-ETS ratio"</f>
        <v>Metals industry sector ETS and non-ETS ratio</v>
      </c>
    </row>
    <row r="54" spans="2:10">
      <c r="B54" t="str">
        <f t="shared" ref="B54:B56" si="4">"UC-"&amp;E54&amp;"-ETS-SHR"</f>
        <v>UC-MAPMTH-ETS-SHR</v>
      </c>
      <c r="C54" t="str">
        <f>+"I*"&amp;V41&amp;"*ETS*"</f>
        <v>I*MAP*ETS*</v>
      </c>
      <c r="E54" t="str">
        <f>+V41&amp;$O$35</f>
        <v>MAPMTH</v>
      </c>
      <c r="F54">
        <v>1</v>
      </c>
      <c r="G54" s="387">
        <f>+P41</f>
        <v>7.1790407140825518E-2</v>
      </c>
      <c r="H54">
        <v>0</v>
      </c>
      <c r="I54">
        <v>3</v>
      </c>
      <c r="J54" t="str">
        <f>+L41&amp;" industry sector ETS and non-ETS ratio"</f>
        <v>Metals industry sector ETS and non-ETS ratio</v>
      </c>
    </row>
    <row r="55" spans="2:10">
      <c r="B55" t="str">
        <f t="shared" si="4"/>
        <v>UC-MAPLTH-ETS-SHR</v>
      </c>
      <c r="C55" t="str">
        <f>+"I*"&amp;V41&amp;"*ETS*"</f>
        <v>I*MAP*ETS*</v>
      </c>
      <c r="E55" t="str">
        <f>+V41&amp;$Q$35</f>
        <v>MAPLTH</v>
      </c>
      <c r="F55">
        <v>1</v>
      </c>
      <c r="G55" s="387">
        <f>+R41</f>
        <v>1</v>
      </c>
      <c r="H55">
        <v>0</v>
      </c>
      <c r="I55">
        <v>3</v>
      </c>
      <c r="J55" t="str">
        <f>+L41&amp;" industry sector ETS and non-ETS ratio"</f>
        <v>Metals industry sector ETS and non-ETS ratio</v>
      </c>
    </row>
    <row r="56" spans="2:10">
      <c r="B56" t="str">
        <f t="shared" si="4"/>
        <v>UC-MAPHET-ETS-SHR</v>
      </c>
      <c r="C56" t="str">
        <f>+"I*"&amp;V41&amp;"*ETS*"</f>
        <v>I*MAP*ETS*</v>
      </c>
      <c r="E56" t="str">
        <f>+V41&amp;$S$35</f>
        <v>MAPHET</v>
      </c>
      <c r="F56">
        <v>1</v>
      </c>
      <c r="G56" s="387">
        <f>+T41</f>
        <v>1</v>
      </c>
      <c r="H56">
        <v>0</v>
      </c>
      <c r="I56">
        <v>3</v>
      </c>
      <c r="J56" t="str">
        <f>+L41&amp;" industry sector ETS and non-ETS ratio"</f>
        <v>Metals industry sector ETS and non-ETS ratio</v>
      </c>
    </row>
    <row r="57" spans="2:10">
      <c r="B57" t="str">
        <f>"UC-"&amp;E57&amp;"-ETS-SHR"</f>
        <v>UC-OMAHTH-ETS-SHR</v>
      </c>
      <c r="C57" t="str">
        <f>+"I*"&amp;V42&amp;"*ETS*"</f>
        <v>I*OMA*ETS*</v>
      </c>
      <c r="E57" t="str">
        <f>+V42&amp;$M$35</f>
        <v>OMAHTH</v>
      </c>
      <c r="F57">
        <v>1</v>
      </c>
      <c r="G57" s="387">
        <f>+N42</f>
        <v>1</v>
      </c>
      <c r="H57">
        <v>0</v>
      </c>
      <c r="I57">
        <v>3</v>
      </c>
      <c r="J57" t="str">
        <f>+L42&amp;" industry sector ETS and non-ETS ratio"</f>
        <v>Other Industry industry sector ETS and non-ETS ratio</v>
      </c>
    </row>
    <row r="58" spans="2:10">
      <c r="B58" t="str">
        <f t="shared" ref="B58:B60" si="5">"UC-"&amp;E58&amp;"-ETS-SHR"</f>
        <v>UC-OMAMTH-ETS-SHR</v>
      </c>
      <c r="C58" t="str">
        <f>+"I*"&amp;V42&amp;"*ETS*"</f>
        <v>I*OMA*ETS*</v>
      </c>
      <c r="E58" t="str">
        <f>+V42&amp;$O$35</f>
        <v>OMAMTH</v>
      </c>
      <c r="F58">
        <v>1</v>
      </c>
      <c r="G58" s="387">
        <f>+P42</f>
        <v>1</v>
      </c>
      <c r="H58">
        <v>0</v>
      </c>
      <c r="I58">
        <v>3</v>
      </c>
      <c r="J58" t="str">
        <f>+L42&amp;" industry sector ETS and non-ETS ratio"</f>
        <v>Other Industry industry sector ETS and non-ETS ratio</v>
      </c>
    </row>
    <row r="59" spans="2:10">
      <c r="B59" t="str">
        <f t="shared" si="5"/>
        <v>UC-OMALTH-ETS-SHR</v>
      </c>
      <c r="C59" t="str">
        <f>+"I*"&amp;V42&amp;"*ETS*"</f>
        <v>I*OMA*ETS*</v>
      </c>
      <c r="E59" t="str">
        <f>+V42&amp;$Q$35</f>
        <v>OMALTH</v>
      </c>
      <c r="F59">
        <v>1</v>
      </c>
      <c r="G59" s="387">
        <f>+R42</f>
        <v>0.68128886931869714</v>
      </c>
      <c r="H59">
        <v>0</v>
      </c>
      <c r="I59">
        <v>3</v>
      </c>
      <c r="J59" t="str">
        <f>+L42&amp;" industry sector ETS and non-ETS ratio"</f>
        <v>Other Industry industry sector ETS and non-ETS ratio</v>
      </c>
    </row>
    <row r="60" spans="2:10">
      <c r="B60" t="str">
        <f t="shared" si="5"/>
        <v>UC-OMAHET-ETS-SHR</v>
      </c>
      <c r="C60" t="str">
        <f>+"I*"&amp;V42&amp;"*ETS*"</f>
        <v>I*OMA*ETS*</v>
      </c>
      <c r="E60" t="str">
        <f>+V42&amp;$S$35</f>
        <v>OMAHET</v>
      </c>
      <c r="F60">
        <v>1</v>
      </c>
      <c r="G60" s="387">
        <f>+T42</f>
        <v>0.70391481573536951</v>
      </c>
      <c r="H60">
        <v>0</v>
      </c>
      <c r="I60">
        <v>3</v>
      </c>
      <c r="J60" t="str">
        <f>+L42&amp;" industry sector ETS and non-ETS ratio"</f>
        <v>Other Industry industry sector ETS and non-ETS ratio</v>
      </c>
    </row>
    <row r="61" spans="2:10">
      <c r="B61" t="str">
        <f>"UC-"&amp;E61&amp;"-ETS-SHR"</f>
        <v>UC-ONMHTH-ETS-SHR</v>
      </c>
      <c r="C61" t="str">
        <f>+"I*"&amp;V43&amp;"*ETS*"</f>
        <v>I*ONM*ETS*</v>
      </c>
      <c r="E61" t="str">
        <f>+V43&amp;$M$35</f>
        <v>ONMHTH</v>
      </c>
      <c r="F61">
        <v>1</v>
      </c>
      <c r="G61" s="387">
        <f>+N43</f>
        <v>0.90919515851364596</v>
      </c>
      <c r="H61">
        <v>0</v>
      </c>
      <c r="I61">
        <v>3</v>
      </c>
      <c r="J61" t="str">
        <f>+L43&amp;" industry sector ETS and non-ETS ratio"</f>
        <v>Other Minerals industry sector ETS and non-ETS ratio</v>
      </c>
    </row>
    <row r="62" spans="2:10">
      <c r="B62" t="str">
        <f t="shared" ref="B62:B64" si="6">"UC-"&amp;E62&amp;"-ETS-SHR"</f>
        <v>UC-ONMMTH-ETS-SHR</v>
      </c>
      <c r="C62" t="str">
        <f>+"I*"&amp;V43&amp;"*ETS*"</f>
        <v>I*ONM*ETS*</v>
      </c>
      <c r="E62" t="str">
        <f>+V43&amp;$O$35</f>
        <v>ONMMTH</v>
      </c>
      <c r="F62">
        <v>1</v>
      </c>
      <c r="G62" s="387">
        <f>+P43</f>
        <v>0.871377616521256</v>
      </c>
      <c r="H62">
        <v>0</v>
      </c>
      <c r="I62">
        <v>3</v>
      </c>
      <c r="J62" t="str">
        <f>+L43&amp;" industry sector ETS and non-ETS ratio"</f>
        <v>Other Minerals industry sector ETS and non-ETS ratio</v>
      </c>
    </row>
    <row r="63" spans="2:10">
      <c r="B63" t="str">
        <f t="shared" si="6"/>
        <v>UC-ONMLTH-ETS-SHR</v>
      </c>
      <c r="C63" t="str">
        <f>+"I*"&amp;V43&amp;"*ETS*"</f>
        <v>I*ONM*ETS*</v>
      </c>
      <c r="E63" t="str">
        <f>+V43&amp;$Q$35</f>
        <v>ONMLTH</v>
      </c>
      <c r="F63">
        <v>1</v>
      </c>
      <c r="G63" s="387">
        <f>+R43</f>
        <v>0.72486687901773417</v>
      </c>
      <c r="H63">
        <v>0</v>
      </c>
      <c r="I63">
        <v>3</v>
      </c>
      <c r="J63" t="str">
        <f>+L43&amp;" industry sector ETS and non-ETS ratio"</f>
        <v>Other Minerals industry sector ETS and non-ETS ratio</v>
      </c>
    </row>
    <row r="64" spans="2:10">
      <c r="B64" t="str">
        <f t="shared" si="6"/>
        <v>UC-ONMHET-ETS-SHR</v>
      </c>
      <c r="C64" t="str">
        <f>+"I*"&amp;V43&amp;"*ETS*"</f>
        <v>I*ONM*ETS*</v>
      </c>
      <c r="E64" t="str">
        <f>+V43&amp;$S$35</f>
        <v>ONMHET</v>
      </c>
      <c r="F64">
        <v>1</v>
      </c>
      <c r="G64" s="387">
        <f>+T43</f>
        <v>1</v>
      </c>
      <c r="H64">
        <v>0</v>
      </c>
      <c r="I64">
        <v>3</v>
      </c>
      <c r="J64" t="str">
        <f>+L43&amp;" industry sector ETS and non-ETS ratio"</f>
        <v>Other Minerals industry sector ETS and non-ETS ratio</v>
      </c>
    </row>
    <row r="65" spans="2:10">
      <c r="B65" t="str">
        <f>"UC-"&amp;E65&amp;"-ETS-SHR"</f>
        <v>UC-WAPHTH-ETS-SHR</v>
      </c>
      <c r="C65" t="str">
        <f>+"I*"&amp;V45&amp;"*ETS*"</f>
        <v>I*WAP*ETS*</v>
      </c>
      <c r="E65" t="str">
        <f>+V45&amp;$M$35</f>
        <v>WAPHTH</v>
      </c>
      <c r="F65">
        <v>1</v>
      </c>
      <c r="G65" s="387">
        <f>+N45</f>
        <v>1</v>
      </c>
      <c r="H65">
        <v>0</v>
      </c>
      <c r="I65">
        <v>3</v>
      </c>
      <c r="J65" t="str">
        <f>+L45&amp;" industry sector ETS and non-ETS ratio"</f>
        <v>Wood Products industry sector ETS and non-ETS ratio</v>
      </c>
    </row>
    <row r="66" spans="2:10">
      <c r="B66" t="str">
        <f t="shared" ref="B66:B68" si="7">"UC-"&amp;E66&amp;"-ETS-SHR"</f>
        <v>UC-WAPMTH-ETS-SHR</v>
      </c>
      <c r="C66" t="str">
        <f>+"I*"&amp;V45&amp;"*ETS*"</f>
        <v>I*WAP*ETS*</v>
      </c>
      <c r="E66" t="str">
        <f>+V45&amp;$O$35</f>
        <v>WAPMTH</v>
      </c>
      <c r="F66">
        <v>1</v>
      </c>
      <c r="G66" s="387">
        <f>+P45</f>
        <v>1</v>
      </c>
      <c r="H66">
        <v>0</v>
      </c>
      <c r="I66">
        <v>3</v>
      </c>
      <c r="J66" t="str">
        <f>+L45&amp;" industry sector ETS and non-ETS ratio"</f>
        <v>Wood Products industry sector ETS and non-ETS ratio</v>
      </c>
    </row>
    <row r="67" spans="2:10">
      <c r="B67" t="str">
        <f t="shared" si="7"/>
        <v>UC-WAPLTH-ETS-SHR</v>
      </c>
      <c r="C67" t="str">
        <f>+"I*"&amp;V45&amp;"*ETS*"</f>
        <v>I*WAP*ETS*</v>
      </c>
      <c r="E67" t="str">
        <f>+V45&amp;$Q$35</f>
        <v>WAPLTH</v>
      </c>
      <c r="F67">
        <v>1</v>
      </c>
      <c r="G67" s="387">
        <f>+R45</f>
        <v>0.37375487673461261</v>
      </c>
      <c r="H67">
        <v>0</v>
      </c>
      <c r="I67">
        <v>3</v>
      </c>
      <c r="J67" t="str">
        <f>+L45&amp;" industry sector ETS and non-ETS ratio"</f>
        <v>Wood Products industry sector ETS and non-ETS ratio</v>
      </c>
    </row>
    <row r="68" spans="2:10">
      <c r="B68" t="str">
        <f t="shared" si="7"/>
        <v>UC-WAPHET-ETS-SHR</v>
      </c>
      <c r="C68" t="str">
        <f>+"I*"&amp;V45&amp;"*ETS*"</f>
        <v>I*WAP*ETS*</v>
      </c>
      <c r="E68" t="str">
        <f>+V45&amp;$S$35</f>
        <v>WAPHET</v>
      </c>
      <c r="F68">
        <v>1</v>
      </c>
      <c r="G68" s="387">
        <f>+T45</f>
        <v>1</v>
      </c>
      <c r="H68">
        <v>0</v>
      </c>
      <c r="I68">
        <v>3</v>
      </c>
      <c r="J68" t="str">
        <f>+L45&amp;" industry sector ETS and non-ETS ratio"</f>
        <v>Wood Products industry sector ETS and non-ETS ratio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K1" workbookViewId="0">
      <selection activeCell="T10" sqref="T10"/>
    </sheetView>
  </sheetViews>
  <sheetFormatPr defaultRowHeight="14.5"/>
  <cols>
    <col min="2" max="2" width="9" customWidth="1"/>
    <col min="3" max="3" width="11.81640625" bestFit="1" customWidth="1"/>
    <col min="4" max="4" width="9.26953125" bestFit="1" customWidth="1"/>
    <col min="5" max="5" width="10.7265625" bestFit="1" customWidth="1"/>
    <col min="17" max="17" width="11.8164062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+F12*(1-$N$1)*0.9</f>
        <v>2.0286</v>
      </c>
      <c r="U23" s="19">
        <f t="shared" si="7"/>
        <v>2.0579999999999998</v>
      </c>
      <c r="V23" s="19">
        <f t="shared" si="8"/>
        <v>2.3519999999999999</v>
      </c>
      <c r="W23" s="19">
        <f t="shared" si="9"/>
        <v>2.0579999999999998</v>
      </c>
      <c r="X23" s="348">
        <f t="shared" si="10"/>
        <v>1.8620000000000001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4.5"/>
  <cols>
    <col min="2" max="2" width="9.26953125" customWidth="1"/>
    <col min="3" max="3" width="11" bestFit="1" customWidth="1"/>
    <col min="4" max="4" width="9.26953125" bestFit="1" customWidth="1"/>
    <col min="5" max="5" width="10.726562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37" workbookViewId="0">
      <selection activeCell="R51" sqref="R51"/>
    </sheetView>
  </sheetViews>
  <sheetFormatPr defaultRowHeight="14.5"/>
  <cols>
    <col min="2" max="2" width="29.81640625" customWidth="1"/>
    <col min="3" max="3" width="10.453125" bestFit="1" customWidth="1"/>
    <col min="4" max="4" width="9.26953125" bestFit="1" customWidth="1"/>
    <col min="5" max="5" width="10.7265625" bestFit="1" customWidth="1"/>
    <col min="8" max="8" width="12.7265625" bestFit="1" customWidth="1"/>
    <col min="9" max="9" width="10.7265625" bestFit="1" customWidth="1"/>
    <col min="18" max="18" width="13.269531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","~UC_T","")</f>
        <v>~UC_T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5.0000000000000001E-3</v>
      </c>
    </row>
    <row r="47" spans="2:26">
      <c r="B47" s="28" t="s">
        <v>584</v>
      </c>
      <c r="D47" s="18"/>
      <c r="Q47" s="28" t="s">
        <v>199</v>
      </c>
      <c r="S47" s="18"/>
    </row>
    <row r="48" spans="2:26" ht="1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5.9294999999999991</v>
      </c>
      <c r="V49" s="391">
        <f t="shared" ref="V49:Y49" si="0">+G49*(1+$O$46)</f>
        <v>6.8339999999999987</v>
      </c>
      <c r="W49" s="391">
        <f t="shared" si="0"/>
        <v>6.5324999999999989</v>
      </c>
      <c r="X49" s="391">
        <f t="shared" si="0"/>
        <v>6.7334999999999985</v>
      </c>
      <c r="Y49" s="392">
        <f t="shared" si="0"/>
        <v>8.4420000000000002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142.60949999999997</v>
      </c>
      <c r="V50" s="19">
        <f t="shared" ref="V50:V54" si="2">+G50*(1+$O$46)</f>
        <v>133.88609999999997</v>
      </c>
      <c r="W50" s="19">
        <f t="shared" ref="W50:W54" si="3">+H50*(1+$O$46)</f>
        <v>113.86649999999999</v>
      </c>
      <c r="X50" s="19">
        <f t="shared" ref="X50:X54" si="4">+I50*(1+$O$46)</f>
        <v>121.50449999999998</v>
      </c>
      <c r="Y50" s="19">
        <f t="shared" ref="Y50:Y54" si="5">+J50*(1+$O$46)</f>
        <v>126.93149999999999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0.38491500000000001</v>
      </c>
      <c r="V51" s="19">
        <f t="shared" si="2"/>
        <v>0.52259999999999995</v>
      </c>
      <c r="W51" s="19">
        <f t="shared" si="3"/>
        <v>0.65325</v>
      </c>
      <c r="X51" s="19">
        <f t="shared" si="4"/>
        <v>0.72359999999999991</v>
      </c>
      <c r="Y51" s="19">
        <f t="shared" si="5"/>
        <v>0.80399999999999983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1.206</v>
      </c>
      <c r="V52" s="19">
        <f t="shared" si="2"/>
        <v>1.1054999999999999</v>
      </c>
      <c r="W52" s="19">
        <f t="shared" si="3"/>
        <v>0.90449999999999997</v>
      </c>
      <c r="X52" s="19">
        <f t="shared" si="4"/>
        <v>0.90449999999999997</v>
      </c>
      <c r="Y52" s="19">
        <f t="shared" si="5"/>
        <v>1.0049999999999999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34.571999999999996</v>
      </c>
      <c r="V53" s="19">
        <f t="shared" si="2"/>
        <v>32.863500000000002</v>
      </c>
      <c r="W53" s="19">
        <f t="shared" si="3"/>
        <v>28.009349999999998</v>
      </c>
      <c r="X53" s="19">
        <f t="shared" si="4"/>
        <v>25.828500000000002</v>
      </c>
      <c r="Y53" s="19">
        <f t="shared" si="5"/>
        <v>29.446499999999997</v>
      </c>
      <c r="Z53" s="395">
        <v>1</v>
      </c>
    </row>
    <row r="54" spans="3:26" ht="1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46.433010000000003</v>
      </c>
      <c r="V54" s="398">
        <f t="shared" si="2"/>
        <v>47.033999999999999</v>
      </c>
      <c r="W54" s="398">
        <f t="shared" si="3"/>
        <v>16.7835</v>
      </c>
      <c r="X54" s="398">
        <f t="shared" si="4"/>
        <v>18.793500000000002</v>
      </c>
      <c r="Y54" s="398">
        <f t="shared" si="5"/>
        <v>42.913499999999999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5.8704999999999998</v>
      </c>
      <c r="V55" s="391">
        <f t="shared" ref="V55:Y55" si="6">+G49*(1-$O$46)</f>
        <v>6.766</v>
      </c>
      <c r="W55" s="391">
        <f t="shared" si="6"/>
        <v>6.4675000000000002</v>
      </c>
      <c r="X55" s="391">
        <f t="shared" si="6"/>
        <v>6.6664999999999992</v>
      </c>
      <c r="Y55" s="391">
        <f t="shared" si="6"/>
        <v>8.3580000000000005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141.19049999999999</v>
      </c>
      <c r="V56" s="19">
        <f t="shared" ref="V56:V60" si="8">+G50*(1-$O$46)</f>
        <v>132.5539</v>
      </c>
      <c r="W56" s="19">
        <f t="shared" ref="W56:W60" si="9">+H50*(1-$O$46)</f>
        <v>112.73349999999999</v>
      </c>
      <c r="X56" s="19">
        <f t="shared" ref="X56:X60" si="10">+I50*(1-$O$46)</f>
        <v>120.29549999999999</v>
      </c>
      <c r="Y56" s="19">
        <f t="shared" ref="Y56:Y60" si="11">+J50*(1-$O$46)</f>
        <v>125.66849999999999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0.38108500000000006</v>
      </c>
      <c r="V57" s="19">
        <f t="shared" si="8"/>
        <v>0.51739999999999997</v>
      </c>
      <c r="W57" s="19">
        <f t="shared" si="9"/>
        <v>0.64675000000000005</v>
      </c>
      <c r="X57" s="19">
        <f t="shared" si="10"/>
        <v>0.71639999999999993</v>
      </c>
      <c r="Y57" s="19">
        <f t="shared" si="11"/>
        <v>0.79599999999999993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1.1940000000000002</v>
      </c>
      <c r="V58" s="19">
        <f t="shared" si="8"/>
        <v>1.0945</v>
      </c>
      <c r="W58" s="19">
        <f t="shared" si="9"/>
        <v>0.89549999999999996</v>
      </c>
      <c r="X58" s="19">
        <f t="shared" si="10"/>
        <v>0.89549999999999996</v>
      </c>
      <c r="Y58" s="19">
        <f t="shared" si="11"/>
        <v>0.995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34.228000000000002</v>
      </c>
      <c r="V59" s="19">
        <f t="shared" si="8"/>
        <v>32.536500000000004</v>
      </c>
      <c r="W59" s="19">
        <f t="shared" si="9"/>
        <v>27.730650000000001</v>
      </c>
      <c r="X59" s="19">
        <f t="shared" si="10"/>
        <v>25.571500000000004</v>
      </c>
      <c r="Y59" s="19">
        <f t="shared" si="11"/>
        <v>29.153500000000001</v>
      </c>
      <c r="Z59" s="395">
        <v>1</v>
      </c>
    </row>
    <row r="60" spans="3:26" ht="1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45.970990000000008</v>
      </c>
      <c r="V60" s="398">
        <f t="shared" si="8"/>
        <v>46.566000000000003</v>
      </c>
      <c r="W60" s="398">
        <f t="shared" si="9"/>
        <v>16.616500000000002</v>
      </c>
      <c r="X60" s="398">
        <f t="shared" si="10"/>
        <v>18.606500000000004</v>
      </c>
      <c r="Y60" s="398">
        <f t="shared" si="11"/>
        <v>42.486499999999999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29"/>
  <sheetViews>
    <sheetView topLeftCell="A92" zoomScale="85" zoomScaleNormal="85" workbookViewId="0">
      <selection activeCell="AI131" sqref="AI131"/>
    </sheetView>
  </sheetViews>
  <sheetFormatPr defaultRowHeight="14.5"/>
  <cols>
    <col min="1" max="1" width="20.54296875" bestFit="1" customWidth="1"/>
    <col min="2" max="2" width="20.54296875" customWidth="1"/>
    <col min="4" max="4" width="10.1796875" bestFit="1" customWidth="1"/>
    <col min="5" max="5" width="8.81640625" bestFit="1" customWidth="1"/>
    <col min="6" max="6" width="10.81640625" bestFit="1" customWidth="1"/>
    <col min="7" max="7" width="8.7265625" customWidth="1"/>
    <col min="8" max="8" width="10.7265625" bestFit="1" customWidth="1"/>
    <col min="9" max="34" width="6.81640625" customWidth="1"/>
    <col min="35" max="35" width="21.726562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640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4.5"/>
  <cols>
    <col min="2" max="2" width="14" bestFit="1" customWidth="1"/>
    <col min="3" max="3" width="21.7265625" bestFit="1" customWidth="1"/>
    <col min="11" max="11" width="10.5429687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4.5"/>
  <cols>
    <col min="2" max="2" width="37.1796875" bestFit="1" customWidth="1"/>
    <col min="3" max="3" width="11.7265625" customWidth="1"/>
    <col min="4" max="4" width="17.453125" customWidth="1"/>
    <col min="5" max="5" width="15.453125" customWidth="1"/>
    <col min="6" max="7" width="12" customWidth="1"/>
    <col min="8" max="8" width="11" customWidth="1"/>
    <col min="10" max="10" width="25.1796875" bestFit="1" customWidth="1"/>
    <col min="11" max="13" width="10.453125" customWidth="1"/>
    <col min="14" max="14" width="11.81640625" bestFit="1" customWidth="1"/>
    <col min="15" max="15" width="15.1796875" bestFit="1" customWidth="1"/>
    <col min="16" max="16" width="12.81640625" customWidth="1"/>
    <col min="17" max="17" width="10" bestFit="1" customWidth="1"/>
    <col min="18" max="18" width="11.81640625" bestFit="1" customWidth="1"/>
    <col min="19" max="19" width="15.1796875" bestFit="1" customWidth="1"/>
  </cols>
  <sheetData>
    <row r="1" spans="1:4">
      <c r="A1" s="357" t="s">
        <v>403</v>
      </c>
    </row>
    <row r="2" spans="1:4" ht="15.5">
      <c r="A2" s="56" t="s">
        <v>402</v>
      </c>
    </row>
    <row r="4" spans="1:4" ht="15.5">
      <c r="A4" s="56" t="s">
        <v>401</v>
      </c>
    </row>
    <row r="5" spans="1:4" ht="15.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49">
        <v>54556</v>
      </c>
    </row>
    <row r="7" spans="1:4">
      <c r="A7">
        <v>2</v>
      </c>
      <c r="B7" t="s">
        <v>399</v>
      </c>
      <c r="C7">
        <v>32600</v>
      </c>
      <c r="D7" s="449">
        <v>47569</v>
      </c>
    </row>
    <row r="8" spans="1:4">
      <c r="A8">
        <v>3</v>
      </c>
      <c r="B8" t="s">
        <v>531</v>
      </c>
      <c r="C8">
        <v>10474</v>
      </c>
      <c r="D8" s="449">
        <v>10193</v>
      </c>
    </row>
    <row r="9" spans="1:4">
      <c r="A9">
        <v>4</v>
      </c>
      <c r="B9" t="s">
        <v>389</v>
      </c>
      <c r="C9">
        <v>4013</v>
      </c>
      <c r="D9" s="449">
        <v>3444</v>
      </c>
    </row>
    <row r="10" spans="1:4">
      <c r="A10">
        <v>5</v>
      </c>
      <c r="B10" t="s">
        <v>397</v>
      </c>
      <c r="C10">
        <v>2459</v>
      </c>
      <c r="D10" s="449">
        <v>1343</v>
      </c>
    </row>
    <row r="11" spans="1:4">
      <c r="A11">
        <v>6</v>
      </c>
      <c r="B11" t="s">
        <v>398</v>
      </c>
      <c r="C11">
        <v>512</v>
      </c>
      <c r="D11" s="449">
        <v>1</v>
      </c>
    </row>
    <row r="12" spans="1:4">
      <c r="A12">
        <v>7</v>
      </c>
      <c r="B12" t="s">
        <v>395</v>
      </c>
      <c r="C12">
        <v>33</v>
      </c>
      <c r="D12" s="449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5">
      <c r="A17" s="56" t="s">
        <v>400</v>
      </c>
    </row>
    <row r="18" spans="1:19" ht="15.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49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631</v>
      </c>
    </row>
    <row r="20" spans="1:19">
      <c r="B20" t="s">
        <v>558</v>
      </c>
      <c r="C20" s="449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49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49">
        <v>44</v>
      </c>
      <c r="D22">
        <v>29</v>
      </c>
      <c r="G22" s="31">
        <f>R27</f>
        <v>303</v>
      </c>
      <c r="H22" s="31">
        <f>S27</f>
        <v>402.12962962962968</v>
      </c>
      <c r="M22" t="s">
        <v>632</v>
      </c>
    </row>
    <row r="23" spans="1:19">
      <c r="B23" t="s">
        <v>398</v>
      </c>
      <c r="O23" s="48" t="s">
        <v>633</v>
      </c>
      <c r="P23" s="48" t="s">
        <v>634</v>
      </c>
      <c r="Q23" s="48"/>
      <c r="R23" s="48" t="s">
        <v>635</v>
      </c>
      <c r="S23" s="48" t="s">
        <v>636</v>
      </c>
    </row>
    <row r="24" spans="1:19">
      <c r="B24" t="s">
        <v>397</v>
      </c>
      <c r="C24" s="449">
        <v>1</v>
      </c>
      <c r="D24">
        <v>16</v>
      </c>
      <c r="M24" t="s">
        <v>393</v>
      </c>
      <c r="N24" s="449" t="s">
        <v>392</v>
      </c>
      <c r="O24" t="s">
        <v>637</v>
      </c>
      <c r="P24" t="s">
        <v>638</v>
      </c>
      <c r="Q24" s="48" t="s">
        <v>639</v>
      </c>
      <c r="R24" s="448">
        <v>2023</v>
      </c>
      <c r="S24" s="448">
        <v>2024</v>
      </c>
    </row>
    <row r="25" spans="1:19">
      <c r="B25" t="s">
        <v>390</v>
      </c>
      <c r="D25">
        <v>2</v>
      </c>
      <c r="M25">
        <v>1</v>
      </c>
      <c r="N25" s="449" t="s">
        <v>391</v>
      </c>
      <c r="O25">
        <v>19449</v>
      </c>
      <c r="P25">
        <v>16527</v>
      </c>
      <c r="Q25" s="437">
        <f>R25/P25</f>
        <v>1.6658800750287408</v>
      </c>
      <c r="R25" s="449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49" t="s">
        <v>389</v>
      </c>
      <c r="O26">
        <v>467</v>
      </c>
      <c r="P26">
        <v>440</v>
      </c>
      <c r="Q26" s="437">
        <f t="shared" ref="Q26:Q31" si="1">R26/P26</f>
        <v>2.1454545454545455</v>
      </c>
      <c r="R26" s="449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49" t="s">
        <v>399</v>
      </c>
      <c r="O27">
        <v>215</v>
      </c>
      <c r="P27">
        <v>162</v>
      </c>
      <c r="Q27" s="437">
        <f t="shared" si="1"/>
        <v>1.8703703703703705</v>
      </c>
      <c r="R27" s="449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49" t="s">
        <v>531</v>
      </c>
      <c r="O28">
        <v>59</v>
      </c>
      <c r="P28">
        <v>2</v>
      </c>
      <c r="Q28" s="437">
        <f t="shared" si="1"/>
        <v>22</v>
      </c>
      <c r="R28" s="449">
        <v>44</v>
      </c>
      <c r="S28" s="31">
        <f t="shared" si="0"/>
        <v>1298</v>
      </c>
    </row>
    <row r="29" spans="1:19">
      <c r="M29">
        <v>5</v>
      </c>
      <c r="N29" s="449" t="s">
        <v>397</v>
      </c>
      <c r="O29">
        <v>27</v>
      </c>
      <c r="P29">
        <v>37</v>
      </c>
      <c r="Q29" s="437">
        <f t="shared" si="1"/>
        <v>0.59459459459459463</v>
      </c>
      <c r="R29" s="449">
        <v>22</v>
      </c>
      <c r="S29" s="31">
        <f t="shared" si="0"/>
        <v>16.054054054054056</v>
      </c>
    </row>
    <row r="30" spans="1:19">
      <c r="M30">
        <v>6</v>
      </c>
      <c r="N30" s="449" t="s">
        <v>532</v>
      </c>
      <c r="O30">
        <v>10</v>
      </c>
      <c r="P30">
        <v>8</v>
      </c>
      <c r="Q30" s="437">
        <f t="shared" si="1"/>
        <v>0.75</v>
      </c>
      <c r="R30" s="449">
        <v>6</v>
      </c>
      <c r="S30" s="31">
        <f t="shared" si="0"/>
        <v>7.5</v>
      </c>
    </row>
    <row r="31" spans="1:19">
      <c r="M31">
        <v>7</v>
      </c>
      <c r="N31" s="449" t="s">
        <v>390</v>
      </c>
      <c r="O31">
        <v>4</v>
      </c>
      <c r="P31">
        <v>3</v>
      </c>
      <c r="Q31" s="437">
        <f t="shared" si="1"/>
        <v>1</v>
      </c>
      <c r="R31" s="449">
        <v>3</v>
      </c>
      <c r="S31" s="31">
        <f t="shared" si="0"/>
        <v>4</v>
      </c>
    </row>
    <row r="32" spans="1:19" ht="15.5">
      <c r="A32" s="56" t="s">
        <v>394</v>
      </c>
    </row>
    <row r="33" spans="1:29" ht="15.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56" t="s">
        <v>382</v>
      </c>
      <c r="C50" s="456"/>
    </row>
    <row r="51" spans="2:3" ht="15" thickBot="1">
      <c r="B51" s="45" t="s">
        <v>381</v>
      </c>
      <c r="C51" s="45" t="s">
        <v>380</v>
      </c>
    </row>
    <row r="52" spans="2:3" ht="1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5">
      <c r="A133" s="359" t="s">
        <v>535</v>
      </c>
      <c r="B133" s="358"/>
      <c r="C133" s="358"/>
      <c r="D133" s="358"/>
    </row>
    <row r="135" spans="1:15" ht="15.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632</v>
      </c>
    </row>
    <row r="137" spans="1:15">
      <c r="K137" t="s">
        <v>641</v>
      </c>
      <c r="L137" t="s">
        <v>641</v>
      </c>
    </row>
    <row r="138" spans="1:15" ht="15.5">
      <c r="A138" s="450" t="s">
        <v>393</v>
      </c>
      <c r="B138" s="450" t="s">
        <v>392</v>
      </c>
      <c r="C138" s="451" t="s">
        <v>526</v>
      </c>
      <c r="D138" s="451" t="s">
        <v>527</v>
      </c>
      <c r="E138" s="451" t="s">
        <v>528</v>
      </c>
      <c r="F138" s="451" t="s">
        <v>529</v>
      </c>
      <c r="G138" s="451" t="s">
        <v>530</v>
      </c>
      <c r="I138" s="48"/>
      <c r="J138" s="48"/>
      <c r="K138" s="48" t="s">
        <v>633</v>
      </c>
      <c r="L138" s="48" t="s">
        <v>633</v>
      </c>
      <c r="M138" s="48"/>
      <c r="N138" s="48" t="s">
        <v>635</v>
      </c>
      <c r="O138" s="48" t="s">
        <v>636</v>
      </c>
    </row>
    <row r="139" spans="1:15">
      <c r="A139" s="449">
        <v>1</v>
      </c>
      <c r="B139" s="449" t="s">
        <v>399</v>
      </c>
      <c r="C139" s="449">
        <v>30542</v>
      </c>
      <c r="D139" s="449">
        <v>32798</v>
      </c>
      <c r="E139" s="449">
        <v>-6.88</v>
      </c>
      <c r="F139" s="449">
        <v>30.1</v>
      </c>
      <c r="G139" s="449">
        <v>32.39</v>
      </c>
      <c r="I139" s="48" t="s">
        <v>393</v>
      </c>
      <c r="J139" s="48" t="s">
        <v>392</v>
      </c>
      <c r="K139" s="48" t="s">
        <v>637</v>
      </c>
      <c r="L139" s="48" t="s">
        <v>638</v>
      </c>
      <c r="M139" s="48" t="s">
        <v>639</v>
      </c>
      <c r="N139" s="448">
        <v>2023</v>
      </c>
      <c r="O139" s="448">
        <v>2024</v>
      </c>
    </row>
    <row r="140" spans="1:15">
      <c r="A140" s="449">
        <v>2</v>
      </c>
      <c r="B140" s="449" t="s">
        <v>391</v>
      </c>
      <c r="C140" s="449">
        <v>27388</v>
      </c>
      <c r="D140" s="449">
        <v>34166</v>
      </c>
      <c r="E140" s="449">
        <v>-19.84</v>
      </c>
      <c r="F140" s="449">
        <v>26.99</v>
      </c>
      <c r="G140" s="449">
        <v>33.74</v>
      </c>
      <c r="I140">
        <v>1</v>
      </c>
      <c r="J140" t="s">
        <v>399</v>
      </c>
      <c r="K140">
        <v>26017</v>
      </c>
      <c r="L140" s="449">
        <v>23808</v>
      </c>
      <c r="M140" s="437">
        <f t="shared" ref="M140:M147" si="2">N140/L140</f>
        <v>1.5489751344086022</v>
      </c>
      <c r="N140" s="452">
        <v>36878</v>
      </c>
      <c r="O140" s="31">
        <f t="shared" ref="O140:O146" si="3">K140*M140</f>
        <v>40299.686071908603</v>
      </c>
    </row>
    <row r="141" spans="1:15">
      <c r="A141" s="449">
        <v>3</v>
      </c>
      <c r="B141" s="449" t="s">
        <v>531</v>
      </c>
      <c r="C141" s="449">
        <v>19959</v>
      </c>
      <c r="D141" s="449">
        <v>16424</v>
      </c>
      <c r="E141" s="449">
        <v>21.52</v>
      </c>
      <c r="F141" s="449">
        <v>19.670000000000002</v>
      </c>
      <c r="G141" s="449">
        <v>16.22</v>
      </c>
      <c r="I141">
        <v>2</v>
      </c>
      <c r="J141" t="s">
        <v>391</v>
      </c>
      <c r="K141">
        <v>18065</v>
      </c>
      <c r="L141" s="449">
        <v>17045</v>
      </c>
      <c r="M141" s="437">
        <f t="shared" si="2"/>
        <v>1.5986506306834849</v>
      </c>
      <c r="N141" s="452">
        <v>27249</v>
      </c>
      <c r="O141" s="31">
        <f t="shared" si="3"/>
        <v>28879.623643297156</v>
      </c>
    </row>
    <row r="142" spans="1:15">
      <c r="A142" s="449">
        <v>4</v>
      </c>
      <c r="B142" s="449" t="s">
        <v>389</v>
      </c>
      <c r="C142" s="449">
        <v>14508</v>
      </c>
      <c r="D142" s="449">
        <v>7899</v>
      </c>
      <c r="E142" s="449">
        <v>83.67</v>
      </c>
      <c r="F142" s="449">
        <v>14.3</v>
      </c>
      <c r="G142" s="449">
        <v>7.8</v>
      </c>
      <c r="I142">
        <v>3</v>
      </c>
      <c r="J142" t="s">
        <v>531</v>
      </c>
      <c r="K142">
        <v>15877</v>
      </c>
      <c r="L142" s="449">
        <v>14350</v>
      </c>
      <c r="M142" s="437">
        <f t="shared" si="2"/>
        <v>1.5924738675958188</v>
      </c>
      <c r="N142" s="452">
        <v>22852</v>
      </c>
      <c r="O142" s="31">
        <f t="shared" si="3"/>
        <v>25283.707595818814</v>
      </c>
    </row>
    <row r="143" spans="1:15">
      <c r="A143" s="449">
        <v>5</v>
      </c>
      <c r="B143" s="449" t="s">
        <v>397</v>
      </c>
      <c r="C143" s="449">
        <v>6889</v>
      </c>
      <c r="D143" s="449">
        <v>7289</v>
      </c>
      <c r="E143" s="449">
        <v>-5.49</v>
      </c>
      <c r="F143" s="449">
        <v>6.79</v>
      </c>
      <c r="G143" s="449">
        <v>7.2</v>
      </c>
      <c r="I143">
        <v>4</v>
      </c>
      <c r="J143" t="s">
        <v>389</v>
      </c>
      <c r="K143">
        <v>10738</v>
      </c>
      <c r="L143" s="449">
        <v>14307</v>
      </c>
      <c r="M143" s="437">
        <f t="shared" si="2"/>
        <v>1.5794366394072832</v>
      </c>
      <c r="N143" s="452">
        <v>22597</v>
      </c>
      <c r="O143" s="31">
        <f t="shared" si="3"/>
        <v>16959.990633955407</v>
      </c>
    </row>
    <row r="144" spans="1:15">
      <c r="A144" s="449">
        <v>6</v>
      </c>
      <c r="B144" s="449" t="s">
        <v>532</v>
      </c>
      <c r="C144" s="449">
        <v>927</v>
      </c>
      <c r="D144" s="449">
        <v>2172</v>
      </c>
      <c r="E144" s="449">
        <v>-57.32</v>
      </c>
      <c r="F144" s="449">
        <v>0.91</v>
      </c>
      <c r="G144" s="449">
        <v>2.14</v>
      </c>
      <c r="I144">
        <v>5</v>
      </c>
      <c r="J144" t="s">
        <v>397</v>
      </c>
      <c r="K144">
        <v>6968</v>
      </c>
      <c r="L144" s="449">
        <v>6040</v>
      </c>
      <c r="M144" s="437">
        <f t="shared" si="2"/>
        <v>1.6697019867549669</v>
      </c>
      <c r="N144" s="452">
        <v>10085</v>
      </c>
      <c r="O144" s="31">
        <f t="shared" si="3"/>
        <v>11634.48344370861</v>
      </c>
    </row>
    <row r="145" spans="1:15">
      <c r="A145" s="449">
        <v>7</v>
      </c>
      <c r="B145" s="449" t="s">
        <v>533</v>
      </c>
      <c r="C145" s="449">
        <v>580</v>
      </c>
      <c r="D145" s="449">
        <v>294</v>
      </c>
      <c r="E145" s="449">
        <v>97.28</v>
      </c>
      <c r="F145" s="449">
        <v>0.56999999999999995</v>
      </c>
      <c r="G145" s="449">
        <v>0.28999999999999998</v>
      </c>
      <c r="I145">
        <v>6</v>
      </c>
      <c r="J145" t="s">
        <v>532</v>
      </c>
      <c r="K145">
        <v>1060</v>
      </c>
      <c r="L145" s="449">
        <v>1841</v>
      </c>
      <c r="M145" s="437">
        <f t="shared" si="2"/>
        <v>1.3264530146659423</v>
      </c>
      <c r="N145" s="452">
        <v>2442</v>
      </c>
      <c r="O145" s="31">
        <f t="shared" si="3"/>
        <v>1406.040195545899</v>
      </c>
    </row>
    <row r="146" spans="1:15">
      <c r="A146" s="449">
        <v>8</v>
      </c>
      <c r="B146" s="449" t="s">
        <v>395</v>
      </c>
      <c r="C146" s="449">
        <v>549</v>
      </c>
      <c r="D146" s="449">
        <v>227</v>
      </c>
      <c r="E146" s="449">
        <v>141.85</v>
      </c>
      <c r="F146" s="449">
        <v>0.54</v>
      </c>
      <c r="G146" s="449">
        <v>0.22</v>
      </c>
      <c r="I146">
        <v>7</v>
      </c>
      <c r="J146" t="s">
        <v>395</v>
      </c>
      <c r="K146">
        <v>201</v>
      </c>
      <c r="L146" s="449">
        <v>211</v>
      </c>
      <c r="M146" s="437">
        <f t="shared" si="2"/>
        <v>1.4075829383886256</v>
      </c>
      <c r="N146" s="452">
        <v>297</v>
      </c>
      <c r="O146" s="31">
        <f t="shared" si="3"/>
        <v>282.92417061611377</v>
      </c>
    </row>
    <row r="147" spans="1:15">
      <c r="A147" s="449">
        <v>9</v>
      </c>
      <c r="B147" s="449" t="s">
        <v>390</v>
      </c>
      <c r="C147" s="449">
        <v>140</v>
      </c>
      <c r="D147" s="449">
        <v>0</v>
      </c>
      <c r="E147" s="449" t="s">
        <v>534</v>
      </c>
      <c r="F147" s="449">
        <v>0.14000000000000001</v>
      </c>
      <c r="G147" s="449">
        <v>0</v>
      </c>
      <c r="K147">
        <f>SUM(K140:K146)</f>
        <v>78926</v>
      </c>
      <c r="L147">
        <f>SUM(L140:L146)</f>
        <v>77602</v>
      </c>
      <c r="M147" s="437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4.5"/>
  <cols>
    <col min="2" max="2" width="27.26953125" customWidth="1"/>
    <col min="3" max="3" width="13.54296875" bestFit="1" customWidth="1"/>
    <col min="4" max="4" width="8.81640625" bestFit="1" customWidth="1"/>
    <col min="5" max="5" width="16.453125" bestFit="1" customWidth="1"/>
    <col min="6" max="6" width="5.1796875" bestFit="1" customWidth="1"/>
    <col min="7" max="7" width="8.81640625" bestFit="1" customWidth="1"/>
    <col min="8" max="8" width="12.453125" bestFit="1" customWidth="1"/>
    <col min="9" max="9" width="8.26953125" bestFit="1" customWidth="1"/>
    <col min="10" max="10" width="10.7265625" bestFit="1" customWidth="1"/>
    <col min="11" max="11" width="26.5429687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4.5"/>
  <cols>
    <col min="2" max="2" width="28.26953125" bestFit="1" customWidth="1"/>
    <col min="3" max="3" width="13.54296875" bestFit="1" customWidth="1"/>
    <col min="4" max="4" width="8.81640625" bestFit="1" customWidth="1"/>
    <col min="5" max="5" width="16.453125" bestFit="1" customWidth="1"/>
    <col min="6" max="6" width="5.54296875" bestFit="1" customWidth="1"/>
    <col min="8" max="8" width="12.453125" bestFit="1" customWidth="1"/>
    <col min="9" max="9" width="8.26953125" bestFit="1" customWidth="1"/>
    <col min="10" max="10" width="12" bestFit="1" customWidth="1"/>
    <col min="11" max="11" width="27.8164062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32" activePane="bottomRight" state="frozen"/>
      <selection activeCell="C3" sqref="C3"/>
      <selection pane="topRight" activeCell="C3" sqref="C3"/>
      <selection pane="bottomLeft" activeCell="C3" sqref="C3"/>
      <selection pane="bottomRight" activeCell="U70" sqref="U70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6.453125" style="12" bestFit="1" customWidth="1"/>
    <col min="9" max="9" width="6.179687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6.7265625" style="11" bestFit="1" customWidth="1"/>
    <col min="29" max="30" width="5.54296875" style="7" customWidth="1"/>
    <col min="31" max="31" width="8.7265625" style="7" bestFit="1" customWidth="1"/>
    <col min="32" max="32" width="8.7265625" style="7" customWidth="1"/>
    <col min="33" max="33" width="5.54296875" style="7" customWidth="1"/>
    <col min="34" max="34" width="5.81640625" style="7" bestFit="1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1796875" style="7" bestFit="1" customWidth="1"/>
    <col min="44" max="44" width="9.1796875" style="7"/>
    <col min="45" max="45" width="9.1796875" style="9"/>
    <col min="46" max="16384" width="9.179687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3" width="7.54296875" style="12" bestFit="1" customWidth="1"/>
    <col min="4" max="4" width="8" style="12" bestFit="1" customWidth="1"/>
    <col min="5" max="5" width="9.26953125" style="12" bestFit="1" customWidth="1"/>
    <col min="6" max="6" width="6.1796875" style="14" customWidth="1"/>
    <col min="7" max="7" width="6" style="14" bestFit="1" customWidth="1"/>
    <col min="8" max="8" width="6.453125" style="12" bestFit="1" customWidth="1"/>
    <col min="9" max="9" width="6.26953125" style="14" bestFit="1" customWidth="1"/>
    <col min="10" max="10" width="6.1796875" style="14" bestFit="1" customWidth="1"/>
    <col min="11" max="11" width="7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54296875" style="7" bestFit="1" customWidth="1"/>
    <col min="18" max="18" width="8.26953125" style="7" bestFit="1" customWidth="1"/>
    <col min="19" max="19" width="7.453125" style="7" bestFit="1" customWidth="1"/>
    <col min="20" max="20" width="7.54296875" style="7" bestFit="1" customWidth="1"/>
    <col min="21" max="21" width="8.54296875" style="7" bestFit="1" customWidth="1"/>
    <col min="22" max="22" width="7" style="7" bestFit="1" customWidth="1"/>
    <col min="23" max="25" width="5.453125" style="7" customWidth="1"/>
    <col min="26" max="26" width="5.453125" style="14" customWidth="1"/>
    <col min="27" max="27" width="7.453125" style="11" bestFit="1" customWidth="1"/>
    <col min="28" max="28" width="7.26953125" style="11" bestFit="1" customWidth="1"/>
    <col min="29" max="33" width="5.54296875" style="7" customWidth="1"/>
    <col min="34" max="34" width="6" style="7" customWidth="1"/>
    <col min="35" max="35" width="7" style="7" customWidth="1"/>
    <col min="36" max="36" width="7.453125" style="7" bestFit="1" customWidth="1"/>
    <col min="37" max="38" width="5.54296875" style="7" customWidth="1"/>
    <col min="39" max="39" width="7.26953125" style="7" bestFit="1" customWidth="1"/>
    <col min="40" max="40" width="5.54296875" style="7" customWidth="1"/>
    <col min="41" max="41" width="8.81640625" style="11" bestFit="1" customWidth="1"/>
    <col min="42" max="42" width="7.7265625" style="11" bestFit="1" customWidth="1"/>
    <col min="43" max="43" width="9.453125" style="7" bestFit="1" customWidth="1"/>
    <col min="44" max="16384" width="9.179687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C2" sqref="C2:AQ72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7.26953125" style="12" bestFit="1" customWidth="1"/>
    <col min="9" max="9" width="6.8164062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8.26953125" style="11" bestFit="1" customWidth="1"/>
    <col min="29" max="33" width="5.54296875" style="7" customWidth="1"/>
    <col min="34" max="34" width="6" style="7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26953125" style="7" bestFit="1" customWidth="1"/>
    <col min="44" max="16384" width="9.179687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4.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4.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4.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4.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7.26953125" style="12" bestFit="1" customWidth="1"/>
    <col min="9" max="9" width="6.8164062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8.26953125" style="11" bestFit="1" customWidth="1"/>
    <col min="29" max="33" width="5.54296875" style="7" customWidth="1"/>
    <col min="34" max="34" width="6" style="7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26953125" style="7" bestFit="1" customWidth="1"/>
    <col min="44" max="16384" width="9.179687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4.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4.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4.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4.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4.5"/>
  <cols>
    <col min="1" max="1" width="47.26953125" customWidth="1"/>
    <col min="2" max="2" width="15.26953125" customWidth="1"/>
  </cols>
  <sheetData>
    <row r="1" spans="1:43" ht="134.5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796875" defaultRowHeight="14.5"/>
  <cols>
    <col min="1" max="16384" width="9.179687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2024-08-12T11:35:26Z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