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SuppXLS\"/>
    </mc:Choice>
  </mc:AlternateContent>
  <xr:revisionPtr revIDLastSave="0" documentId="13_ncr:1_{1EEB40D7-E84B-4F9B-8964-C11C52566A19}" xr6:coauthVersionLast="47" xr6:coauthVersionMax="47" xr10:uidLastSave="{00000000-0000-0000-0000-000000000000}"/>
  <bookViews>
    <workbookView xWindow="-120" yWindow="-120" windowWidth="29040" windowHeight="15720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RSD-Retrofits" sheetId="9" r:id="rId7"/>
    <sheet name="TRA" sheetId="1" r:id="rId8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6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6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G7" i="7"/>
  <c r="I7" i="7"/>
  <c r="K7" i="7"/>
  <c r="B8" i="7"/>
  <c r="G8" i="7"/>
  <c r="I8" i="7"/>
  <c r="K8" i="7"/>
  <c r="B2" i="9"/>
  <c r="N6" i="9"/>
  <c r="L6" i="9"/>
  <c r="J6" i="9"/>
  <c r="B6" i="9"/>
  <c r="J7" i="8"/>
  <c r="L7" i="8"/>
  <c r="J8" i="8"/>
  <c r="L8" i="8"/>
  <c r="J6" i="8"/>
  <c r="L6" i="8"/>
  <c r="N6" i="8"/>
  <c r="B53" i="1" l="1"/>
  <c r="L6" i="1"/>
  <c r="G18" i="7"/>
  <c r="F18" i="7"/>
  <c r="G36" i="8"/>
  <c r="F36" i="8"/>
  <c r="G23" i="5"/>
  <c r="F23" i="5"/>
  <c r="G19" i="7"/>
  <c r="H37" i="8"/>
  <c r="G37" i="8"/>
  <c r="H24" i="5"/>
  <c r="G24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N16" i="8"/>
  <c r="J17" i="8"/>
  <c r="L17" i="8"/>
  <c r="N17" i="8"/>
  <c r="B7" i="8"/>
  <c r="B8" i="8"/>
  <c r="B9" i="8"/>
  <c r="B10" i="8"/>
  <c r="B11" i="8"/>
  <c r="B12" i="8"/>
  <c r="B13" i="8"/>
  <c r="B14" i="8"/>
  <c r="B15" i="8"/>
  <c r="B16" i="8"/>
  <c r="B17" i="8"/>
  <c r="B6" i="8"/>
  <c r="N7" i="8"/>
  <c r="N11" i="8" l="1"/>
  <c r="L11" i="8"/>
  <c r="J11" i="8"/>
  <c r="N10" i="8"/>
  <c r="L10" i="8"/>
  <c r="J10" i="8"/>
  <c r="N9" i="8"/>
  <c r="L9" i="8"/>
  <c r="J9" i="8"/>
  <c r="N8" i="8"/>
  <c r="B2" i="8"/>
  <c r="B10" i="5"/>
  <c r="J10" i="5"/>
  <c r="L10" i="5"/>
  <c r="N10" i="5"/>
  <c r="B9" i="5" l="1"/>
  <c r="J9" i="5"/>
  <c r="L9" i="5"/>
  <c r="N9" i="5"/>
  <c r="B8" i="5" l="1"/>
  <c r="J8" i="5"/>
  <c r="L8" i="5"/>
  <c r="N8" i="5"/>
  <c r="K6" i="7"/>
  <c r="I6" i="7"/>
  <c r="G6" i="7"/>
  <c r="B6" i="7"/>
  <c r="B2" i="7"/>
  <c r="G25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7" i="1"/>
  <c r="L8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<sst xmlns="http://schemas.openxmlformats.org/spreadsheetml/2006/main" count="519" uniqueCount="234">
  <si>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</si>
  <si>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</si>
  <si>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</si>
  <si>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</si>
  <si>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</si>
  <si>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</si>
  <si>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</si>
  <si>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</si>
  <si>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</si>
  <si>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</si>
  <si>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</si>
  <si>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</si>
  <si>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</si>
  <si>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</si>
  <si>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</si>
  <si>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</si>
  <si>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</si>
  <si>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</si>
  <si>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</si>
  <si>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</si>
  <si>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</si>
  <si>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</si>
  <si>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</si>
  <si>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</si>
  <si>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</si>
  <si>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</si>
  <si>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</si>
  <si>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</si>
  <si>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</si>
  <si>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</si>
  <si>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</si>
  <si>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</si>
  <si>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</si>
  <si>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</si>
  <si>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</si>
  <si>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</si>
  <si>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</si>
  <si>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</si>
  <si>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</si>
  <si>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</si>
  <si>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</si>
  <si>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</si>
  <si>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</si>
  <si>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</si>
  <si>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</si>
  <si>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</si>
  <si>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</si>
  <si>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</si>
  <si>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</si>
  <si>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</si>
  <si>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</si>
  <si>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</si>
  <si>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</si>
  <si>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</si>
  <si>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</si>
  <si>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</si>
  <si>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</si>
  <si>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</si>
  <si>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</si>
  <si>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</si>
  <si>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</si>
  <si>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</si>
  <si>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</si>
  <si>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</si>
  <si>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</si>
  <si>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</si>
  <si>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</si>
  <si>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</si>
  <si>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</si>
  <si>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</si>
  <si>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</si>
  <si>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</si>
  <si>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</si>
  <si>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</si>
  <si>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</si>
  <si>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</si>
  <si>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</si>
  <si>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</si>
  <si>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</si>
  <si>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</si>
  <si>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</si>
  <si>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</si>
  <si>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</si>
  <si>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</si>
  <si>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</si>
  <si>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</si>
  <si>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</si>
  <si>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</si>
  <si>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</si>
  <si>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</si>
  <si>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</si>
  <si>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</si>
  <si>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</si>
  <si>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</si>
  <si>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</si>
  <si>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</si>
  <si>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</si>
  <si>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</si>
  <si>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</si>
  <si>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</si>
  <si>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</si>
  <si>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</si>
  <si>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</si>
  <si>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</si>
  <si>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</si>
  <si>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</si>
  <si>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</si>
  <si>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</si>
  <si>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</si>
  <si>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</si>
  <si>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</si>
  <si>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</si>
  <si>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</si>
  <si>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</si>
  <si>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</si>
  <si>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</si>
  <si>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</si>
  <si>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</si>
  <si>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</si>
  <si>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</si>
  <si>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</si>
  <si>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</si>
  <si>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</si>
  <si>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</si>
  <si>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</si>
  <si>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</si>
  <si>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</si>
  <si>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</si>
  <si>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</si>
  <si>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</si>
  <si>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</si>
  <si>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</si>
  <si>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</si>
  <si>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</si>
  <si>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</si>
  <si>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</si>
  <si>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</si>
  <si>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</si>
  <si>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</si>
  <si>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</si>
  <si>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</si>
  <si>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</si>
  <si>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</si>
  <si>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</si>
  <si>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</si>
  <si>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</si>
  <si>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</si>
  <si>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</si>
  <si>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</si>
  <si>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</si>
  <si>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</si>
  <si>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</si>
  <si>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</si>
  <si>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</si>
  <si>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</si>
  <si>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</si>
  <si>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</si>
  <si>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</si>
  <si>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</si>
  <si>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</si>
  <si>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</si>
  <si>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</si>
  <si>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</si>
  <si>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</si>
  <si>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</si>
  <si>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</si>
  <si>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</si>
  <si>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</si>
  <si>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</si>
  <si>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</si>
  <si>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</si>
  <si>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</si>
  <si>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</si>
  <si>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</si>
  <si>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</si>
  <si>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</si>
  <si>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</si>
  <si>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</si>
  <si>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</si>
  <si>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</si>
  <si>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</si>
  <si>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</si>
  <si>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</si>
  <si>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</si>
  <si>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</si>
  <si>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</si>
  <si>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</si>
  <si>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</si>
  <si>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</si>
  <si>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</si>
  <si>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</si>
  <si>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</si>
  <si>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SRVHET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</si>
  <si>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</si>
  <si>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</si>
  <si>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</si>
  <si>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</si>
  <si>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</si>
  <si>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</si>
  <si>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</si>
  <si>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</si>
  <si>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</si>
  <si>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</si>
  <si>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</si>
  <si>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</si>
  <si>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</si>
  <si>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</si>
  <si>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</si>
  <si>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</si>
  <si>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</si>
  <si>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</si>
  <si>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RSDHET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</si>
  <si>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</si>
  <si>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</si>
  <si>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</si>
  <si>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</si>
  <si>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</si>
  <si>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</si>
  <si>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</si>
  <si>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</si>
  <si>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</si>
  <si>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</si>
  <si>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</si>
  <si>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UC_NCAP~RHS</t>
  </si>
  <si>
    <t>NCAP, GROWTH</t>
  </si>
  <si>
    <t>R-RTFT*</t>
  </si>
  <si>
    <t>UC_RSD_MaxNCap_Retrofits</t>
  </si>
  <si>
    <t>RSD maximum new retrofits</t>
  </si>
  <si>
    <t>Starting value (kUnits)</t>
  </si>
  <si>
    <t>Retrofits</t>
  </si>
  <si>
    <t>BIODST</t>
  </si>
  <si>
    <t>BIOETH</t>
  </si>
  <si>
    <t>SBIORDST*</t>
  </si>
  <si>
    <t>SBIORETH*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</si>
</sst>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43" fontId="4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2" fillId="0" borderId="0" xfId="2" applyNumberFormat="1" applyFont="1"/>
    <xf numFmtId="9" fontId="8" fillId="0" borderId="0" xfId="0" applyNumberFormat="1" applyFon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6">
    <cellStyle name="Comma" xfId="1" builtinId="3"/>
    <cellStyle name="Comma 2" xfId="5" xr:uid="{5861060F-C40E-4F8F-BC02-F18C01329088}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tabSelected="1" zoomScaleNormal="100" workbookViewId="0">
      <selection activeCell="B26" sqref="B26:D26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3" t="s">
        <v>161</v>
      </c>
      <c r="B16" s="53"/>
      <c r="C16" s="53"/>
      <c r="D16" s="53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2" t="s">
        <v>173</v>
      </c>
      <c r="C19" s="52"/>
      <c r="D19" s="52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2" t="s">
        <v>176</v>
      </c>
      <c r="C20" s="52"/>
      <c r="D20" s="52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2" t="s">
        <v>178</v>
      </c>
      <c r="C23" s="52"/>
      <c r="D23" s="52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2" t="s">
        <v>174</v>
      </c>
      <c r="C24" s="52"/>
      <c r="D24" s="52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2" t="s">
        <v>175</v>
      </c>
      <c r="C26" s="52"/>
      <c r="D26" s="52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4" t="s">
        <v>169</v>
      </c>
      <c r="C30" s="52"/>
      <c r="D30" s="52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2" t="s">
        <v>171</v>
      </c>
      <c r="C31" s="52"/>
      <c r="D31" s="52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9"/>
  <sheetViews>
    <sheetView zoomScaleNormal="100" workbookViewId="0">
      <selection activeCell="H23" sqref="H23"/>
    </sheetView>
  </sheetViews>
  <sheetFormatPr defaultRowHeight="15" x14ac:dyDescent="0.25"/>
  <cols>
    <col min="2" max="2" width="27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_xlfn.TEXTJOIN("_",TRUE,"UC",A12,"MaxGrowth",B12)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:G8" si="1">1+$C12</f>
        <v>1.4</v>
      </c>
      <c r="H6" s="2">
        <v>1</v>
      </c>
      <c r="I6" s="16">
        <f t="shared" ref="I6" si="2">-D12</f>
        <v>-0.2</v>
      </c>
      <c r="J6" s="2">
        <v>5</v>
      </c>
      <c r="K6" s="2" t="str">
        <f t="shared" ref="K6" si="3">_xlfn.TEXTJOIN(" ",TRUE,A12, "maximum growth rate of",B12)</f>
        <v>SUP maximum growth rate of BIOGAS</v>
      </c>
    </row>
    <row r="7" spans="1:14" x14ac:dyDescent="0.25">
      <c r="B7" s="2" t="str">
        <f t="shared" ref="B7:B8" si="4">_xlfn.TEXTJOIN("_",TRUE,"UC",A13,"MaxGrowth",B13)</f>
        <v>UC_SUP_MaxGrowth_BIODST</v>
      </c>
      <c r="C7" s="2" t="s">
        <v>144</v>
      </c>
      <c r="D7" s="2" t="s">
        <v>232</v>
      </c>
      <c r="E7" s="2">
        <v>2018</v>
      </c>
      <c r="F7" s="2" t="s">
        <v>15</v>
      </c>
      <c r="G7" s="26">
        <f t="shared" si="1"/>
        <v>1.4</v>
      </c>
      <c r="H7" s="2">
        <v>1</v>
      </c>
      <c r="I7" s="16">
        <f t="shared" ref="I7:I8" si="5">-D13</f>
        <v>-1</v>
      </c>
      <c r="J7" s="2">
        <v>5</v>
      </c>
      <c r="K7" s="2" t="str">
        <f t="shared" ref="K7:K8" si="6">_xlfn.TEXTJOIN(" ",TRUE,A13, "maximum growth rate of",B13)</f>
        <v>SUP maximum growth rate of BIODST</v>
      </c>
    </row>
    <row r="8" spans="1:14" x14ac:dyDescent="0.25">
      <c r="B8" s="2" t="str">
        <f t="shared" si="4"/>
        <v>UC_SUP_MaxGrowth_BIOETH</v>
      </c>
      <c r="C8" s="2" t="s">
        <v>144</v>
      </c>
      <c r="D8" s="2" t="s">
        <v>233</v>
      </c>
      <c r="E8" s="2">
        <v>2018</v>
      </c>
      <c r="F8" s="2" t="s">
        <v>15</v>
      </c>
      <c r="G8" s="26">
        <f t="shared" si="1"/>
        <v>1.4</v>
      </c>
      <c r="H8" s="2">
        <v>1</v>
      </c>
      <c r="I8" s="16">
        <f t="shared" si="5"/>
        <v>-1</v>
      </c>
      <c r="J8" s="2">
        <v>5</v>
      </c>
      <c r="K8" s="2" t="str">
        <f t="shared" si="6"/>
        <v>SUP maximum growth rate of BIOETH</v>
      </c>
    </row>
    <row r="9" spans="1:14" x14ac:dyDescent="0.25">
      <c r="B9" s="2"/>
      <c r="C9" s="2"/>
      <c r="D9" s="2"/>
      <c r="E9" s="2"/>
      <c r="F9" s="2"/>
      <c r="G9" s="26"/>
      <c r="H9" s="2"/>
      <c r="I9" s="16"/>
      <c r="J9" s="2"/>
      <c r="K9" s="2"/>
    </row>
    <row r="11" spans="1:14" x14ac:dyDescent="0.25">
      <c r="C11" t="s">
        <v>117</v>
      </c>
      <c r="D11" t="s">
        <v>189</v>
      </c>
    </row>
    <row r="12" spans="1:14" x14ac:dyDescent="0.25">
      <c r="A12" t="s">
        <v>186</v>
      </c>
      <c r="B12" t="s">
        <v>187</v>
      </c>
      <c r="C12" s="11">
        <v>0.4</v>
      </c>
      <c r="D12">
        <v>0.2</v>
      </c>
    </row>
    <row r="13" spans="1:14" x14ac:dyDescent="0.25">
      <c r="A13" t="s">
        <v>186</v>
      </c>
      <c r="B13" t="s">
        <v>230</v>
      </c>
      <c r="C13" s="11">
        <v>0.4</v>
      </c>
      <c r="D13">
        <v>1</v>
      </c>
    </row>
    <row r="14" spans="1:14" x14ac:dyDescent="0.25">
      <c r="A14" t="s">
        <v>186</v>
      </c>
      <c r="B14" t="s">
        <v>231</v>
      </c>
      <c r="C14" s="11">
        <v>0.4</v>
      </c>
      <c r="D14">
        <v>1</v>
      </c>
    </row>
    <row r="15" spans="1:14" x14ac:dyDescent="0.25">
      <c r="D15" s="2"/>
      <c r="F15" s="2"/>
      <c r="H15" s="16"/>
    </row>
    <row r="17" spans="2:8" x14ac:dyDescent="0.25">
      <c r="B17" s="45" t="s">
        <v>215</v>
      </c>
      <c r="H17" s="46"/>
    </row>
    <row r="18" spans="2:8" ht="15.75" thickBot="1" x14ac:dyDescent="0.3">
      <c r="B18" s="47" t="s">
        <v>216</v>
      </c>
      <c r="C18" s="47" t="s">
        <v>8</v>
      </c>
      <c r="D18" s="47" t="s">
        <v>217</v>
      </c>
      <c r="E18" s="47" t="s">
        <v>7</v>
      </c>
      <c r="F18" s="48" t="str">
        <f>IF(Regions!C$3&lt;&gt;"",Regions!C$3,"*")</f>
        <v>IE</v>
      </c>
      <c r="G18" s="48" t="str">
        <f>IF(Regions!C$3&lt;&gt;"",Regions!D$3,"*")</f>
        <v>National</v>
      </c>
      <c r="H18" s="49" t="s">
        <v>218</v>
      </c>
    </row>
    <row r="19" spans="2:8" x14ac:dyDescent="0.25">
      <c r="D19" t="s">
        <v>219</v>
      </c>
      <c r="E19">
        <v>2018</v>
      </c>
      <c r="F19">
        <v>2222</v>
      </c>
      <c r="G19">
        <f>F19</f>
        <v>2222</v>
      </c>
      <c r="H19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1"/>
  <sheetViews>
    <sheetView topLeftCell="A16" zoomScaleNormal="100" workbookViewId="0">
      <selection activeCell="G34" sqref="G3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1.5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0.2</v>
      </c>
      <c r="D14">
        <v>0.4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51">
        <v>0.5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1+$C30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1+$C31</f>
        <v>1</v>
      </c>
      <c r="H25" s="16">
        <v>0.5</v>
      </c>
      <c r="I25" s="2"/>
      <c r="J25" s="2"/>
    </row>
    <row r="26" spans="1:11" x14ac:dyDescent="0.25">
      <c r="B26" s="2"/>
      <c r="C26" s="2"/>
      <c r="D26" s="2" t="s">
        <v>154</v>
      </c>
      <c r="E26" s="2">
        <v>2024</v>
      </c>
      <c r="F26" s="2" t="s">
        <v>185</v>
      </c>
      <c r="G26" s="26">
        <v>1</v>
      </c>
      <c r="H26" s="16">
        <v>1</v>
      </c>
      <c r="I26" s="2"/>
      <c r="J26" s="2"/>
    </row>
    <row r="27" spans="1:11" x14ac:dyDescent="0.25">
      <c r="B27" s="2" t="s">
        <v>180</v>
      </c>
      <c r="C27" s="2"/>
      <c r="D27" s="2" t="s">
        <v>155</v>
      </c>
      <c r="E27">
        <v>2026</v>
      </c>
      <c r="F27" s="2" t="s">
        <v>185</v>
      </c>
      <c r="G27" s="26">
        <v>1</v>
      </c>
      <c r="H27" s="16">
        <v>0.8</v>
      </c>
      <c r="I27" s="2">
        <v>3</v>
      </c>
      <c r="J27" s="2" t="s">
        <v>184</v>
      </c>
    </row>
    <row r="28" spans="1:11" x14ac:dyDescent="0.25">
      <c r="D28" s="2" t="s">
        <v>155</v>
      </c>
      <c r="E28">
        <v>2027</v>
      </c>
      <c r="F28" s="2" t="s">
        <v>185</v>
      </c>
      <c r="G28" s="26">
        <v>1</v>
      </c>
      <c r="H28" s="16">
        <v>1</v>
      </c>
    </row>
    <row r="29" spans="1:11" x14ac:dyDescent="0.25">
      <c r="D29" s="2" t="s">
        <v>155</v>
      </c>
      <c r="E29">
        <v>2028</v>
      </c>
      <c r="F29" s="2" t="s">
        <v>185</v>
      </c>
      <c r="G29" s="26">
        <v>1</v>
      </c>
      <c r="H29" s="16">
        <v>1.5</v>
      </c>
    </row>
    <row r="30" spans="1:11" x14ac:dyDescent="0.25">
      <c r="D30" s="2" t="s">
        <v>155</v>
      </c>
      <c r="E30">
        <v>2029</v>
      </c>
      <c r="F30" s="2" t="s">
        <v>185</v>
      </c>
      <c r="G30" s="26">
        <v>1</v>
      </c>
      <c r="H30" s="16">
        <v>1.5</v>
      </c>
    </row>
    <row r="31" spans="1:11" x14ac:dyDescent="0.25">
      <c r="D31" s="2" t="s">
        <v>155</v>
      </c>
      <c r="E31">
        <v>2030</v>
      </c>
      <c r="F31" s="2" t="s">
        <v>185</v>
      </c>
      <c r="G31" s="26">
        <v>1</v>
      </c>
      <c r="H31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zoomScaleNormal="100" workbookViewId="0">
      <selection activeCell="D21" sqref="D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221</v>
      </c>
      <c r="G6" s="2" t="s">
        <v>142</v>
      </c>
      <c r="H6" s="2">
        <v>2021</v>
      </c>
      <c r="I6" s="2" t="s">
        <v>15</v>
      </c>
      <c r="J6" s="29">
        <f>1+C21</f>
        <v>1.1000000000000001</v>
      </c>
      <c r="K6" s="2">
        <v>1</v>
      </c>
      <c r="L6" s="16">
        <f>-D21</f>
        <v>-0.5</v>
      </c>
      <c r="M6" s="2">
        <v>5</v>
      </c>
      <c r="N6" s="2" t="str">
        <f>_xlfn.TEXTJOIN(" ",TRUE,A22, "maximum growth rate of",B21)</f>
        <v>RSD maximum growth rate of AmbientHeat</v>
      </c>
    </row>
    <row r="7" spans="2:14" x14ac:dyDescent="0.25">
      <c r="B7" s="2" t="str">
        <f t="shared" ref="B7:B17" si="0">_xlfn.TEXTJOIN("_",TRUE,"UC",A22,"MaxGrowth",B22)</f>
        <v>UC_RSD_MaxGrowth_Biodiesel</v>
      </c>
      <c r="C7" s="2" t="s">
        <v>144</v>
      </c>
      <c r="D7" s="2"/>
      <c r="F7" t="s">
        <v>196</v>
      </c>
      <c r="G7" s="2" t="s">
        <v>142</v>
      </c>
      <c r="H7" s="2">
        <v>2021</v>
      </c>
      <c r="I7" s="2" t="s">
        <v>15</v>
      </c>
      <c r="J7" s="29">
        <f t="shared" ref="J7:J8" si="1">1+C22</f>
        <v>1.1000000000000001</v>
      </c>
      <c r="K7" s="2">
        <v>1</v>
      </c>
      <c r="L7" s="16">
        <f t="shared" ref="L7:L8" si="2">-D22</f>
        <v>-0.5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205</v>
      </c>
      <c r="G8" s="2" t="s">
        <v>142</v>
      </c>
      <c r="H8" s="2">
        <v>2021</v>
      </c>
      <c r="I8" s="2" t="s">
        <v>15</v>
      </c>
      <c r="J8" s="29">
        <f t="shared" si="1"/>
        <v>1.1000000000000001</v>
      </c>
      <c r="K8" s="2">
        <v>1</v>
      </c>
      <c r="L8" s="16">
        <f t="shared" si="2"/>
        <v>-0.5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 t="shared" si="0"/>
        <v>UC_RSD_MaxGrowth_Coal</v>
      </c>
      <c r="C9" s="2" t="s">
        <v>144</v>
      </c>
      <c r="D9" s="2"/>
      <c r="F9" t="s">
        <v>206</v>
      </c>
      <c r="G9" s="2" t="s">
        <v>142</v>
      </c>
      <c r="H9" s="2">
        <v>2021</v>
      </c>
      <c r="I9" s="2" t="s">
        <v>15</v>
      </c>
      <c r="J9" s="29">
        <f>1+C24</f>
        <v>1.1000000000000001</v>
      </c>
      <c r="K9" s="2">
        <v>1</v>
      </c>
      <c r="L9" s="16">
        <f>-D24</f>
        <v>-0.5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207</v>
      </c>
      <c r="G10" s="2" t="s">
        <v>142</v>
      </c>
      <c r="H10" s="2">
        <v>2021</v>
      </c>
      <c r="I10" s="2" t="s">
        <v>15</v>
      </c>
      <c r="J10" s="29">
        <f>1+C25</f>
        <v>1.1000000000000001</v>
      </c>
      <c r="K10" s="2">
        <v>1</v>
      </c>
      <c r="L10" s="16">
        <f>-D25</f>
        <v>-0.5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208</v>
      </c>
      <c r="G11" s="2" t="s">
        <v>142</v>
      </c>
      <c r="H11" s="2">
        <v>2021</v>
      </c>
      <c r="I11" s="2" t="s">
        <v>15</v>
      </c>
      <c r="J11" s="29">
        <f>1+C26</f>
        <v>1.1000000000000001</v>
      </c>
      <c r="K11" s="2">
        <v>1</v>
      </c>
      <c r="L11" s="16">
        <f>-D26</f>
        <v>-0.5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209</v>
      </c>
      <c r="G12" s="2" t="s">
        <v>142</v>
      </c>
      <c r="H12" s="2">
        <v>2021</v>
      </c>
      <c r="I12" s="2" t="s">
        <v>15</v>
      </c>
      <c r="J12" s="29">
        <f t="shared" ref="J12:J17" si="3">1+C27</f>
        <v>1.1000000000000001</v>
      </c>
      <c r="K12" s="2">
        <v>1</v>
      </c>
      <c r="L12" s="16">
        <f t="shared" ref="L12:L17" si="4">-D27</f>
        <v>-0.5</v>
      </c>
      <c r="M12" s="2">
        <v>5</v>
      </c>
      <c r="N12" s="2" t="str">
        <f t="shared" ref="N12:N17" si="5">_xlfn.TEXTJOIN(" ",TRUE,A27, "maximum growth rate of",B27)</f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210</v>
      </c>
      <c r="G13" s="2" t="s">
        <v>142</v>
      </c>
      <c r="H13" s="2">
        <v>2021</v>
      </c>
      <c r="I13" s="2" t="s">
        <v>15</v>
      </c>
      <c r="J13" s="29">
        <f t="shared" si="3"/>
        <v>1.1000000000000001</v>
      </c>
      <c r="K13" s="2">
        <v>1</v>
      </c>
      <c r="L13" s="16">
        <f t="shared" si="4"/>
        <v>-0.5</v>
      </c>
      <c r="M13" s="2">
        <v>5</v>
      </c>
      <c r="N13" s="2" t="str">
        <f t="shared" si="5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211</v>
      </c>
      <c r="G14" s="2" t="s">
        <v>142</v>
      </c>
      <c r="H14" s="2">
        <v>2021</v>
      </c>
      <c r="I14" s="2" t="s">
        <v>15</v>
      </c>
      <c r="J14" s="29">
        <f t="shared" si="3"/>
        <v>1.1000000000000001</v>
      </c>
      <c r="K14" s="2">
        <v>1</v>
      </c>
      <c r="L14" s="16">
        <f t="shared" si="4"/>
        <v>-0.5</v>
      </c>
      <c r="M14" s="2">
        <v>5</v>
      </c>
      <c r="N14" s="2" t="str">
        <f t="shared" si="5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212</v>
      </c>
      <c r="G15" s="2" t="s">
        <v>142</v>
      </c>
      <c r="H15" s="2">
        <v>2021</v>
      </c>
      <c r="I15" s="2" t="s">
        <v>15</v>
      </c>
      <c r="J15" s="29">
        <f t="shared" si="3"/>
        <v>1.1000000000000001</v>
      </c>
      <c r="K15" s="2">
        <v>1</v>
      </c>
      <c r="L15" s="16">
        <f t="shared" si="4"/>
        <v>-0.5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213</v>
      </c>
      <c r="G16" s="2" t="s">
        <v>142</v>
      </c>
      <c r="H16" s="2">
        <v>2021</v>
      </c>
      <c r="I16" s="2" t="s">
        <v>15</v>
      </c>
      <c r="J16" s="29">
        <f t="shared" si="3"/>
        <v>1.1000000000000001</v>
      </c>
      <c r="K16" s="2">
        <v>1</v>
      </c>
      <c r="L16" s="16">
        <f t="shared" si="4"/>
        <v>-0.5</v>
      </c>
      <c r="M16" s="2">
        <v>5</v>
      </c>
      <c r="N16" s="2" t="str">
        <f t="shared" si="5"/>
        <v>RSD maximum growth rate of Kerosene</v>
      </c>
    </row>
    <row r="17" spans="1:14" x14ac:dyDescent="0.25">
      <c r="B17" s="2" t="str">
        <f t="shared" si="0"/>
        <v>UC_RSD_MaxGrowth_Solar</v>
      </c>
      <c r="C17" s="2" t="s">
        <v>144</v>
      </c>
      <c r="D17" s="2"/>
      <c r="F17" t="s">
        <v>214</v>
      </c>
      <c r="G17" s="2" t="s">
        <v>142</v>
      </c>
      <c r="H17" s="2">
        <v>2021</v>
      </c>
      <c r="I17" s="2" t="s">
        <v>15</v>
      </c>
      <c r="J17" s="29">
        <f t="shared" si="3"/>
        <v>1.1000000000000001</v>
      </c>
      <c r="K17" s="2">
        <v>1</v>
      </c>
      <c r="L17" s="16">
        <f t="shared" si="4"/>
        <v>-0.5</v>
      </c>
      <c r="M17" s="2">
        <v>5</v>
      </c>
      <c r="N17" s="2" t="str">
        <f t="shared" si="5"/>
        <v>RSD maximum growth rate of Solar</v>
      </c>
    </row>
    <row r="18" spans="1:14" x14ac:dyDescent="0.25">
      <c r="B18" s="2"/>
      <c r="C18" s="2"/>
      <c r="D18" s="2"/>
      <c r="F18" s="2"/>
      <c r="G18" s="2"/>
      <c r="I18" s="2"/>
      <c r="J18" s="29"/>
      <c r="K18" s="2"/>
      <c r="L18" s="16"/>
      <c r="M18" s="2"/>
      <c r="N18" s="2"/>
    </row>
    <row r="20" spans="1:14" x14ac:dyDescent="0.25">
      <c r="C20" t="s">
        <v>117</v>
      </c>
      <c r="D20" t="s">
        <v>189</v>
      </c>
    </row>
    <row r="21" spans="1:14" x14ac:dyDescent="0.25">
      <c r="A21" t="s">
        <v>195</v>
      </c>
      <c r="B21" t="s">
        <v>190</v>
      </c>
      <c r="C21" s="11">
        <v>0.1</v>
      </c>
      <c r="D21">
        <v>0.5</v>
      </c>
    </row>
    <row r="22" spans="1:14" x14ac:dyDescent="0.25">
      <c r="A22" t="s">
        <v>195</v>
      </c>
      <c r="B22" t="s">
        <v>197</v>
      </c>
      <c r="C22" s="11">
        <v>0.1</v>
      </c>
      <c r="D22">
        <v>0.5</v>
      </c>
    </row>
    <row r="23" spans="1:14" x14ac:dyDescent="0.25">
      <c r="A23" t="s">
        <v>195</v>
      </c>
      <c r="B23" t="s">
        <v>137</v>
      </c>
      <c r="C23" s="11">
        <v>0.1</v>
      </c>
      <c r="D23">
        <v>0.5</v>
      </c>
    </row>
    <row r="24" spans="1:14" x14ac:dyDescent="0.25">
      <c r="A24" t="s">
        <v>195</v>
      </c>
      <c r="B24" t="s">
        <v>198</v>
      </c>
      <c r="C24" s="11">
        <v>0.1</v>
      </c>
      <c r="D24">
        <v>0.5</v>
      </c>
    </row>
    <row r="25" spans="1:14" x14ac:dyDescent="0.25">
      <c r="A25" t="s">
        <v>195</v>
      </c>
      <c r="B25" t="s">
        <v>199</v>
      </c>
      <c r="C25" s="11">
        <v>0.1</v>
      </c>
      <c r="D25">
        <v>0.5</v>
      </c>
    </row>
    <row r="26" spans="1:14" x14ac:dyDescent="0.25">
      <c r="A26" t="s">
        <v>195</v>
      </c>
      <c r="B26" t="s">
        <v>200</v>
      </c>
      <c r="C26" s="11">
        <v>0.1</v>
      </c>
      <c r="D26">
        <v>0.5</v>
      </c>
    </row>
    <row r="27" spans="1:14" x14ac:dyDescent="0.25">
      <c r="A27" t="s">
        <v>195</v>
      </c>
      <c r="B27" t="s">
        <v>201</v>
      </c>
      <c r="C27" s="11">
        <v>0.1</v>
      </c>
      <c r="D27">
        <v>0.5</v>
      </c>
    </row>
    <row r="28" spans="1:14" x14ac:dyDescent="0.25">
      <c r="A28" t="s">
        <v>195</v>
      </c>
      <c r="B28" t="s">
        <v>193</v>
      </c>
      <c r="C28" s="11">
        <v>0.1</v>
      </c>
      <c r="D28">
        <v>0.5</v>
      </c>
    </row>
    <row r="29" spans="1:14" x14ac:dyDescent="0.25">
      <c r="A29" t="s">
        <v>195</v>
      </c>
      <c r="B29" t="s">
        <v>191</v>
      </c>
      <c r="C29" s="11">
        <v>0.1</v>
      </c>
      <c r="D29">
        <v>0.5</v>
      </c>
    </row>
    <row r="30" spans="1:14" x14ac:dyDescent="0.25">
      <c r="A30" t="s">
        <v>195</v>
      </c>
      <c r="B30" t="s">
        <v>202</v>
      </c>
      <c r="C30" s="11">
        <v>0.1</v>
      </c>
      <c r="D30">
        <v>0.5</v>
      </c>
    </row>
    <row r="31" spans="1:14" x14ac:dyDescent="0.25">
      <c r="A31" t="s">
        <v>195</v>
      </c>
      <c r="B31" t="s">
        <v>203</v>
      </c>
      <c r="C31" s="11">
        <v>0.1</v>
      </c>
      <c r="D31">
        <v>0.5</v>
      </c>
    </row>
    <row r="32" spans="1:14" x14ac:dyDescent="0.25">
      <c r="A32" t="s">
        <v>195</v>
      </c>
      <c r="B32" t="s">
        <v>204</v>
      </c>
      <c r="C32" s="11">
        <v>0.1</v>
      </c>
      <c r="D32">
        <v>0.5</v>
      </c>
    </row>
    <row r="35" spans="2:8" x14ac:dyDescent="0.25">
      <c r="B35" s="45" t="s">
        <v>215</v>
      </c>
      <c r="H35" s="46"/>
    </row>
    <row r="36" spans="2:8" ht="15.75" thickBot="1" x14ac:dyDescent="0.3">
      <c r="B36" s="47" t="s">
        <v>216</v>
      </c>
      <c r="C36" s="47" t="s">
        <v>8</v>
      </c>
      <c r="D36" s="47" t="s">
        <v>217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218</v>
      </c>
    </row>
    <row r="37" spans="2:8" x14ac:dyDescent="0.25">
      <c r="D37" t="s">
        <v>219</v>
      </c>
      <c r="E37">
        <v>2018</v>
      </c>
      <c r="F37">
        <v>2222</v>
      </c>
      <c r="G37">
        <f>F37</f>
        <v>2222</v>
      </c>
      <c r="H37" t="str">
        <f xml:space="preserve"> _xlfn.TEXTJOIN(",",TRUE,F6:F17)</f>
        <v>RSDAHT,RSDAHT2,RSDBDL,RSDWOO,RSDCOA,RSDPEA,RSDELC,RSDETH,RSDGAS,RSDHET,RSDLPG,RSDKER,RSDSOL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H15" sqref="H15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220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-0.8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192</v>
      </c>
      <c r="G9" s="2" t="s">
        <v>142</v>
      </c>
      <c r="H9" s="2">
        <v>2021</v>
      </c>
      <c r="I9" s="2" t="s">
        <v>15</v>
      </c>
      <c r="J9" s="29">
        <f>1+C17</f>
        <v>1.05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194</v>
      </c>
      <c r="G10" s="2" t="s">
        <v>142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0.05</v>
      </c>
      <c r="D14">
        <v>0.3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0.8</v>
      </c>
    </row>
    <row r="17" spans="1:8" x14ac:dyDescent="0.25">
      <c r="A17" t="s">
        <v>139</v>
      </c>
      <c r="B17" t="s">
        <v>191</v>
      </c>
      <c r="C17" s="11">
        <v>0.05</v>
      </c>
      <c r="D17">
        <v>0.3</v>
      </c>
    </row>
    <row r="18" spans="1:8" x14ac:dyDescent="0.25">
      <c r="A18" t="s">
        <v>139</v>
      </c>
      <c r="B18" t="s">
        <v>193</v>
      </c>
      <c r="C18" s="11">
        <v>0.08</v>
      </c>
      <c r="D18">
        <v>0.5</v>
      </c>
    </row>
    <row r="22" spans="1:8" x14ac:dyDescent="0.25">
      <c r="B22" s="45" t="s">
        <v>215</v>
      </c>
      <c r="H22" s="46"/>
    </row>
    <row r="23" spans="1:8" ht="15.75" thickBot="1" x14ac:dyDescent="0.3">
      <c r="B23" s="47" t="s">
        <v>216</v>
      </c>
      <c r="C23" s="47" t="s">
        <v>8</v>
      </c>
      <c r="D23" s="47" t="s">
        <v>217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218</v>
      </c>
    </row>
    <row r="24" spans="1:8" x14ac:dyDescent="0.25">
      <c r="D24" t="s">
        <v>219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777E-BCE4-472D-B253-88326C1C4E47}">
  <dimension ref="A2:N10"/>
  <sheetViews>
    <sheetView zoomScaleNormal="100" workbookViewId="0">
      <selection activeCell="G14" sqref="G1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9.7109375" bestFit="1" customWidth="1"/>
    <col min="11" max="11" width="14.8554687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181</v>
      </c>
      <c r="K5" s="4" t="s">
        <v>223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_xlfn.TEXTJOIN("_",TRUE,"UC",A10,"MaxGrowth",B10)</f>
        <v>UC_RSD_MaxGrowth_Retrofits</v>
      </c>
      <c r="C6" s="2" t="s">
        <v>224</v>
      </c>
      <c r="D6" s="2"/>
      <c r="F6" s="2"/>
      <c r="G6" s="2" t="s">
        <v>225</v>
      </c>
      <c r="H6" s="2">
        <v>2019</v>
      </c>
      <c r="I6" s="2" t="s">
        <v>15</v>
      </c>
      <c r="J6" s="29">
        <f>1+C10</f>
        <v>1.5</v>
      </c>
      <c r="K6" s="2">
        <v>1</v>
      </c>
      <c r="L6" s="16">
        <f>-D10</f>
        <v>-20</v>
      </c>
      <c r="M6" s="2">
        <v>5</v>
      </c>
      <c r="N6" s="2" t="str">
        <f>_xlfn.TEXTJOIN(" ",TRUE,A10, "maximum growth rate of",LOWER(B10))</f>
        <v>RSD maximum growth rate of retrofits</v>
      </c>
    </row>
    <row r="7" spans="1:14" x14ac:dyDescent="0.25">
      <c r="B7" s="2" t="s">
        <v>226</v>
      </c>
      <c r="C7" s="2"/>
      <c r="D7" s="2"/>
      <c r="F7" s="2"/>
      <c r="G7" s="2" t="s">
        <v>225</v>
      </c>
      <c r="H7">
        <v>2019</v>
      </c>
      <c r="I7" s="2" t="s">
        <v>185</v>
      </c>
      <c r="J7" s="50">
        <v>1</v>
      </c>
      <c r="K7" s="2"/>
      <c r="L7" s="16">
        <v>60</v>
      </c>
      <c r="M7" s="2">
        <v>5</v>
      </c>
      <c r="N7" s="2" t="s">
        <v>227</v>
      </c>
    </row>
    <row r="9" spans="1:14" x14ac:dyDescent="0.25">
      <c r="C9" t="s">
        <v>117</v>
      </c>
      <c r="D9" t="s">
        <v>228</v>
      </c>
    </row>
    <row r="10" spans="1:14" x14ac:dyDescent="0.25">
      <c r="A10" t="s">
        <v>195</v>
      </c>
      <c r="B10" t="s">
        <v>229</v>
      </c>
      <c r="C10" s="11">
        <v>0.5</v>
      </c>
      <c r="D10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opLeftCell="A10" zoomScaleNormal="100" workbookViewId="0">
      <selection activeCell="J6" sqref="J6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1.8</v>
      </c>
      <c r="K6" s="2">
        <v>1</v>
      </c>
      <c r="L6" s="16">
        <f>-$B$53*L27/1000</f>
        <v>-18.168149999999997</v>
      </c>
      <c r="M6" s="2">
        <v>5</v>
      </c>
      <c r="N6" s="2" t="str">
        <f t="shared" ref="N6:N23" si="2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ref="L7:L8" si="3">-$B$53*L28/1000</f>
        <v>-18.168149999999997</v>
      </c>
      <c r="M7" s="2">
        <v>5</v>
      </c>
      <c r="N7" s="2" t="str">
        <f t="shared" si="2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3"/>
        <v>-18.168149999999997</v>
      </c>
      <c r="M8" s="2">
        <v>5</v>
      </c>
      <c r="N8" s="2" t="str">
        <f t="shared" si="2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2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1.4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2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1.3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2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1.3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2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1.3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2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2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2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2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2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2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2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2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2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2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2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0.8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5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5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0.4</v>
      </c>
      <c r="L31" s="11">
        <v>0.15</v>
      </c>
    </row>
    <row r="32" spans="1:15" x14ac:dyDescent="0.25">
      <c r="A32" s="55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0.3</v>
      </c>
      <c r="L32" s="11">
        <v>0.15</v>
      </c>
    </row>
    <row r="33" spans="1:16" x14ac:dyDescent="0.25">
      <c r="A33" s="55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0.3</v>
      </c>
      <c r="L33" s="11">
        <v>0.15</v>
      </c>
    </row>
    <row r="34" spans="1:16" x14ac:dyDescent="0.25">
      <c r="A34" s="55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0.3</v>
      </c>
      <c r="L34" s="11">
        <v>0.15</v>
      </c>
    </row>
    <row r="35" spans="1:16" x14ac:dyDescent="0.25">
      <c r="A35" s="55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Regions</vt:lpstr>
      <vt:lpstr>SUP</vt:lpstr>
      <vt:lpstr>PWR</vt:lpstr>
      <vt:lpstr>RSD</vt:lpstr>
      <vt:lpstr>SRV</vt:lpstr>
      <vt:lpstr>RSD-Retrofits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Bakytzhan Suleimenov</cp:lastModifiedBy>
  <dcterms:created xsi:type="dcterms:W3CDTF">2021-03-04T10:02:17Z</dcterms:created>
  <dcterms:modified xsi:type="dcterms:W3CDTF">2023-11-09T22:33:07Z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929729700088500</vt:r8>
  </property>
</Properties>
</file>