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5BDA84AB-6B0C-4A2A-97CC-435A26FD0A9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4" r:id="rId1"/>
    <sheet name="Regions" sheetId="15" r:id="rId2"/>
    <sheet name="Overshoot" sheetId="25" r:id="rId3"/>
    <sheet name="config" sheetId="20" r:id="rId4"/>
    <sheet name="single" sheetId="21" r:id="rId5"/>
    <sheet name="multi" sheetId="22" r:id="rId6"/>
    <sheet name="negative_CO2" sheetId="23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21" l="1"/>
  <c r="N8" i="21"/>
  <c r="K8" i="21" s="1"/>
  <c r="K8" i="22" s="1"/>
  <c r="N7" i="21"/>
  <c r="K7" i="21" s="1"/>
  <c r="K9" i="21" l="1"/>
  <c r="K9" i="22" s="1"/>
  <c r="K7" i="22"/>
  <c r="I10" i="22"/>
  <c r="H10" i="22"/>
  <c r="G10" i="22"/>
  <c r="F10" i="22"/>
  <c r="D10" i="22"/>
  <c r="C10" i="22"/>
  <c r="I9" i="22"/>
  <c r="H9" i="22"/>
  <c r="G9" i="22"/>
  <c r="F9" i="22"/>
  <c r="D9" i="22"/>
  <c r="C9" i="22"/>
  <c r="I8" i="22"/>
  <c r="H8" i="22"/>
  <c r="G8" i="22"/>
  <c r="F8" i="22"/>
  <c r="D8" i="22"/>
  <c r="C8" i="22"/>
  <c r="I7" i="22"/>
  <c r="H7" i="22"/>
  <c r="G7" i="22"/>
  <c r="F7" i="22"/>
  <c r="D7" i="22"/>
  <c r="C7" i="22"/>
  <c r="K10" i="21"/>
  <c r="K10" i="22" s="1"/>
  <c r="I10" i="21"/>
  <c r="H10" i="21"/>
  <c r="G10" i="21"/>
  <c r="F10" i="21"/>
  <c r="D10" i="21"/>
  <c r="C10" i="21"/>
  <c r="I9" i="21"/>
  <c r="H9" i="21"/>
  <c r="G9" i="21"/>
  <c r="F9" i="21"/>
  <c r="D9" i="21"/>
  <c r="C9" i="21"/>
  <c r="I8" i="21"/>
  <c r="H8" i="21"/>
  <c r="G8" i="21"/>
  <c r="F8" i="21"/>
  <c r="D8" i="21"/>
  <c r="C8" i="21"/>
  <c r="I7" i="21"/>
  <c r="H7" i="21"/>
  <c r="G7" i="21"/>
  <c r="F7" i="21"/>
  <c r="D7" i="21"/>
  <c r="C7" i="21"/>
  <c r="F4" i="20"/>
  <c r="B10" i="21" s="1"/>
  <c r="F5" i="20"/>
  <c r="L10" i="21" s="1"/>
  <c r="D4" i="20"/>
  <c r="B8" i="22" s="1"/>
  <c r="E4" i="20"/>
  <c r="B9" i="22" s="1"/>
  <c r="D5" i="20"/>
  <c r="L8" i="22" s="1"/>
  <c r="E5" i="20"/>
  <c r="L9" i="21" s="1"/>
  <c r="C5" i="20"/>
  <c r="L7" i="21" s="1"/>
  <c r="C4" i="20"/>
  <c r="B7" i="21" s="1"/>
  <c r="L10" i="22" l="1"/>
  <c r="B10" i="22"/>
  <c r="B9" i="21"/>
  <c r="L9" i="22"/>
  <c r="B8" i="21"/>
  <c r="L8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<sst xmlns="http://schemas.openxmlformats.org/spreadsheetml/2006/main" count="155" uniqueCount="114">
  <si>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</si>
  <si>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</si>
  <si>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</si>
  <si>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</si>
  <si>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</si>
  <si>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</si>
  <si>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</si>
  <si>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</si>
  <si>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</si>
  <si>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</si>
  <si>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</si>
  <si>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</si>
  <si>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</si>
  <si>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</si>
  <si>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</si>
  <si>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</si>
  <si>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</si>
  <si>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</si>
  <si>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</si>
  <si>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</si>
  <si>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</si>
  <si>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</si>
  <si>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</si>
  <si>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</si>
  <si>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</si>
  <si>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</si>
  <si>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</si>
  <si>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</si>
  <si>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</si>
  <si>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</si>
  <si>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</si>
  <si>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</si>
  <si>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</si>
  <si>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</si>
  <si>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</si>
  <si>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</si>
  <si>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</si>
  <si>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</si>
  <si>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</si>
  <si>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</si>
  <si>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</si>
  <si>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</si>
  <si>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</si>
  <si>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</si>
  <si>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</si>
  <si>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</si>
  <si>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</si>
  <si>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</si>
  <si>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</si>
  <si>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</si>
  <si>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</si>
  <si>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</si>
  <si>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</si>
  <si>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</si>
  <si>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</si>
  <si>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</si>
  <si>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</si>
  <si>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</si>
  <si>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</si>
  <si>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</si>
  <si>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</si>
  <si>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</si>
  <si>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</si>
  <si>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</si>
  <si>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</si>
  <si>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</si>
  <si>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</si>
  <si>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</si>
  <si>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</si>
  <si>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</si>
  <si>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</si>
  <si>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</si>
  <si>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</si>
  <si>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</si>
  <si>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</si>
  <si>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</si>
  <si>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</si>
  <si>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</si>
  <si>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</si>
  <si>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</si>
  <si>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</si>
  <si>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</si>
  <si>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</si>
  <si>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</si>
  <si>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</si>
  <si>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</si>
  <si>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</si>
  <si>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</si>
  <si>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</si>
  <si>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</si>
  <si>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</si>
  <si>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</si>
  <si>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</si>
  <si>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</si>
  <si>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</si>
  <si>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</si>
  <si>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</si>
  <si>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</si>
  <si>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</si>
  <si>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</si>
  <si>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</si>
  <si>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</si>
  <si>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</si>
  <si>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</si>
  <si>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</si>
  <si>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</si>
  <si>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</si>
  <si>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</si>
  <si>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</si>
  <si>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</si>
  <si>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Overshoot</t>
  </si>
  <si>
    <t>Case #</t>
  </si>
  <si>
    <t>~InputCell:1-13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</si>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</sst>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66" fontId="0" fillId="0" borderId="0" xfId="0" applyNumberFormat="1"/>
    <xf numFmtId="165" fontId="0" fillId="0" borderId="0" xfId="3" applyNumberFormat="1" applyFon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5CD6EEE1-73B2-4911-9FC2-AF042D96273E}"/>
    <cellStyle name="Percent" xfId="3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51D-CBC7-469C-AD9B-B324E874F696}">
  <dimension ref="B2:G20"/>
  <sheetViews>
    <sheetView workbookViewId="0">
      <selection activeCell="B4" sqref="B4"/>
    </sheetView>
  </sheetViews>
  <sheetFormatPr defaultRowHeight="15" x14ac:dyDescent="0.25"/>
  <sheetData>
    <row r="2" spans="2:7" x14ac:dyDescent="0.25">
      <c r="B2" t="s">
        <v>112</v>
      </c>
    </row>
    <row r="3" spans="2:7" x14ac:dyDescent="0.25">
      <c r="B3">
        <v>1</v>
      </c>
      <c r="F3" t="s">
        <v>111</v>
      </c>
      <c r="G3" t="s">
        <v>110</v>
      </c>
    </row>
    <row r="4" spans="2:7" x14ac:dyDescent="0.25">
      <c r="F4">
        <v>1</v>
      </c>
      <c r="G4" s="35">
        <v>0</v>
      </c>
    </row>
    <row r="5" spans="2:7" x14ac:dyDescent="0.25">
      <c r="F5">
        <v>2</v>
      </c>
      <c r="G5" s="35">
        <v>2.5000000000000001E-2</v>
      </c>
    </row>
    <row r="6" spans="2:7" x14ac:dyDescent="0.25">
      <c r="F6">
        <v>3</v>
      </c>
      <c r="G6" s="35">
        <v>0.05</v>
      </c>
    </row>
    <row r="7" spans="2:7" x14ac:dyDescent="0.25">
      <c r="F7">
        <v>4</v>
      </c>
      <c r="G7" s="35">
        <v>7.4999999999999997E-2</v>
      </c>
    </row>
    <row r="8" spans="2:7" x14ac:dyDescent="0.25">
      <c r="F8">
        <v>5</v>
      </c>
      <c r="G8" s="35">
        <v>0.1</v>
      </c>
    </row>
    <row r="9" spans="2:7" x14ac:dyDescent="0.25">
      <c r="F9">
        <v>6</v>
      </c>
      <c r="G9" s="35">
        <v>0.125</v>
      </c>
    </row>
    <row r="10" spans="2:7" x14ac:dyDescent="0.25">
      <c r="F10">
        <v>7</v>
      </c>
      <c r="G10" s="35">
        <v>0.15</v>
      </c>
    </row>
    <row r="11" spans="2:7" x14ac:dyDescent="0.25">
      <c r="F11">
        <v>8</v>
      </c>
      <c r="G11" s="35">
        <v>0.17499999999999999</v>
      </c>
    </row>
    <row r="12" spans="2:7" x14ac:dyDescent="0.25">
      <c r="F12">
        <v>9</v>
      </c>
      <c r="G12" s="35">
        <v>0.2</v>
      </c>
    </row>
    <row r="13" spans="2:7" x14ac:dyDescent="0.25">
      <c r="F13">
        <v>10</v>
      </c>
      <c r="G13" s="35">
        <v>0.22500000000000001</v>
      </c>
    </row>
    <row r="14" spans="2:7" x14ac:dyDescent="0.25">
      <c r="F14">
        <v>11</v>
      </c>
      <c r="G14" s="35">
        <v>0.25</v>
      </c>
    </row>
    <row r="15" spans="2:7" x14ac:dyDescent="0.25">
      <c r="F15">
        <v>12</v>
      </c>
      <c r="G15" s="35">
        <v>0.27500000000000002</v>
      </c>
    </row>
    <row r="16" spans="2:7" x14ac:dyDescent="0.25">
      <c r="F16">
        <v>13</v>
      </c>
      <c r="G16" s="35">
        <v>0.3</v>
      </c>
    </row>
    <row r="17" spans="7:7" x14ac:dyDescent="0.25">
      <c r="G17" s="35"/>
    </row>
    <row r="18" spans="7:7" x14ac:dyDescent="0.25">
      <c r="G18" s="35"/>
    </row>
    <row r="19" spans="7:7" x14ac:dyDescent="0.25">
      <c r="G19" s="35"/>
    </row>
    <row r="20" spans="7:7" x14ac:dyDescent="0.25">
      <c r="G2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D9" sqref="D9:F9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UC_CB_170_Mt_2021-2025</v>
      </c>
      <c r="D4" t="str">
        <f t="shared" ref="D4:E4" si="0" xml:space="preserve"> _xlfn.TEXTJOIN("_",TRUE,"UC","CB",ROUND(D7,0),"Mt",D6)</f>
        <v>UC_CB_116_Mt_2026-2030</v>
      </c>
      <c r="E4" t="str">
        <f t="shared" si="0"/>
        <v>UC_CB_114_Mt_2031-2050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170 Mt 2021-2025</v>
      </c>
      <c r="D5" t="str">
        <f t="shared" ref="D5:F5" si="2" xml:space="preserve"> _xlfn.TEXTJOIN(" ",TRUE,"Carbon budget",ROUND(D7,0),"Mt",D6)</f>
        <v>Carbon budget 116 Mt 2026-2030</v>
      </c>
      <c r="E5" t="str">
        <f t="shared" si="2"/>
        <v>Carbon budget 114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 s="17">
        <v>170.3125</v>
      </c>
      <c r="D7" s="17">
        <v>116.14583333333333</v>
      </c>
      <c r="E7" s="17">
        <v>113.54166666666667</v>
      </c>
      <c r="F7" s="1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P15"/>
  <sheetViews>
    <sheetView tabSelected="1" workbookViewId="0">
      <selection activeCell="A11" sqref="A11:XFD11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  <col min="16" max="16" width="10" customWidth="1"/>
  </cols>
  <sheetData>
    <row r="1" spans="1:16" x14ac:dyDescent="0.25">
      <c r="A1" t="s">
        <v>64</v>
      </c>
    </row>
    <row r="2" spans="1:16" x14ac:dyDescent="0.25">
      <c r="B2" s="9" t="str">
        <f>"~UC_Sets: R_E: "  &amp; _xlfn.TEXTJOIN(",",TRUE,Regions!C3)</f>
        <v>~UC_Sets: R_E: IE</v>
      </c>
    </row>
    <row r="3" spans="1:16" x14ac:dyDescent="0.25">
      <c r="B3" s="9" t="s">
        <v>75</v>
      </c>
    </row>
    <row r="4" spans="1:16" x14ac:dyDescent="0.25">
      <c r="H4" t="str">
        <f>IF(RIGHT(B2,1)&lt;&gt;" ","~UC_T","")</f>
        <v>~UC_T</v>
      </c>
    </row>
    <row r="5" spans="1:16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6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  <c r="N6" s="33" t="s">
        <v>109</v>
      </c>
    </row>
    <row r="7" spans="1:16" x14ac:dyDescent="0.25">
      <c r="B7" t="str">
        <f>VLOOKUP($B$5, config!$B$4:$F$14,2,FALSE) &amp; "_Single"</f>
        <v>UC_CB_170_Mt_2021-2025_Single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N7*(1+VLOOKUP(Overshoot!$B$3,Overshoot!$F$3:$G$25,2,FALSE))</f>
        <v>170312.5</v>
      </c>
      <c r="L7" t="str">
        <f>VLOOKUP($L$5, config!$B$4:$F$14,2,FALSE) &amp; " - Single"</f>
        <v>Carbon budget 170 Mt 2021-2025 - Single</v>
      </c>
      <c r="N7" s="17">
        <f>config!C7*1000</f>
        <v>170312.5</v>
      </c>
      <c r="P7" s="34"/>
    </row>
    <row r="8" spans="1:16" x14ac:dyDescent="0.25">
      <c r="B8" t="str">
        <f>VLOOKUP($B$5, config!$B$4:$F$14,3,FALSE) &amp; "_Single"</f>
        <v>UC_CB_116_Mt_2026-2030_Single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N8*(1+VLOOKUP(Overshoot!$B$3,Overshoot!$F$3:$G$25,2,FALSE))</f>
        <v>116145.83333333333</v>
      </c>
      <c r="L8" t="str">
        <f>VLOOKUP($L$5, config!$B$4:$F$14,3,FALSE) &amp; " - Single"</f>
        <v>Carbon budget 116 Mt 2026-2030 - Single</v>
      </c>
      <c r="N8" s="17">
        <f>config!D7*1000</f>
        <v>116145.83333333333</v>
      </c>
      <c r="P8" s="34"/>
    </row>
    <row r="9" spans="1:16" x14ac:dyDescent="0.25">
      <c r="B9" t="str">
        <f>VLOOKUP($B$5, config!$B$4:$F$14,4,FALSE) &amp; "_Single"</f>
        <v>UC_CB_114_Mt_2031-2050_Single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SUM(N7:N10)-K7-K8</f>
        <v>113541.66666666667</v>
      </c>
      <c r="L9" t="str">
        <f>VLOOKUP($L$5, config!$B$4:$F$14,4,FALSE) &amp; " - Single"</f>
        <v>Carbon budget 114 Mt 2031-2050 - Single</v>
      </c>
      <c r="N9" s="17">
        <f>config!E7*1000</f>
        <v>113541.66666666667</v>
      </c>
      <c r="P9" s="34"/>
    </row>
    <row r="10" spans="1:16" x14ac:dyDescent="0.25">
      <c r="B10" t="str">
        <f>VLOOKUP($B$5, config!$B$4:$F$14,5,FALSE) &amp; "_Single"</f>
        <v>UC_CB_0_Mt_2051-2100_Single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 s="17">
        <f>VLOOKUP("Value", config!$B$4:$F$14,5,FALSE)*1000</f>
        <v>0</v>
      </c>
      <c r="L10" t="str">
        <f>VLOOKUP($L$5, config!$B$4:$F$14,5,FALSE) &amp; " - Single"</f>
        <v>Carbon budget 0 Mt 2051-2100 - Single</v>
      </c>
      <c r="N10" s="17">
        <v>0</v>
      </c>
    </row>
    <row r="13" spans="1:16" x14ac:dyDescent="0.25">
      <c r="K13" s="34"/>
    </row>
    <row r="14" spans="1:16" x14ac:dyDescent="0.25">
      <c r="K14" s="34"/>
    </row>
    <row r="15" spans="1:16" x14ac:dyDescent="0.25"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F18" sqref="F18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UC_CB_170_Mt_2021-2025_Multi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single!K7</f>
        <v>170312.5</v>
      </c>
      <c r="L7" t="str">
        <f>VLOOKUP(L$5, config!$B$4:$F$14,2,FALSE) &amp; " - Multi"</f>
        <v>Carbon budget 170 Mt 2021-2025 - Multi</v>
      </c>
    </row>
    <row r="8" spans="1:12" x14ac:dyDescent="0.25">
      <c r="B8" t="str">
        <f>VLOOKUP(B$5, config!$B$4:$F$14,3,FALSE) &amp; "_Multi"</f>
        <v>UC_CB_116_Mt_2026-2030_Multi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>
        <f>single!K8</f>
        <v>116145.83333333333</v>
      </c>
      <c r="L8" t="str">
        <f>VLOOKUP(L$5, config!$B$4:$F$14,3,FALSE) &amp; " - Multi"</f>
        <v>Carbon budget 116 Mt 2026-2030 - Multi</v>
      </c>
    </row>
    <row r="9" spans="1:12" x14ac:dyDescent="0.25">
      <c r="B9" t="str">
        <f>VLOOKUP(B$5, config!$B$4:$F$14,4,FALSE) &amp; "_Multi"</f>
        <v>UC_CB_114_Mt_2031-2050_Multi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>
        <f>single!K9</f>
        <v>113541.66666666667</v>
      </c>
      <c r="L9" t="str">
        <f>VLOOKUP(L$5, config!$B$4:$F$14,4,FALSE) &amp; " - Multi"</f>
        <v>Carbon budget 114 Mt 2031-2050 - Multi</v>
      </c>
    </row>
    <row r="10" spans="1:12" x14ac:dyDescent="0.25">
      <c r="B10" t="str">
        <f>VLOOKUP(B$5, config!$B$4:$F$14,5,FALSE) &amp; "_Multi"</f>
        <v>UC_CB_0_Mt_2051-2100_Multi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single!K10</f>
        <v>0</v>
      </c>
      <c r="L10" t="str">
        <f>VLOOKUP(L$5, config!$B$4:$F$14,5,FALSE)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Overshoot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2023-11-09T21:35:21Z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